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p22abs/Documents/PhD/Chapter_1_code/Raw_data/"/>
    </mc:Choice>
  </mc:AlternateContent>
  <xr:revisionPtr revIDLastSave="0" documentId="13_ncr:1_{ABC6E024-406F-F349-907C-FF5576E09015}" xr6:coauthVersionLast="47" xr6:coauthVersionMax="47" xr10:uidLastSave="{00000000-0000-0000-0000-000000000000}"/>
  <bookViews>
    <workbookView xWindow="0" yWindow="740" windowWidth="29400" windowHeight="18380" activeTab="6" xr2:uid="{4C6E12BD-2179-1C4B-BED4-F8E772B8A247}"/>
  </bookViews>
  <sheets>
    <sheet name="initial_search_list" sheetId="6" r:id="rId1"/>
    <sheet name="not_listed" sheetId="7" r:id="rId2"/>
    <sheet name="open_access" sheetId="8" r:id="rId3"/>
    <sheet name="not_own_data" sheetId="9" r:id="rId4"/>
    <sheet name="misc" sheetId="10" r:id="rId5"/>
    <sheet name="functional_traits" sheetId="11" r:id="rId6"/>
    <sheet name="got_already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2" i="12" l="1"/>
  <c r="BF2" i="12"/>
  <c r="BT15" i="11"/>
  <c r="BF15" i="11"/>
  <c r="BT14" i="11"/>
  <c r="BF14" i="11"/>
  <c r="BT13" i="11"/>
  <c r="BF13" i="11"/>
  <c r="BT12" i="11"/>
  <c r="BF12" i="11"/>
  <c r="BT11" i="11"/>
  <c r="BF11" i="11"/>
  <c r="BT10" i="11"/>
  <c r="BF10" i="11"/>
  <c r="BT9" i="11"/>
  <c r="BF9" i="11"/>
  <c r="BT8" i="11"/>
  <c r="BF8" i="11"/>
  <c r="BT7" i="11"/>
  <c r="BF7" i="11"/>
  <c r="BT6" i="11"/>
  <c r="BF6" i="11"/>
  <c r="BT5" i="11"/>
  <c r="BF5" i="11"/>
  <c r="BT4" i="11"/>
  <c r="BF4" i="11"/>
  <c r="BT3" i="11"/>
  <c r="BF3" i="11"/>
  <c r="BT2" i="11"/>
  <c r="BF2" i="11"/>
  <c r="BT38" i="10"/>
  <c r="BT37" i="10"/>
  <c r="BF37" i="10"/>
  <c r="BT36" i="10"/>
  <c r="BT35" i="10"/>
  <c r="BF35" i="10"/>
  <c r="BT34" i="10"/>
  <c r="BF34" i="10"/>
  <c r="BT33" i="10"/>
  <c r="BF33" i="10"/>
  <c r="BT32" i="10"/>
  <c r="BT31" i="10"/>
  <c r="BF31" i="10"/>
  <c r="BT30" i="10"/>
  <c r="BF30" i="10"/>
  <c r="BT29" i="10"/>
  <c r="BT28" i="10"/>
  <c r="BT27" i="10"/>
  <c r="BT26" i="10"/>
  <c r="BT25" i="10"/>
  <c r="BT24" i="10"/>
  <c r="BF24" i="10"/>
  <c r="BT23" i="10"/>
  <c r="BT22" i="10"/>
  <c r="BF22" i="10"/>
  <c r="BT21" i="10"/>
  <c r="BF21" i="10"/>
  <c r="BT20" i="10"/>
  <c r="BT19" i="10"/>
  <c r="BF19" i="10"/>
  <c r="BT18" i="10"/>
  <c r="BT17" i="10"/>
  <c r="BT16" i="10"/>
  <c r="BF16" i="10"/>
  <c r="BT15" i="10"/>
  <c r="BF15" i="10"/>
  <c r="BT14" i="10"/>
  <c r="BF14" i="10"/>
  <c r="BT13" i="10"/>
  <c r="BF13" i="10"/>
  <c r="BT12" i="10"/>
  <c r="BF12" i="10"/>
  <c r="BT11" i="10"/>
  <c r="BF11" i="10"/>
  <c r="BT10" i="10"/>
  <c r="BF10" i="10"/>
  <c r="BT9" i="10"/>
  <c r="BF9" i="10"/>
  <c r="BT8" i="10"/>
  <c r="BF8" i="10"/>
  <c r="BT7" i="10"/>
  <c r="BT6" i="10"/>
  <c r="BF6" i="10"/>
  <c r="BT5" i="10"/>
  <c r="BF5" i="10"/>
  <c r="BT4" i="10"/>
  <c r="BF4" i="10"/>
  <c r="BT3" i="10"/>
  <c r="BF3" i="10"/>
  <c r="BT2" i="10"/>
  <c r="BF2" i="10"/>
  <c r="BT67" i="9"/>
  <c r="BF67" i="9"/>
  <c r="BT66" i="9"/>
  <c r="BF66" i="9"/>
  <c r="BT65" i="9"/>
  <c r="BF65" i="9"/>
  <c r="BT64" i="9"/>
  <c r="BF64" i="9"/>
  <c r="BT63" i="9"/>
  <c r="BF63" i="9"/>
  <c r="BT62" i="9"/>
  <c r="BF62" i="9"/>
  <c r="BT61" i="9"/>
  <c r="BF61" i="9"/>
  <c r="BT60" i="9"/>
  <c r="BF60" i="9"/>
  <c r="BT59" i="9"/>
  <c r="BF59" i="9"/>
  <c r="BT58" i="9"/>
  <c r="BF58" i="9"/>
  <c r="BT57" i="9"/>
  <c r="BF57" i="9"/>
  <c r="BT56" i="9"/>
  <c r="BF56" i="9"/>
  <c r="BT55" i="9"/>
  <c r="BF55" i="9"/>
  <c r="BT54" i="9"/>
  <c r="BF54" i="9"/>
  <c r="BT53" i="9"/>
  <c r="BF53" i="9"/>
  <c r="BT52" i="9"/>
  <c r="BF52" i="9"/>
  <c r="BT51" i="9"/>
  <c r="BF51" i="9"/>
  <c r="BT50" i="9"/>
  <c r="BF50" i="9"/>
  <c r="BT49" i="9"/>
  <c r="BF49" i="9"/>
  <c r="BT48" i="9"/>
  <c r="BF48" i="9"/>
  <c r="BT47" i="9"/>
  <c r="BF47" i="9"/>
  <c r="BT46" i="9"/>
  <c r="BF46" i="9"/>
  <c r="BT45" i="9"/>
  <c r="BF45" i="9"/>
  <c r="BT44" i="9"/>
  <c r="BF44" i="9"/>
  <c r="BT43" i="9"/>
  <c r="BF43" i="9"/>
  <c r="BT42" i="9"/>
  <c r="BF42" i="9"/>
  <c r="BT41" i="9"/>
  <c r="BF41" i="9"/>
  <c r="BT40" i="9"/>
  <c r="BF40" i="9"/>
  <c r="BT39" i="9"/>
  <c r="BF39" i="9"/>
  <c r="BT38" i="9"/>
  <c r="BF38" i="9"/>
  <c r="BT37" i="9"/>
  <c r="BF37" i="9"/>
  <c r="BT36" i="9"/>
  <c r="BF36" i="9"/>
  <c r="BT35" i="9"/>
  <c r="BF35" i="9"/>
  <c r="BT34" i="9"/>
  <c r="BF34" i="9"/>
  <c r="BT33" i="9"/>
  <c r="BF33" i="9"/>
  <c r="BT32" i="9"/>
  <c r="BF32" i="9"/>
  <c r="BT31" i="9"/>
  <c r="BF31" i="9"/>
  <c r="BT30" i="9"/>
  <c r="BF30" i="9"/>
  <c r="BT29" i="9"/>
  <c r="BF29" i="9"/>
  <c r="BT28" i="9"/>
  <c r="BF28" i="9"/>
  <c r="BT27" i="9"/>
  <c r="BF27" i="9"/>
  <c r="BT26" i="9"/>
  <c r="BF26" i="9"/>
  <c r="BT25" i="9"/>
  <c r="BF25" i="9"/>
  <c r="BT24" i="9"/>
  <c r="BF24" i="9"/>
  <c r="BT23" i="9"/>
  <c r="BF23" i="9"/>
  <c r="BT22" i="9"/>
  <c r="BF22" i="9"/>
  <c r="BT21" i="9"/>
  <c r="BF21" i="9"/>
  <c r="BT20" i="9"/>
  <c r="BF20" i="9"/>
  <c r="BT19" i="9"/>
  <c r="BF19" i="9"/>
  <c r="BT18" i="9"/>
  <c r="BF18" i="9"/>
  <c r="BT17" i="9"/>
  <c r="BF17" i="9"/>
  <c r="BT16" i="9"/>
  <c r="BF16" i="9"/>
  <c r="BT15" i="9"/>
  <c r="BF15" i="9"/>
  <c r="BT14" i="9"/>
  <c r="BF14" i="9"/>
  <c r="BT13" i="9"/>
  <c r="BF13" i="9"/>
  <c r="BT12" i="9"/>
  <c r="BF12" i="9"/>
  <c r="BT11" i="9"/>
  <c r="BF11" i="9"/>
  <c r="BT10" i="9"/>
  <c r="BF10" i="9"/>
  <c r="BT9" i="9"/>
  <c r="BF9" i="9"/>
  <c r="BT8" i="9"/>
  <c r="BF8" i="9"/>
  <c r="BT7" i="9"/>
  <c r="BF7" i="9"/>
  <c r="BT6" i="9"/>
  <c r="BF6" i="9"/>
  <c r="BT5" i="9"/>
  <c r="BF5" i="9"/>
  <c r="BT4" i="9"/>
  <c r="BF4" i="9"/>
  <c r="BT3" i="9"/>
  <c r="BF3" i="9"/>
  <c r="BT2" i="9"/>
  <c r="BF2" i="9"/>
  <c r="BT216" i="8"/>
  <c r="BF216" i="8"/>
  <c r="BT215" i="8"/>
  <c r="BF215" i="8"/>
  <c r="BT214" i="8"/>
  <c r="BF214" i="8"/>
  <c r="BT213" i="8"/>
  <c r="BF213" i="8"/>
  <c r="BT212" i="8"/>
  <c r="BF212" i="8"/>
  <c r="BT211" i="8"/>
  <c r="BF211" i="8"/>
  <c r="BT210" i="8"/>
  <c r="BF210" i="8"/>
  <c r="BT209" i="8"/>
  <c r="BF209" i="8"/>
  <c r="BT208" i="8"/>
  <c r="BF208" i="8"/>
  <c r="BT207" i="8"/>
  <c r="BT206" i="8"/>
  <c r="BF206" i="8"/>
  <c r="BT205" i="8"/>
  <c r="BF205" i="8"/>
  <c r="BT204" i="8"/>
  <c r="BT203" i="8"/>
  <c r="BF203" i="8"/>
  <c r="BT202" i="8"/>
  <c r="BF202" i="8"/>
  <c r="BT201" i="8"/>
  <c r="BF201" i="8"/>
  <c r="BT200" i="8"/>
  <c r="BF200" i="8"/>
  <c r="BT199" i="8"/>
  <c r="BF199" i="8"/>
  <c r="BT198" i="8"/>
  <c r="BF198" i="8"/>
  <c r="BT197" i="8"/>
  <c r="BF197" i="8"/>
  <c r="BT196" i="8"/>
  <c r="BF196" i="8"/>
  <c r="BT195" i="8"/>
  <c r="BF195" i="8"/>
  <c r="BT194" i="8"/>
  <c r="BF194" i="8"/>
  <c r="BT193" i="8"/>
  <c r="BF193" i="8"/>
  <c r="BT192" i="8"/>
  <c r="BT191" i="8"/>
  <c r="BF191" i="8"/>
  <c r="BT190" i="8"/>
  <c r="BF190" i="8"/>
  <c r="BT189" i="8"/>
  <c r="BF189" i="8"/>
  <c r="BT188" i="8"/>
  <c r="BF188" i="8"/>
  <c r="BT187" i="8"/>
  <c r="BF187" i="8"/>
  <c r="BT186" i="8"/>
  <c r="BF186" i="8"/>
  <c r="BT185" i="8"/>
  <c r="BF185" i="8"/>
  <c r="BT184" i="8"/>
  <c r="BF184" i="8"/>
  <c r="BT183" i="8"/>
  <c r="BF183" i="8"/>
  <c r="BT182" i="8"/>
  <c r="BF182" i="8"/>
  <c r="BT181" i="8"/>
  <c r="BF181" i="8"/>
  <c r="BT180" i="8"/>
  <c r="BF180" i="8"/>
  <c r="BT179" i="8"/>
  <c r="BF179" i="8"/>
  <c r="BT178" i="8"/>
  <c r="BF178" i="8"/>
  <c r="BT177" i="8"/>
  <c r="BF177" i="8"/>
  <c r="BT176" i="8"/>
  <c r="BF176" i="8"/>
  <c r="BT175" i="8"/>
  <c r="BF175" i="8"/>
  <c r="BT174" i="8"/>
  <c r="BF174" i="8"/>
  <c r="BT173" i="8"/>
  <c r="BF173" i="8"/>
  <c r="BT172" i="8"/>
  <c r="BT171" i="8"/>
  <c r="BF171" i="8"/>
  <c r="BT170" i="8"/>
  <c r="BF170" i="8"/>
  <c r="BT169" i="8"/>
  <c r="BF169" i="8"/>
  <c r="BT168" i="8"/>
  <c r="BF168" i="8"/>
  <c r="BT167" i="8"/>
  <c r="BF167" i="8"/>
  <c r="BT166" i="8"/>
  <c r="BF166" i="8"/>
  <c r="BT165" i="8"/>
  <c r="BF165" i="8"/>
  <c r="BT164" i="8"/>
  <c r="BF164" i="8"/>
  <c r="BT163" i="8"/>
  <c r="BF163" i="8"/>
  <c r="BT162" i="8"/>
  <c r="BF162" i="8"/>
  <c r="BT161" i="8"/>
  <c r="BF161" i="8"/>
  <c r="BT160" i="8"/>
  <c r="BF160" i="8"/>
  <c r="BT159" i="8"/>
  <c r="BF159" i="8"/>
  <c r="BT158" i="8"/>
  <c r="BF158" i="8"/>
  <c r="BT157" i="8"/>
  <c r="BF157" i="8"/>
  <c r="BT156" i="8"/>
  <c r="BT155" i="8"/>
  <c r="BT154" i="8"/>
  <c r="BF154" i="8"/>
  <c r="BT153" i="8"/>
  <c r="BF153" i="8"/>
  <c r="BT152" i="8"/>
  <c r="BF152" i="8"/>
  <c r="BT151" i="8"/>
  <c r="BF151" i="8"/>
  <c r="BT150" i="8"/>
  <c r="BF150" i="8"/>
  <c r="BT149" i="8"/>
  <c r="BF149" i="8"/>
  <c r="BT148" i="8"/>
  <c r="BF148" i="8"/>
  <c r="BT147" i="8"/>
  <c r="BF147" i="8"/>
  <c r="BT146" i="8"/>
  <c r="BF146" i="8"/>
  <c r="BT145" i="8"/>
  <c r="BF145" i="8"/>
  <c r="BT144" i="8"/>
  <c r="BF144" i="8"/>
  <c r="BT143" i="8"/>
  <c r="BF143" i="8"/>
  <c r="BT142" i="8"/>
  <c r="BF142" i="8"/>
  <c r="BT141" i="8"/>
  <c r="BF141" i="8"/>
  <c r="BT140" i="8"/>
  <c r="BF140" i="8"/>
  <c r="BT139" i="8"/>
  <c r="BF139" i="8"/>
  <c r="BT138" i="8"/>
  <c r="BF138" i="8"/>
  <c r="BT137" i="8"/>
  <c r="BF137" i="8"/>
  <c r="BT136" i="8"/>
  <c r="BF136" i="8"/>
  <c r="BT135" i="8"/>
  <c r="BF135" i="8"/>
  <c r="BT134" i="8"/>
  <c r="BF134" i="8"/>
  <c r="BT133" i="8"/>
  <c r="BF133" i="8"/>
  <c r="BT132" i="8"/>
  <c r="BF132" i="8"/>
  <c r="BT131" i="8"/>
  <c r="BF131" i="8"/>
  <c r="BT130" i="8"/>
  <c r="BF130" i="8"/>
  <c r="BT129" i="8"/>
  <c r="BF129" i="8"/>
  <c r="BT128" i="8"/>
  <c r="BF128" i="8"/>
  <c r="BT127" i="8"/>
  <c r="BF127" i="8"/>
  <c r="BT126" i="8"/>
  <c r="BF126" i="8"/>
  <c r="BT125" i="8"/>
  <c r="BF125" i="8"/>
  <c r="BT124" i="8"/>
  <c r="BF124" i="8"/>
  <c r="BT123" i="8"/>
  <c r="BF123" i="8"/>
  <c r="BT122" i="8"/>
  <c r="BF122" i="8"/>
  <c r="BT121" i="8"/>
  <c r="BF121" i="8"/>
  <c r="BT120" i="8"/>
  <c r="BF120" i="8"/>
  <c r="BT119" i="8"/>
  <c r="BF119" i="8"/>
  <c r="BT118" i="8"/>
  <c r="BF118" i="8"/>
  <c r="BT117" i="8"/>
  <c r="BF117" i="8"/>
  <c r="BT116" i="8"/>
  <c r="BF116" i="8"/>
  <c r="BT115" i="8"/>
  <c r="BF115" i="8"/>
  <c r="BT114" i="8"/>
  <c r="BF114" i="8"/>
  <c r="BT113" i="8"/>
  <c r="BF113" i="8"/>
  <c r="BT112" i="8"/>
  <c r="BF112" i="8"/>
  <c r="BT111" i="8"/>
  <c r="BF111" i="8"/>
  <c r="BT110" i="8"/>
  <c r="BF110" i="8"/>
  <c r="BT109" i="8"/>
  <c r="BF109" i="8"/>
  <c r="BT108" i="8"/>
  <c r="BF108" i="8"/>
  <c r="BT107" i="8"/>
  <c r="BF107" i="8"/>
  <c r="BT106" i="8"/>
  <c r="BF106" i="8"/>
  <c r="BT105" i="8"/>
  <c r="BF105" i="8"/>
  <c r="BT104" i="8"/>
  <c r="BF104" i="8"/>
  <c r="BT103" i="8"/>
  <c r="BF103" i="8"/>
  <c r="BT102" i="8"/>
  <c r="BF102" i="8"/>
  <c r="BT101" i="8"/>
  <c r="BF101" i="8"/>
  <c r="BT100" i="8"/>
  <c r="BF100" i="8"/>
  <c r="BT99" i="8"/>
  <c r="BF99" i="8"/>
  <c r="BT98" i="8"/>
  <c r="BF98" i="8"/>
  <c r="BT97" i="8"/>
  <c r="BF97" i="8"/>
  <c r="BT96" i="8"/>
  <c r="BF96" i="8"/>
  <c r="BT95" i="8"/>
  <c r="BF95" i="8"/>
  <c r="BT94" i="8"/>
  <c r="BF94" i="8"/>
  <c r="BT93" i="8"/>
  <c r="BF93" i="8"/>
  <c r="BT92" i="8"/>
  <c r="BF92" i="8"/>
  <c r="BT91" i="8"/>
  <c r="BF91" i="8"/>
  <c r="BT90" i="8"/>
  <c r="BF90" i="8"/>
  <c r="BT89" i="8"/>
  <c r="BF89" i="8"/>
  <c r="BT88" i="8"/>
  <c r="BF88" i="8"/>
  <c r="BT87" i="8"/>
  <c r="BF87" i="8"/>
  <c r="BT86" i="8"/>
  <c r="BF86" i="8"/>
  <c r="BT85" i="8"/>
  <c r="BF85" i="8"/>
  <c r="BT84" i="8"/>
  <c r="BF84" i="8"/>
  <c r="BT83" i="8"/>
  <c r="BF83" i="8"/>
  <c r="BT82" i="8"/>
  <c r="BF82" i="8"/>
  <c r="BT81" i="8"/>
  <c r="BF81" i="8"/>
  <c r="BT80" i="8"/>
  <c r="BF80" i="8"/>
  <c r="BT79" i="8"/>
  <c r="BF79" i="8"/>
  <c r="BT78" i="8"/>
  <c r="BF78" i="8"/>
  <c r="BT77" i="8"/>
  <c r="BF77" i="8"/>
  <c r="BT76" i="8"/>
  <c r="BF76" i="8"/>
  <c r="BT75" i="8"/>
  <c r="BF75" i="8"/>
  <c r="BT74" i="8"/>
  <c r="BF74" i="8"/>
  <c r="BT73" i="8"/>
  <c r="BF73" i="8"/>
  <c r="BT72" i="8"/>
  <c r="BF72" i="8"/>
  <c r="BT71" i="8"/>
  <c r="BF71" i="8"/>
  <c r="BT70" i="8"/>
  <c r="BF70" i="8"/>
  <c r="BT69" i="8"/>
  <c r="BF69" i="8"/>
  <c r="BT68" i="8"/>
  <c r="BF68" i="8"/>
  <c r="BT67" i="8"/>
  <c r="BF67" i="8"/>
  <c r="BT66" i="8"/>
  <c r="BF66" i="8"/>
  <c r="BT65" i="8"/>
  <c r="BF65" i="8"/>
  <c r="BT64" i="8"/>
  <c r="BF64" i="8"/>
  <c r="BT63" i="8"/>
  <c r="BF63" i="8"/>
  <c r="BT62" i="8"/>
  <c r="BF62" i="8"/>
  <c r="BT61" i="8"/>
  <c r="BF61" i="8"/>
  <c r="BT60" i="8"/>
  <c r="BF60" i="8"/>
  <c r="BT59" i="8"/>
  <c r="BF59" i="8"/>
  <c r="BT58" i="8"/>
  <c r="BF58" i="8"/>
  <c r="BT57" i="8"/>
  <c r="BF57" i="8"/>
  <c r="BT56" i="8"/>
  <c r="BF56" i="8"/>
  <c r="BT55" i="8"/>
  <c r="BF55" i="8"/>
  <c r="BT54" i="8"/>
  <c r="BF54" i="8"/>
  <c r="BT53" i="8"/>
  <c r="BF53" i="8"/>
  <c r="BT52" i="8"/>
  <c r="BF52" i="8"/>
  <c r="BT51" i="8"/>
  <c r="BF51" i="8"/>
  <c r="BT50" i="8"/>
  <c r="BF50" i="8"/>
  <c r="BT49" i="8"/>
  <c r="BF49" i="8"/>
  <c r="BT48" i="8"/>
  <c r="BF48" i="8"/>
  <c r="BT47" i="8"/>
  <c r="BF47" i="8"/>
  <c r="BT46" i="8"/>
  <c r="BF46" i="8"/>
  <c r="BT45" i="8"/>
  <c r="BF45" i="8"/>
  <c r="BT44" i="8"/>
  <c r="BF44" i="8"/>
  <c r="BT43" i="8"/>
  <c r="BF43" i="8"/>
  <c r="BT42" i="8"/>
  <c r="BF42" i="8"/>
  <c r="BT41" i="8"/>
  <c r="BF41" i="8"/>
  <c r="BT40" i="8"/>
  <c r="BF40" i="8"/>
  <c r="BT39" i="8"/>
  <c r="BF39" i="8"/>
  <c r="BT38" i="8"/>
  <c r="BF38" i="8"/>
  <c r="BT37" i="8"/>
  <c r="BF37" i="8"/>
  <c r="BT36" i="8"/>
  <c r="BF36" i="8"/>
  <c r="BT35" i="8"/>
  <c r="BF35" i="8"/>
  <c r="BT34" i="8"/>
  <c r="BF34" i="8"/>
  <c r="BT33" i="8"/>
  <c r="BF33" i="8"/>
  <c r="BT32" i="8"/>
  <c r="BF32" i="8"/>
  <c r="BT31" i="8"/>
  <c r="BF31" i="8"/>
  <c r="BT30" i="8"/>
  <c r="BF30" i="8"/>
  <c r="BT29" i="8"/>
  <c r="BF29" i="8"/>
  <c r="BT28" i="8"/>
  <c r="BF28" i="8"/>
  <c r="BT27" i="8"/>
  <c r="BF27" i="8"/>
  <c r="BT26" i="8"/>
  <c r="BF26" i="8"/>
  <c r="BT25" i="8"/>
  <c r="BF25" i="8"/>
  <c r="BT24" i="8"/>
  <c r="BF24" i="8"/>
  <c r="BT23" i="8"/>
  <c r="BF23" i="8"/>
  <c r="BT22" i="8"/>
  <c r="BF22" i="8"/>
  <c r="BT21" i="8"/>
  <c r="BF21" i="8"/>
  <c r="BT20" i="8"/>
  <c r="BF20" i="8"/>
  <c r="BT19" i="8"/>
  <c r="BF19" i="8"/>
  <c r="BT18" i="8"/>
  <c r="BF18" i="8"/>
  <c r="BT17" i="8"/>
  <c r="BF17" i="8"/>
  <c r="BT16" i="8"/>
  <c r="BF16" i="8"/>
  <c r="BT15" i="8"/>
  <c r="BF15" i="8"/>
  <c r="BT14" i="8"/>
  <c r="BF14" i="8"/>
  <c r="BT13" i="8"/>
  <c r="BF13" i="8"/>
  <c r="BT12" i="8"/>
  <c r="BF12" i="8"/>
  <c r="BT11" i="8"/>
  <c r="BF11" i="8"/>
  <c r="BT10" i="8"/>
  <c r="BF10" i="8"/>
  <c r="BT9" i="8"/>
  <c r="BF9" i="8"/>
  <c r="BT8" i="8"/>
  <c r="BF8" i="8"/>
  <c r="BT7" i="8"/>
  <c r="BF7" i="8"/>
  <c r="BT6" i="8"/>
  <c r="BF6" i="8"/>
  <c r="BT5" i="8"/>
  <c r="BF5" i="8"/>
  <c r="BT4" i="8"/>
  <c r="BF4" i="8"/>
  <c r="BT3" i="8"/>
  <c r="BF3" i="8"/>
  <c r="BT2" i="8"/>
  <c r="BF2" i="8"/>
  <c r="BT218" i="7"/>
  <c r="BF218" i="7"/>
  <c r="BT217" i="7"/>
  <c r="BT216" i="7"/>
  <c r="BF216" i="7"/>
  <c r="BT215" i="7"/>
  <c r="BF215" i="7"/>
  <c r="BT214" i="7"/>
  <c r="BF214" i="7"/>
  <c r="BT213" i="7"/>
  <c r="BF213" i="7"/>
  <c r="BT212" i="7"/>
  <c r="BF212" i="7"/>
  <c r="BT211" i="7"/>
  <c r="BF211" i="7"/>
  <c r="BT210" i="7"/>
  <c r="BF210" i="7"/>
  <c r="BT209" i="7"/>
  <c r="BF209" i="7"/>
  <c r="BT208" i="7"/>
  <c r="BT207" i="7"/>
  <c r="BF207" i="7"/>
  <c r="BT206" i="7"/>
  <c r="BF206" i="7"/>
  <c r="BT205" i="7"/>
  <c r="BF205" i="7"/>
  <c r="BT204" i="7"/>
  <c r="BF204" i="7"/>
  <c r="BT203" i="7"/>
  <c r="BF203" i="7"/>
  <c r="BT202" i="7"/>
  <c r="BF202" i="7"/>
  <c r="BT201" i="7"/>
  <c r="BT200" i="7"/>
  <c r="BF200" i="7"/>
  <c r="BT199" i="7"/>
  <c r="BF199" i="7"/>
  <c r="BT198" i="7"/>
  <c r="BF198" i="7"/>
  <c r="BT197" i="7"/>
  <c r="BF197" i="7"/>
  <c r="BT196" i="7"/>
  <c r="BF196" i="7"/>
  <c r="BT195" i="7"/>
  <c r="BF195" i="7"/>
  <c r="BT194" i="7"/>
  <c r="BF194" i="7"/>
  <c r="BT193" i="7"/>
  <c r="BF193" i="7"/>
  <c r="BT192" i="7"/>
  <c r="BF192" i="7"/>
  <c r="BT191" i="7"/>
  <c r="BF191" i="7"/>
  <c r="BT190" i="7"/>
  <c r="BF190" i="7"/>
  <c r="BT189" i="7"/>
  <c r="BF189" i="7"/>
  <c r="BT188" i="7"/>
  <c r="BF188" i="7"/>
  <c r="BT187" i="7"/>
  <c r="BF187" i="7"/>
  <c r="BT186" i="7"/>
  <c r="BF186" i="7"/>
  <c r="BT185" i="7"/>
  <c r="BF185" i="7"/>
  <c r="BT184" i="7"/>
  <c r="BF184" i="7"/>
  <c r="BT183" i="7"/>
  <c r="BF183" i="7"/>
  <c r="BT182" i="7"/>
  <c r="BF182" i="7"/>
  <c r="BT181" i="7"/>
  <c r="BF181" i="7"/>
  <c r="BT180" i="7"/>
  <c r="BF180" i="7"/>
  <c r="BT179" i="7"/>
  <c r="BF179" i="7"/>
  <c r="BT178" i="7"/>
  <c r="BF178" i="7"/>
  <c r="BT177" i="7"/>
  <c r="BF177" i="7"/>
  <c r="BT176" i="7"/>
  <c r="BF176" i="7"/>
  <c r="BT175" i="7"/>
  <c r="BF175" i="7"/>
  <c r="BT174" i="7"/>
  <c r="BF174" i="7"/>
  <c r="BT173" i="7"/>
  <c r="BF173" i="7"/>
  <c r="BT172" i="7"/>
  <c r="BF172" i="7"/>
  <c r="BT171" i="7"/>
  <c r="BF171" i="7"/>
  <c r="BT170" i="7"/>
  <c r="BF170" i="7"/>
  <c r="BT169" i="7"/>
  <c r="BF169" i="7"/>
  <c r="BT168" i="7"/>
  <c r="BF168" i="7"/>
  <c r="BT167" i="7"/>
  <c r="BF167" i="7"/>
  <c r="BT166" i="7"/>
  <c r="BF166" i="7"/>
  <c r="BT165" i="7"/>
  <c r="BF165" i="7"/>
  <c r="BT164" i="7"/>
  <c r="BF164" i="7"/>
  <c r="BT163" i="7"/>
  <c r="BF163" i="7"/>
  <c r="BT162" i="7"/>
  <c r="BF162" i="7"/>
  <c r="BT161" i="7"/>
  <c r="BF161" i="7"/>
  <c r="BT160" i="7"/>
  <c r="BF160" i="7"/>
  <c r="BT159" i="7"/>
  <c r="BF159" i="7"/>
  <c r="BT158" i="7"/>
  <c r="BF158" i="7"/>
  <c r="BT157" i="7"/>
  <c r="BF157" i="7"/>
  <c r="BT156" i="7"/>
  <c r="BF156" i="7"/>
  <c r="BT155" i="7"/>
  <c r="BF155" i="7"/>
  <c r="BT154" i="7"/>
  <c r="BF154" i="7"/>
  <c r="BT153" i="7"/>
  <c r="BF153" i="7"/>
  <c r="BT152" i="7"/>
  <c r="BF152" i="7"/>
  <c r="BT151" i="7"/>
  <c r="BT150" i="7"/>
  <c r="BF150" i="7"/>
  <c r="BT149" i="7"/>
  <c r="BF149" i="7"/>
  <c r="BT148" i="7"/>
  <c r="BF148" i="7"/>
  <c r="BT147" i="7"/>
  <c r="BF147" i="7"/>
  <c r="BT146" i="7"/>
  <c r="BF146" i="7"/>
  <c r="BT145" i="7"/>
  <c r="BF145" i="7"/>
  <c r="BT144" i="7"/>
  <c r="BF144" i="7"/>
  <c r="BT143" i="7"/>
  <c r="BF143" i="7"/>
  <c r="BT142" i="7"/>
  <c r="BF142" i="7"/>
  <c r="BT141" i="7"/>
  <c r="BF141" i="7"/>
  <c r="BT140" i="7"/>
  <c r="BF140" i="7"/>
  <c r="BT139" i="7"/>
  <c r="BF139" i="7"/>
  <c r="BT138" i="7"/>
  <c r="BF138" i="7"/>
  <c r="BT137" i="7"/>
  <c r="BF137" i="7"/>
  <c r="BT136" i="7"/>
  <c r="BF136" i="7"/>
  <c r="BT135" i="7"/>
  <c r="BF135" i="7"/>
  <c r="BT134" i="7"/>
  <c r="BF134" i="7"/>
  <c r="BT133" i="7"/>
  <c r="BF133" i="7"/>
  <c r="BT132" i="7"/>
  <c r="BF132" i="7"/>
  <c r="BT131" i="7"/>
  <c r="BF131" i="7"/>
  <c r="BT130" i="7"/>
  <c r="BF130" i="7"/>
  <c r="BT129" i="7"/>
  <c r="BF129" i="7"/>
  <c r="BT128" i="7"/>
  <c r="BF128" i="7"/>
  <c r="BT127" i="7"/>
  <c r="BF127" i="7"/>
  <c r="BT126" i="7"/>
  <c r="BF126" i="7"/>
  <c r="BT125" i="7"/>
  <c r="BF125" i="7"/>
  <c r="BT124" i="7"/>
  <c r="BF124" i="7"/>
  <c r="BT123" i="7"/>
  <c r="BF123" i="7"/>
  <c r="BT122" i="7"/>
  <c r="BF122" i="7"/>
  <c r="BT121" i="7"/>
  <c r="BF121" i="7"/>
  <c r="BT120" i="7"/>
  <c r="BF120" i="7"/>
  <c r="BT119" i="7"/>
  <c r="BF119" i="7"/>
  <c r="BT118" i="7"/>
  <c r="BF118" i="7"/>
  <c r="BT117" i="7"/>
  <c r="BF117" i="7"/>
  <c r="BT116" i="7"/>
  <c r="BF116" i="7"/>
  <c r="BT115" i="7"/>
  <c r="BF115" i="7"/>
  <c r="BT114" i="7"/>
  <c r="BF114" i="7"/>
  <c r="BT113" i="7"/>
  <c r="BF113" i="7"/>
  <c r="BT112" i="7"/>
  <c r="BF112" i="7"/>
  <c r="BT111" i="7"/>
  <c r="BF111" i="7"/>
  <c r="BT110" i="7"/>
  <c r="BF110" i="7"/>
  <c r="BT109" i="7"/>
  <c r="BF109" i="7"/>
  <c r="BT108" i="7"/>
  <c r="BF108" i="7"/>
  <c r="BT107" i="7"/>
  <c r="BF107" i="7"/>
  <c r="BT106" i="7"/>
  <c r="BF106" i="7"/>
  <c r="BT105" i="7"/>
  <c r="BF105" i="7"/>
  <c r="BT104" i="7"/>
  <c r="BF104" i="7"/>
  <c r="BT103" i="7"/>
  <c r="BF103" i="7"/>
  <c r="BT102" i="7"/>
  <c r="BF102" i="7"/>
  <c r="BT101" i="7"/>
  <c r="BF101" i="7"/>
  <c r="BT100" i="7"/>
  <c r="BF100" i="7"/>
  <c r="BT99" i="7"/>
  <c r="BF99" i="7"/>
  <c r="BT98" i="7"/>
  <c r="BF98" i="7"/>
  <c r="BT97" i="7"/>
  <c r="BF97" i="7"/>
  <c r="BT96" i="7"/>
  <c r="BF96" i="7"/>
  <c r="BT95" i="7"/>
  <c r="BF95" i="7"/>
  <c r="BT94" i="7"/>
  <c r="BF94" i="7"/>
  <c r="BT93" i="7"/>
  <c r="BF93" i="7"/>
  <c r="BT92" i="7"/>
  <c r="BF92" i="7"/>
  <c r="BT91" i="7"/>
  <c r="BF91" i="7"/>
  <c r="BT90" i="7"/>
  <c r="BF90" i="7"/>
  <c r="BT89" i="7"/>
  <c r="BF89" i="7"/>
  <c r="BT88" i="7"/>
  <c r="BF88" i="7"/>
  <c r="BT87" i="7"/>
  <c r="BF87" i="7"/>
  <c r="BT86" i="7"/>
  <c r="BF86" i="7"/>
  <c r="BT85" i="7"/>
  <c r="BF85" i="7"/>
  <c r="BT84" i="7"/>
  <c r="BF84" i="7"/>
  <c r="BT83" i="7"/>
  <c r="BF83" i="7"/>
  <c r="BT82" i="7"/>
  <c r="BF82" i="7"/>
  <c r="BT81" i="7"/>
  <c r="BF81" i="7"/>
  <c r="BT80" i="7"/>
  <c r="BF80" i="7"/>
  <c r="BT79" i="7"/>
  <c r="BF79" i="7"/>
  <c r="BT78" i="7"/>
  <c r="BF78" i="7"/>
  <c r="BT77" i="7"/>
  <c r="BF77" i="7"/>
  <c r="BT76" i="7"/>
  <c r="BF76" i="7"/>
  <c r="BT75" i="7"/>
  <c r="BF75" i="7"/>
  <c r="BT74" i="7"/>
  <c r="BF74" i="7"/>
  <c r="BT73" i="7"/>
  <c r="BF73" i="7"/>
  <c r="BT72" i="7"/>
  <c r="BF72" i="7"/>
  <c r="BT71" i="7"/>
  <c r="BF71" i="7"/>
  <c r="BT70" i="7"/>
  <c r="BF70" i="7"/>
  <c r="BT69" i="7"/>
  <c r="BF69" i="7"/>
  <c r="BT68" i="7"/>
  <c r="BF68" i="7"/>
  <c r="BT67" i="7"/>
  <c r="BF67" i="7"/>
  <c r="BT66" i="7"/>
  <c r="BF66" i="7"/>
  <c r="BT65" i="7"/>
  <c r="BF65" i="7"/>
  <c r="BT64" i="7"/>
  <c r="BF64" i="7"/>
  <c r="BT63" i="7"/>
  <c r="BF63" i="7"/>
  <c r="BT62" i="7"/>
  <c r="BF62" i="7"/>
  <c r="BT61" i="7"/>
  <c r="BF61" i="7"/>
  <c r="BT60" i="7"/>
  <c r="BF60" i="7"/>
  <c r="BT59" i="7"/>
  <c r="BF59" i="7"/>
  <c r="BT58" i="7"/>
  <c r="BF58" i="7"/>
  <c r="BT57" i="7"/>
  <c r="BF57" i="7"/>
  <c r="BT56" i="7"/>
  <c r="BF56" i="7"/>
  <c r="BT55" i="7"/>
  <c r="BF55" i="7"/>
  <c r="BT54" i="7"/>
  <c r="BF54" i="7"/>
  <c r="BT53" i="7"/>
  <c r="BF53" i="7"/>
  <c r="BT52" i="7"/>
  <c r="BF52" i="7"/>
  <c r="BT51" i="7"/>
  <c r="BF51" i="7"/>
  <c r="BT50" i="7"/>
  <c r="BF50" i="7"/>
  <c r="BT49" i="7"/>
  <c r="BF49" i="7"/>
  <c r="BT48" i="7"/>
  <c r="BF48" i="7"/>
  <c r="BT47" i="7"/>
  <c r="BF47" i="7"/>
  <c r="BT46" i="7"/>
  <c r="BF46" i="7"/>
  <c r="BT45" i="7"/>
  <c r="BF45" i="7"/>
  <c r="BT44" i="7"/>
  <c r="BF44" i="7"/>
  <c r="BT43" i="7"/>
  <c r="BF43" i="7"/>
  <c r="BT42" i="7"/>
  <c r="BF42" i="7"/>
  <c r="BT41" i="7"/>
  <c r="BF41" i="7"/>
  <c r="BT40" i="7"/>
  <c r="BF40" i="7"/>
  <c r="BT39" i="7"/>
  <c r="BF39" i="7"/>
  <c r="BT38" i="7"/>
  <c r="BF38" i="7"/>
  <c r="BT37" i="7"/>
  <c r="BF37" i="7"/>
  <c r="BT36" i="7"/>
  <c r="BF36" i="7"/>
  <c r="BT35" i="7"/>
  <c r="BF35" i="7"/>
  <c r="BT34" i="7"/>
  <c r="BF34" i="7"/>
  <c r="BT33" i="7"/>
  <c r="BF33" i="7"/>
  <c r="BT32" i="7"/>
  <c r="BF32" i="7"/>
  <c r="BT31" i="7"/>
  <c r="BF31" i="7"/>
  <c r="BT30" i="7"/>
  <c r="BF30" i="7"/>
  <c r="BT29" i="7"/>
  <c r="BF29" i="7"/>
  <c r="BT28" i="7"/>
  <c r="BF28" i="7"/>
  <c r="BT27" i="7"/>
  <c r="BF27" i="7"/>
  <c r="BT26" i="7"/>
  <c r="BF26" i="7"/>
  <c r="BT25" i="7"/>
  <c r="BF25" i="7"/>
  <c r="BT24" i="7"/>
  <c r="BF24" i="7"/>
  <c r="BT23" i="7"/>
  <c r="BF23" i="7"/>
  <c r="BT22" i="7"/>
  <c r="BF22" i="7"/>
  <c r="BT21" i="7"/>
  <c r="BF21" i="7"/>
  <c r="BT20" i="7"/>
  <c r="BF20" i="7"/>
  <c r="BT19" i="7"/>
  <c r="BF19" i="7"/>
  <c r="BT18" i="7"/>
  <c r="BF18" i="7"/>
  <c r="BT17" i="7"/>
  <c r="BF17" i="7"/>
  <c r="BT16" i="7"/>
  <c r="BF16" i="7"/>
  <c r="BT15" i="7"/>
  <c r="BF15" i="7"/>
  <c r="BT14" i="7"/>
  <c r="BF14" i="7"/>
  <c r="BT13" i="7"/>
  <c r="BF13" i="7"/>
  <c r="BT12" i="7"/>
  <c r="BF12" i="7"/>
  <c r="BT11" i="7"/>
  <c r="BF11" i="7"/>
  <c r="BT10" i="7"/>
  <c r="BF10" i="7"/>
  <c r="BT9" i="7"/>
  <c r="BF9" i="7"/>
  <c r="BT8" i="7"/>
  <c r="BF8" i="7"/>
  <c r="BT7" i="7"/>
  <c r="BF7" i="7"/>
  <c r="BT6" i="7"/>
  <c r="BF6" i="7"/>
  <c r="BT5" i="7"/>
  <c r="BF5" i="7"/>
  <c r="BT4" i="7"/>
  <c r="BF4" i="7"/>
  <c r="BT3" i="7"/>
  <c r="BF3" i="7"/>
  <c r="BT2" i="7"/>
  <c r="BF2" i="7"/>
  <c r="BT967" i="6"/>
  <c r="BF967" i="6"/>
  <c r="BT966" i="6"/>
  <c r="BF966" i="6"/>
  <c r="BT965" i="6"/>
  <c r="BT964" i="6"/>
  <c r="BF964" i="6"/>
  <c r="BT963" i="6"/>
  <c r="BF963" i="6"/>
  <c r="BT962" i="6"/>
  <c r="BF962" i="6"/>
  <c r="BT961" i="6"/>
  <c r="BF961" i="6"/>
  <c r="BT960" i="6"/>
  <c r="BT959" i="6"/>
  <c r="BF959" i="6"/>
  <c r="BT958" i="6"/>
  <c r="BF958" i="6"/>
  <c r="BT957" i="6"/>
  <c r="BF957" i="6"/>
  <c r="BT956" i="6"/>
  <c r="BF956" i="6"/>
  <c r="BT955" i="6"/>
  <c r="BF955" i="6"/>
  <c r="BT954" i="6"/>
  <c r="BF954" i="6"/>
  <c r="BT953" i="6"/>
  <c r="BF953" i="6"/>
  <c r="BT952" i="6"/>
  <c r="BF952" i="6"/>
  <c r="BT951" i="6"/>
  <c r="BF951" i="6"/>
  <c r="BT950" i="6"/>
  <c r="BF950" i="6"/>
  <c r="BT949" i="6"/>
  <c r="BF949" i="6"/>
  <c r="BT948" i="6"/>
  <c r="BF948" i="6"/>
  <c r="BT947" i="6"/>
  <c r="BT946" i="6"/>
  <c r="BF946" i="6"/>
  <c r="BT945" i="6"/>
  <c r="BF945" i="6"/>
  <c r="BT944" i="6"/>
  <c r="BF944" i="6"/>
  <c r="BT943" i="6"/>
  <c r="BF943" i="6"/>
  <c r="BT942" i="6"/>
  <c r="BF942" i="6"/>
  <c r="BT941" i="6"/>
  <c r="BF941" i="6"/>
  <c r="BT940" i="6"/>
  <c r="BT939" i="6"/>
  <c r="BF939" i="6"/>
  <c r="BT938" i="6"/>
  <c r="BF938" i="6"/>
  <c r="BT937" i="6"/>
  <c r="BF937" i="6"/>
  <c r="BT936" i="6"/>
  <c r="BF936" i="6"/>
  <c r="BT935" i="6"/>
  <c r="BF935" i="6"/>
  <c r="BT934" i="6"/>
  <c r="BT933" i="6"/>
  <c r="BF933" i="6"/>
  <c r="BT932" i="6"/>
  <c r="BF932" i="6"/>
  <c r="BT931" i="6"/>
  <c r="BF931" i="6"/>
  <c r="BT930" i="6"/>
  <c r="BF930" i="6"/>
  <c r="BT929" i="6"/>
  <c r="BF929" i="6"/>
  <c r="BT928" i="6"/>
  <c r="BF928" i="6"/>
  <c r="BT927" i="6"/>
  <c r="BF927" i="6"/>
  <c r="BT926" i="6"/>
  <c r="BF926" i="6"/>
  <c r="BT925" i="6"/>
  <c r="BF925" i="6"/>
  <c r="BT924" i="6"/>
  <c r="BF924" i="6"/>
  <c r="BT923" i="6"/>
  <c r="BF923" i="6"/>
  <c r="BT922" i="6"/>
  <c r="BF922" i="6"/>
  <c r="BT921" i="6"/>
  <c r="BF921" i="6"/>
  <c r="BT920" i="6"/>
  <c r="BF920" i="6"/>
  <c r="BT919" i="6"/>
  <c r="BF919" i="6"/>
  <c r="BT918" i="6"/>
  <c r="BT917" i="6"/>
  <c r="BF917" i="6"/>
  <c r="BT916" i="6"/>
  <c r="BF916" i="6"/>
  <c r="BT915" i="6"/>
  <c r="BF915" i="6"/>
  <c r="BT914" i="6"/>
  <c r="BF914" i="6"/>
  <c r="BT913" i="6"/>
  <c r="BF913" i="6"/>
  <c r="BT912" i="6"/>
  <c r="BF912" i="6"/>
  <c r="BT911" i="6"/>
  <c r="BF911" i="6"/>
  <c r="BT910" i="6"/>
  <c r="BF910" i="6"/>
  <c r="BT909" i="6"/>
  <c r="BF909" i="6"/>
  <c r="BT908" i="6"/>
  <c r="BF908" i="6"/>
  <c r="BT907" i="6"/>
  <c r="BF907" i="6"/>
  <c r="BT906" i="6"/>
  <c r="BF906" i="6"/>
  <c r="BT905" i="6"/>
  <c r="BF905" i="6"/>
  <c r="BT904" i="6"/>
  <c r="BF904" i="6"/>
  <c r="BT903" i="6"/>
  <c r="BF903" i="6"/>
  <c r="BT902" i="6"/>
  <c r="BF902" i="6"/>
  <c r="BT901" i="6"/>
  <c r="BF901" i="6"/>
  <c r="BT900" i="6"/>
  <c r="BF900" i="6"/>
  <c r="BT899" i="6"/>
  <c r="BF899" i="6"/>
  <c r="BT898" i="6"/>
  <c r="BF898" i="6"/>
  <c r="BT897" i="6"/>
  <c r="BF897" i="6"/>
  <c r="BT896" i="6"/>
  <c r="BF896" i="6"/>
  <c r="BT895" i="6"/>
  <c r="BF895" i="6"/>
  <c r="BT894" i="6"/>
  <c r="BF894" i="6"/>
  <c r="BT893" i="6"/>
  <c r="BF893" i="6"/>
  <c r="BT892" i="6"/>
  <c r="BF892" i="6"/>
  <c r="BT891" i="6"/>
  <c r="BF891" i="6"/>
  <c r="BT890" i="6"/>
  <c r="BF890" i="6"/>
  <c r="BT889" i="6"/>
  <c r="BF889" i="6"/>
  <c r="BT888" i="6"/>
  <c r="BF888" i="6"/>
  <c r="BT887" i="6"/>
  <c r="BT886" i="6"/>
  <c r="BF886" i="6"/>
  <c r="BT885" i="6"/>
  <c r="BF885" i="6"/>
  <c r="BT884" i="6"/>
  <c r="BT883" i="6"/>
  <c r="BF883" i="6"/>
  <c r="BT882" i="6"/>
  <c r="BF882" i="6"/>
  <c r="BT881" i="6"/>
  <c r="BT880" i="6"/>
  <c r="BF880" i="6"/>
  <c r="BT879" i="6"/>
  <c r="BT878" i="6"/>
  <c r="BF878" i="6"/>
  <c r="BT877" i="6"/>
  <c r="BF877" i="6"/>
  <c r="BT876" i="6"/>
  <c r="BF876" i="6"/>
  <c r="BT875" i="6"/>
  <c r="BF875" i="6"/>
  <c r="BT874" i="6"/>
  <c r="BF874" i="6"/>
  <c r="BT873" i="6"/>
  <c r="BF873" i="6"/>
  <c r="BT872" i="6"/>
  <c r="BF872" i="6"/>
  <c r="BT871" i="6"/>
  <c r="BF871" i="6"/>
  <c r="BT870" i="6"/>
  <c r="BT869" i="6"/>
  <c r="BF869" i="6"/>
  <c r="BT868" i="6"/>
  <c r="BF868" i="6"/>
  <c r="BT867" i="6"/>
  <c r="BF867" i="6"/>
  <c r="BT866" i="6"/>
  <c r="BF866" i="6"/>
  <c r="BT865" i="6"/>
  <c r="BF865" i="6"/>
  <c r="BT864" i="6"/>
  <c r="BF864" i="6"/>
  <c r="BT863" i="6"/>
  <c r="BF863" i="6"/>
  <c r="BT862" i="6"/>
  <c r="BF862" i="6"/>
  <c r="BT861" i="6"/>
  <c r="BF861" i="6"/>
  <c r="BT860" i="6"/>
  <c r="BF860" i="6"/>
  <c r="BT859" i="6"/>
  <c r="BF859" i="6"/>
  <c r="BT858" i="6"/>
  <c r="BF858" i="6"/>
  <c r="BT857" i="6"/>
  <c r="BF857" i="6"/>
  <c r="BT856" i="6"/>
  <c r="BF856" i="6"/>
  <c r="BT855" i="6"/>
  <c r="BT854" i="6"/>
  <c r="BF854" i="6"/>
  <c r="BT853" i="6"/>
  <c r="BT852" i="6"/>
  <c r="BF852" i="6"/>
  <c r="BT851" i="6"/>
  <c r="BF851" i="6"/>
  <c r="BT850" i="6"/>
  <c r="BF850" i="6"/>
  <c r="BT849" i="6"/>
  <c r="BT848" i="6"/>
  <c r="BF848" i="6"/>
  <c r="BT847" i="6"/>
  <c r="BF847" i="6"/>
  <c r="BT846" i="6"/>
  <c r="BF846" i="6"/>
  <c r="BT845" i="6"/>
  <c r="BF845" i="6"/>
  <c r="BT844" i="6"/>
  <c r="BF844" i="6"/>
  <c r="BT843" i="6"/>
  <c r="BT842" i="6"/>
  <c r="BF842" i="6"/>
  <c r="BT841" i="6"/>
  <c r="BF841" i="6"/>
  <c r="BT840" i="6"/>
  <c r="BF840" i="6"/>
  <c r="BT839" i="6"/>
  <c r="BT838" i="6"/>
  <c r="BF838" i="6"/>
  <c r="BT837" i="6"/>
  <c r="BF837" i="6"/>
  <c r="BT836" i="6"/>
  <c r="BT835" i="6"/>
  <c r="BF835" i="6"/>
  <c r="BT834" i="6"/>
  <c r="BF834" i="6"/>
  <c r="BT833" i="6"/>
  <c r="BF833" i="6"/>
  <c r="BT832" i="6"/>
  <c r="BF832" i="6"/>
  <c r="BT831" i="6"/>
  <c r="BF831" i="6"/>
  <c r="BT830" i="6"/>
  <c r="BF830" i="6"/>
  <c r="BT829" i="6"/>
  <c r="BF829" i="6"/>
  <c r="BT828" i="6"/>
  <c r="BF828" i="6"/>
  <c r="BT827" i="6"/>
  <c r="BF827" i="6"/>
  <c r="BT826" i="6"/>
  <c r="BF826" i="6"/>
  <c r="BT825" i="6"/>
  <c r="BF825" i="6"/>
  <c r="BT824" i="6"/>
  <c r="BF824" i="6"/>
  <c r="BT823" i="6"/>
  <c r="BF823" i="6"/>
  <c r="BT822" i="6"/>
  <c r="BT821" i="6"/>
  <c r="BF821" i="6"/>
  <c r="BT820" i="6"/>
  <c r="BF820" i="6"/>
  <c r="BT819" i="6"/>
  <c r="BF819" i="6"/>
  <c r="BT818" i="6"/>
  <c r="BF818" i="6"/>
  <c r="BT817" i="6"/>
  <c r="BF817" i="6"/>
  <c r="BT816" i="6"/>
  <c r="BF816" i="6"/>
  <c r="BT815" i="6"/>
  <c r="BF815" i="6"/>
  <c r="BT814" i="6"/>
  <c r="BF814" i="6"/>
  <c r="BT813" i="6"/>
  <c r="BF813" i="6"/>
  <c r="BT812" i="6"/>
  <c r="BF812" i="6"/>
  <c r="BT811" i="6"/>
  <c r="BF811" i="6"/>
  <c r="BT810" i="6"/>
  <c r="BF810" i="6"/>
  <c r="BT809" i="6"/>
  <c r="BF809" i="6"/>
  <c r="BT808" i="6"/>
  <c r="BF808" i="6"/>
  <c r="BT807" i="6"/>
  <c r="BF807" i="6"/>
  <c r="BT806" i="6"/>
  <c r="BF806" i="6"/>
  <c r="BT805" i="6"/>
  <c r="BF805" i="6"/>
  <c r="BT804" i="6"/>
  <c r="BF804" i="6"/>
  <c r="BT803" i="6"/>
  <c r="BF803" i="6"/>
  <c r="BT802" i="6"/>
  <c r="BF802" i="6"/>
  <c r="BT801" i="6"/>
  <c r="BT800" i="6"/>
  <c r="BF800" i="6"/>
  <c r="BT799" i="6"/>
  <c r="BF799" i="6"/>
  <c r="BT798" i="6"/>
  <c r="BF798" i="6"/>
  <c r="BT797" i="6"/>
  <c r="BF797" i="6"/>
  <c r="BT796" i="6"/>
  <c r="BF796" i="6"/>
  <c r="BT795" i="6"/>
  <c r="BF795" i="6"/>
  <c r="BT794" i="6"/>
  <c r="BF794" i="6"/>
  <c r="BT793" i="6"/>
  <c r="BF793" i="6"/>
  <c r="BT792" i="6"/>
  <c r="BF792" i="6"/>
  <c r="BT791" i="6"/>
  <c r="BF791" i="6"/>
  <c r="BT790" i="6"/>
  <c r="BF790" i="6"/>
  <c r="BT789" i="6"/>
  <c r="BF789" i="6"/>
  <c r="BT788" i="6"/>
  <c r="BF788" i="6"/>
  <c r="BT787" i="6"/>
  <c r="BF787" i="6"/>
  <c r="BT786" i="6"/>
  <c r="BF786" i="6"/>
  <c r="BT785" i="6"/>
  <c r="BF785" i="6"/>
  <c r="BT784" i="6"/>
  <c r="BF784" i="6"/>
  <c r="BT783" i="6"/>
  <c r="BF783" i="6"/>
  <c r="BT782" i="6"/>
  <c r="BF782" i="6"/>
  <c r="BT781" i="6"/>
  <c r="BT780" i="6"/>
  <c r="BF780" i="6"/>
  <c r="BT779" i="6"/>
  <c r="BF779" i="6"/>
  <c r="BT778" i="6"/>
  <c r="BF778" i="6"/>
  <c r="BT777" i="6"/>
  <c r="BF777" i="6"/>
  <c r="BT776" i="6"/>
  <c r="BF776" i="6"/>
  <c r="BT775" i="6"/>
  <c r="BF775" i="6"/>
  <c r="BT774" i="6"/>
  <c r="BF774" i="6"/>
  <c r="BT773" i="6"/>
  <c r="BF773" i="6"/>
  <c r="BT772" i="6"/>
  <c r="BF772" i="6"/>
  <c r="BT771" i="6"/>
  <c r="BF771" i="6"/>
  <c r="BT770" i="6"/>
  <c r="BF770" i="6"/>
  <c r="BT769" i="6"/>
  <c r="BF769" i="6"/>
  <c r="BT768" i="6"/>
  <c r="BF768" i="6"/>
  <c r="BT767" i="6"/>
  <c r="BF767" i="6"/>
  <c r="BT766" i="6"/>
  <c r="BF766" i="6"/>
  <c r="BT765" i="6"/>
  <c r="BF765" i="6"/>
  <c r="BT764" i="6"/>
  <c r="BF764" i="6"/>
  <c r="BT763" i="6"/>
  <c r="BF763" i="6"/>
  <c r="BT762" i="6"/>
  <c r="BF762" i="6"/>
  <c r="BT761" i="6"/>
  <c r="BF761" i="6"/>
  <c r="BT760" i="6"/>
  <c r="BF760" i="6"/>
  <c r="BT759" i="6"/>
  <c r="BF759" i="6"/>
  <c r="BT758" i="6"/>
  <c r="BF758" i="6"/>
  <c r="BT757" i="6"/>
  <c r="BF757" i="6"/>
  <c r="BT756" i="6"/>
  <c r="BT755" i="6"/>
  <c r="BF755" i="6"/>
  <c r="BT754" i="6"/>
  <c r="BF754" i="6"/>
  <c r="BT753" i="6"/>
  <c r="BF753" i="6"/>
  <c r="BT752" i="6"/>
  <c r="BF752" i="6"/>
  <c r="BT751" i="6"/>
  <c r="BF751" i="6"/>
  <c r="BT750" i="6"/>
  <c r="BF750" i="6"/>
  <c r="BT749" i="6"/>
  <c r="BF749" i="6"/>
  <c r="BT748" i="6"/>
  <c r="BF748" i="6"/>
  <c r="BT747" i="6"/>
  <c r="BF747" i="6"/>
  <c r="BT746" i="6"/>
  <c r="BF746" i="6"/>
  <c r="BT745" i="6"/>
  <c r="BF745" i="6"/>
  <c r="BT744" i="6"/>
  <c r="BF744" i="6"/>
  <c r="BT743" i="6"/>
  <c r="BF743" i="6"/>
  <c r="BT742" i="6"/>
  <c r="BT741" i="6"/>
  <c r="BF741" i="6"/>
  <c r="BT740" i="6"/>
  <c r="BF740" i="6"/>
  <c r="BT739" i="6"/>
  <c r="BF739" i="6"/>
  <c r="BT738" i="6"/>
  <c r="BF738" i="6"/>
  <c r="BT737" i="6"/>
  <c r="BT736" i="6"/>
  <c r="BT735" i="6"/>
  <c r="BF735" i="6"/>
  <c r="BT734" i="6"/>
  <c r="BF734" i="6"/>
  <c r="BT733" i="6"/>
  <c r="BF733" i="6"/>
  <c r="BT732" i="6"/>
  <c r="BF732" i="6"/>
  <c r="BT731" i="6"/>
  <c r="BF731" i="6"/>
  <c r="BT730" i="6"/>
  <c r="BF730" i="6"/>
  <c r="BT729" i="6"/>
  <c r="BF729" i="6"/>
  <c r="BT728" i="6"/>
  <c r="BF728" i="6"/>
  <c r="BT727" i="6"/>
  <c r="BF727" i="6"/>
  <c r="BT726" i="6"/>
  <c r="BF726" i="6"/>
  <c r="BT725" i="6"/>
  <c r="BF725" i="6"/>
  <c r="BT724" i="6"/>
  <c r="BT723" i="6"/>
  <c r="BF723" i="6"/>
  <c r="BT722" i="6"/>
  <c r="BF722" i="6"/>
  <c r="BT721" i="6"/>
  <c r="BF721" i="6"/>
  <c r="BT720" i="6"/>
  <c r="BF720" i="6"/>
  <c r="BT719" i="6"/>
  <c r="BF719" i="6"/>
  <c r="BT718" i="6"/>
  <c r="BF718" i="6"/>
  <c r="BT717" i="6"/>
  <c r="BF717" i="6"/>
  <c r="BT716" i="6"/>
  <c r="BT715" i="6"/>
  <c r="BF715" i="6"/>
  <c r="BT714" i="6"/>
  <c r="BF714" i="6"/>
  <c r="BT713" i="6"/>
  <c r="BF713" i="6"/>
  <c r="BT712" i="6"/>
  <c r="BF712" i="6"/>
  <c r="BT711" i="6"/>
  <c r="BF711" i="6"/>
  <c r="BT710" i="6"/>
  <c r="BF710" i="6"/>
  <c r="BT709" i="6"/>
  <c r="BF709" i="6"/>
  <c r="BT708" i="6"/>
  <c r="BF708" i="6"/>
  <c r="BT707" i="6"/>
  <c r="BF707" i="6"/>
  <c r="BT706" i="6"/>
  <c r="BF706" i="6"/>
  <c r="BT705" i="6"/>
  <c r="BF705" i="6"/>
  <c r="BT704" i="6"/>
  <c r="BF704" i="6"/>
  <c r="BT703" i="6"/>
  <c r="BF703" i="6"/>
  <c r="BT702" i="6"/>
  <c r="BF702" i="6"/>
  <c r="BT701" i="6"/>
  <c r="BF701" i="6"/>
  <c r="BT700" i="6"/>
  <c r="BF700" i="6"/>
  <c r="BT699" i="6"/>
  <c r="BF699" i="6"/>
  <c r="BT698" i="6"/>
  <c r="BF698" i="6"/>
  <c r="BT697" i="6"/>
  <c r="BF697" i="6"/>
  <c r="BT696" i="6"/>
  <c r="BF696" i="6"/>
  <c r="BT695" i="6"/>
  <c r="BF695" i="6"/>
  <c r="BT694" i="6"/>
  <c r="BF694" i="6"/>
  <c r="BT693" i="6"/>
  <c r="BF693" i="6"/>
  <c r="BT692" i="6"/>
  <c r="BF692" i="6"/>
  <c r="BT691" i="6"/>
  <c r="BF691" i="6"/>
  <c r="BT690" i="6"/>
  <c r="BF690" i="6"/>
  <c r="BT689" i="6"/>
  <c r="BF689" i="6"/>
  <c r="BT688" i="6"/>
  <c r="BF688" i="6"/>
  <c r="BT687" i="6"/>
  <c r="BF687" i="6"/>
  <c r="BT686" i="6"/>
  <c r="BF686" i="6"/>
  <c r="BT685" i="6"/>
  <c r="BF685" i="6"/>
  <c r="BT684" i="6"/>
  <c r="BT683" i="6"/>
  <c r="BF683" i="6"/>
  <c r="BT682" i="6"/>
  <c r="BF682" i="6"/>
  <c r="BT681" i="6"/>
  <c r="BF681" i="6"/>
  <c r="BT680" i="6"/>
  <c r="BF680" i="6"/>
  <c r="BT679" i="6"/>
  <c r="BF679" i="6"/>
  <c r="BT678" i="6"/>
  <c r="BF678" i="6"/>
  <c r="BT677" i="6"/>
  <c r="BF677" i="6"/>
  <c r="BT676" i="6"/>
  <c r="BF676" i="6"/>
  <c r="BT675" i="6"/>
  <c r="BF675" i="6"/>
  <c r="BT674" i="6"/>
  <c r="BF674" i="6"/>
  <c r="BT673" i="6"/>
  <c r="BF673" i="6"/>
  <c r="BT672" i="6"/>
  <c r="BF672" i="6"/>
  <c r="BT671" i="6"/>
  <c r="BF671" i="6"/>
  <c r="BT670" i="6"/>
  <c r="BT669" i="6"/>
  <c r="BF669" i="6"/>
  <c r="BT668" i="6"/>
  <c r="BF668" i="6"/>
  <c r="BT667" i="6"/>
  <c r="BF667" i="6"/>
  <c r="BT666" i="6"/>
  <c r="BF666" i="6"/>
  <c r="BT665" i="6"/>
  <c r="BF665" i="6"/>
  <c r="BT664" i="6"/>
  <c r="BF664" i="6"/>
  <c r="BT663" i="6"/>
  <c r="BF663" i="6"/>
  <c r="BT662" i="6"/>
  <c r="BF662" i="6"/>
  <c r="BT661" i="6"/>
  <c r="BF661" i="6"/>
  <c r="BT660" i="6"/>
  <c r="BF660" i="6"/>
  <c r="BT659" i="6"/>
  <c r="BF659" i="6"/>
  <c r="BT658" i="6"/>
  <c r="BF658" i="6"/>
  <c r="BT657" i="6"/>
  <c r="BF657" i="6"/>
  <c r="BT656" i="6"/>
  <c r="BF656" i="6"/>
  <c r="BT655" i="6"/>
  <c r="BF655" i="6"/>
  <c r="BT654" i="6"/>
  <c r="BF654" i="6"/>
  <c r="BT653" i="6"/>
  <c r="BF653" i="6"/>
  <c r="BT652" i="6"/>
  <c r="BF652" i="6"/>
  <c r="BT651" i="6"/>
  <c r="BF651" i="6"/>
  <c r="BT650" i="6"/>
  <c r="BF650" i="6"/>
  <c r="BT649" i="6"/>
  <c r="BF649" i="6"/>
  <c r="BT648" i="6"/>
  <c r="BF648" i="6"/>
  <c r="BT647" i="6"/>
  <c r="BF647" i="6"/>
  <c r="BT646" i="6"/>
  <c r="BF646" i="6"/>
  <c r="BT645" i="6"/>
  <c r="BF645" i="6"/>
  <c r="BT644" i="6"/>
  <c r="BF644" i="6"/>
  <c r="BT643" i="6"/>
  <c r="BF643" i="6"/>
  <c r="BT642" i="6"/>
  <c r="BF642" i="6"/>
  <c r="BT641" i="6"/>
  <c r="BF641" i="6"/>
  <c r="BT640" i="6"/>
  <c r="BF640" i="6"/>
  <c r="BT639" i="6"/>
  <c r="BF639" i="6"/>
  <c r="BT638" i="6"/>
  <c r="BF638" i="6"/>
  <c r="BT637" i="6"/>
  <c r="BF637" i="6"/>
  <c r="BT636" i="6"/>
  <c r="BF636" i="6"/>
  <c r="BT635" i="6"/>
  <c r="BF635" i="6"/>
  <c r="BT634" i="6"/>
  <c r="BF634" i="6"/>
  <c r="BT633" i="6"/>
  <c r="BF633" i="6"/>
  <c r="BT632" i="6"/>
  <c r="BF632" i="6"/>
  <c r="BT631" i="6"/>
  <c r="BF631" i="6"/>
  <c r="BT630" i="6"/>
  <c r="BF630" i="6"/>
  <c r="BT629" i="6"/>
  <c r="BT628" i="6"/>
  <c r="BF628" i="6"/>
  <c r="BT627" i="6"/>
  <c r="BF627" i="6"/>
  <c r="BT626" i="6"/>
  <c r="BF626" i="6"/>
  <c r="BT625" i="6"/>
  <c r="BF625" i="6"/>
  <c r="BT624" i="6"/>
  <c r="BF624" i="6"/>
  <c r="BT623" i="6"/>
  <c r="BF623" i="6"/>
  <c r="BT622" i="6"/>
  <c r="BF622" i="6"/>
  <c r="BT621" i="6"/>
  <c r="BF621" i="6"/>
  <c r="BT620" i="6"/>
  <c r="BF620" i="6"/>
  <c r="BT619" i="6"/>
  <c r="BF619" i="6"/>
  <c r="BT618" i="6"/>
  <c r="BF618" i="6"/>
  <c r="BT617" i="6"/>
  <c r="BF617" i="6"/>
  <c r="BT616" i="6"/>
  <c r="BF616" i="6"/>
  <c r="BT615" i="6"/>
  <c r="BF615" i="6"/>
  <c r="BT614" i="6"/>
  <c r="BF614" i="6"/>
  <c r="BT613" i="6"/>
  <c r="BF613" i="6"/>
  <c r="BT612" i="6"/>
  <c r="BF612" i="6"/>
  <c r="BT611" i="6"/>
  <c r="BF611" i="6"/>
  <c r="BT610" i="6"/>
  <c r="BF610" i="6"/>
  <c r="BT609" i="6"/>
  <c r="BF609" i="6"/>
  <c r="BT608" i="6"/>
  <c r="BF608" i="6"/>
  <c r="BT607" i="6"/>
  <c r="BF607" i="6"/>
  <c r="BT606" i="6"/>
  <c r="BF606" i="6"/>
  <c r="BT605" i="6"/>
  <c r="BF605" i="6"/>
  <c r="BT604" i="6"/>
  <c r="BF604" i="6"/>
  <c r="BT603" i="6"/>
  <c r="BF603" i="6"/>
  <c r="BT602" i="6"/>
  <c r="BT601" i="6"/>
  <c r="BF601" i="6"/>
  <c r="BT600" i="6"/>
  <c r="BF600" i="6"/>
  <c r="BT599" i="6"/>
  <c r="BF599" i="6"/>
  <c r="BT598" i="6"/>
  <c r="BF598" i="6"/>
  <c r="BT597" i="6"/>
  <c r="BF597" i="6"/>
  <c r="BT596" i="6"/>
  <c r="BF596" i="6"/>
  <c r="BT595" i="6"/>
  <c r="BF595" i="6"/>
  <c r="BT594" i="6"/>
  <c r="BF594" i="6"/>
  <c r="BT593" i="6"/>
  <c r="BF593" i="6"/>
  <c r="BT592" i="6"/>
  <c r="BF592" i="6"/>
  <c r="BT591" i="6"/>
  <c r="BF591" i="6"/>
  <c r="BT590" i="6"/>
  <c r="BF590" i="6"/>
  <c r="BT589" i="6"/>
  <c r="BF589" i="6"/>
  <c r="BT588" i="6"/>
  <c r="BF588" i="6"/>
  <c r="BT587" i="6"/>
  <c r="BF587" i="6"/>
  <c r="BT586" i="6"/>
  <c r="BF586" i="6"/>
  <c r="BT585" i="6"/>
  <c r="BF585" i="6"/>
  <c r="BT584" i="6"/>
  <c r="BF584" i="6"/>
  <c r="BT583" i="6"/>
  <c r="BF583" i="6"/>
  <c r="BT582" i="6"/>
  <c r="BF582" i="6"/>
  <c r="BT581" i="6"/>
  <c r="BF581" i="6"/>
  <c r="BT580" i="6"/>
  <c r="BF580" i="6"/>
  <c r="BT579" i="6"/>
  <c r="BF579" i="6"/>
  <c r="BT578" i="6"/>
  <c r="BF578" i="6"/>
  <c r="BT577" i="6"/>
  <c r="BF577" i="6"/>
  <c r="BT576" i="6"/>
  <c r="BF576" i="6"/>
  <c r="BT575" i="6"/>
  <c r="BF575" i="6"/>
  <c r="BT574" i="6"/>
  <c r="BT573" i="6"/>
  <c r="BF573" i="6"/>
  <c r="BT572" i="6"/>
  <c r="BF572" i="6"/>
  <c r="BT571" i="6"/>
  <c r="BF571" i="6"/>
  <c r="BT570" i="6"/>
  <c r="BF570" i="6"/>
  <c r="BT569" i="6"/>
  <c r="BF569" i="6"/>
  <c r="BT568" i="6"/>
  <c r="BF568" i="6"/>
  <c r="BT567" i="6"/>
  <c r="BF567" i="6"/>
  <c r="BT566" i="6"/>
  <c r="BF566" i="6"/>
  <c r="BT565" i="6"/>
  <c r="BF565" i="6"/>
  <c r="BT564" i="6"/>
  <c r="BF564" i="6"/>
  <c r="BT563" i="6"/>
  <c r="BF563" i="6"/>
  <c r="BT562" i="6"/>
  <c r="BF562" i="6"/>
  <c r="BT561" i="6"/>
  <c r="BF561" i="6"/>
  <c r="BT560" i="6"/>
  <c r="BF560" i="6"/>
  <c r="BT559" i="6"/>
  <c r="BF559" i="6"/>
  <c r="BT558" i="6"/>
  <c r="BF558" i="6"/>
  <c r="BT557" i="6"/>
  <c r="BF557" i="6"/>
  <c r="BT556" i="6"/>
  <c r="BF556" i="6"/>
  <c r="BT555" i="6"/>
  <c r="BF555" i="6"/>
  <c r="BT554" i="6"/>
  <c r="BF554" i="6"/>
  <c r="BT553" i="6"/>
  <c r="BF553" i="6"/>
  <c r="BT552" i="6"/>
  <c r="BF552" i="6"/>
  <c r="BT551" i="6"/>
  <c r="BF551" i="6"/>
  <c r="BT550" i="6"/>
  <c r="BF550" i="6"/>
  <c r="BT549" i="6"/>
  <c r="BF549" i="6"/>
  <c r="BT548" i="6"/>
  <c r="BF548" i="6"/>
  <c r="BT547" i="6"/>
  <c r="BF547" i="6"/>
  <c r="BT546" i="6"/>
  <c r="BF546" i="6"/>
  <c r="BT545" i="6"/>
  <c r="BF545" i="6"/>
  <c r="BT544" i="6"/>
  <c r="BF544" i="6"/>
  <c r="BT543" i="6"/>
  <c r="BF543" i="6"/>
  <c r="BT542" i="6"/>
  <c r="BF542" i="6"/>
  <c r="BT541" i="6"/>
  <c r="BF541" i="6"/>
  <c r="BT540" i="6"/>
  <c r="BF540" i="6"/>
  <c r="BT539" i="6"/>
  <c r="BF539" i="6"/>
  <c r="BT538" i="6"/>
  <c r="BF538" i="6"/>
  <c r="BT537" i="6"/>
  <c r="BF537" i="6"/>
  <c r="BT536" i="6"/>
  <c r="BF536" i="6"/>
  <c r="BT535" i="6"/>
  <c r="BF535" i="6"/>
  <c r="BT534" i="6"/>
  <c r="BF534" i="6"/>
  <c r="BT533" i="6"/>
  <c r="BF533" i="6"/>
  <c r="BT532" i="6"/>
  <c r="BF532" i="6"/>
  <c r="BT531" i="6"/>
  <c r="BF531" i="6"/>
  <c r="BT530" i="6"/>
  <c r="BF530" i="6"/>
  <c r="BT529" i="6"/>
  <c r="BF529" i="6"/>
  <c r="BT528" i="6"/>
  <c r="BF528" i="6"/>
  <c r="BT527" i="6"/>
  <c r="BF527" i="6"/>
  <c r="BT526" i="6"/>
  <c r="BF526" i="6"/>
  <c r="BT525" i="6"/>
  <c r="BF525" i="6"/>
  <c r="BT524" i="6"/>
  <c r="BF524" i="6"/>
  <c r="BT523" i="6"/>
  <c r="BF523" i="6"/>
  <c r="BT522" i="6"/>
  <c r="BF522" i="6"/>
  <c r="BT521" i="6"/>
  <c r="BF521" i="6"/>
  <c r="BT520" i="6"/>
  <c r="BF520" i="6"/>
  <c r="BT519" i="6"/>
  <c r="BF519" i="6"/>
  <c r="BT518" i="6"/>
  <c r="BF518" i="6"/>
  <c r="BT517" i="6"/>
  <c r="BF517" i="6"/>
  <c r="BT516" i="6"/>
  <c r="BF516" i="6"/>
  <c r="BT515" i="6"/>
  <c r="BF515" i="6"/>
  <c r="BT514" i="6"/>
  <c r="BF514" i="6"/>
  <c r="BT513" i="6"/>
  <c r="BF513" i="6"/>
  <c r="BT512" i="6"/>
  <c r="BF512" i="6"/>
  <c r="BT511" i="6"/>
  <c r="BF511" i="6"/>
  <c r="BT510" i="6"/>
  <c r="BF510" i="6"/>
  <c r="BT509" i="6"/>
  <c r="BF509" i="6"/>
  <c r="BT508" i="6"/>
  <c r="BT507" i="6"/>
  <c r="BF507" i="6"/>
  <c r="BT506" i="6"/>
  <c r="BF506" i="6"/>
  <c r="BT505" i="6"/>
  <c r="BF505" i="6"/>
  <c r="BT504" i="6"/>
  <c r="BT503" i="6"/>
  <c r="BF503" i="6"/>
  <c r="BT502" i="6"/>
  <c r="BF502" i="6"/>
  <c r="BT501" i="6"/>
  <c r="BF501" i="6"/>
  <c r="BT500" i="6"/>
  <c r="BF500" i="6"/>
  <c r="BT499" i="6"/>
  <c r="BF499" i="6"/>
  <c r="BT498" i="6"/>
  <c r="BF498" i="6"/>
  <c r="BT497" i="6"/>
  <c r="BF497" i="6"/>
  <c r="BT496" i="6"/>
  <c r="BF496" i="6"/>
  <c r="BT495" i="6"/>
  <c r="BF495" i="6"/>
  <c r="BT494" i="6"/>
  <c r="BF494" i="6"/>
  <c r="BT493" i="6"/>
  <c r="BF493" i="6"/>
  <c r="BT492" i="6"/>
  <c r="BF492" i="6"/>
  <c r="BT491" i="6"/>
  <c r="BF491" i="6"/>
  <c r="BT490" i="6"/>
  <c r="BF490" i="6"/>
  <c r="BT489" i="6"/>
  <c r="BF489" i="6"/>
  <c r="BT488" i="6"/>
  <c r="BF488" i="6"/>
  <c r="BT487" i="6"/>
  <c r="BF487" i="6"/>
  <c r="BT486" i="6"/>
  <c r="BF486" i="6"/>
  <c r="BT485" i="6"/>
  <c r="BF485" i="6"/>
  <c r="BT484" i="6"/>
  <c r="BF484" i="6"/>
  <c r="BT483" i="6"/>
  <c r="BF483" i="6"/>
  <c r="BT482" i="6"/>
  <c r="BF482" i="6"/>
  <c r="BT481" i="6"/>
  <c r="BF481" i="6"/>
  <c r="BT480" i="6"/>
  <c r="BF480" i="6"/>
  <c r="BT479" i="6"/>
  <c r="BF479" i="6"/>
  <c r="BT478" i="6"/>
  <c r="BF478" i="6"/>
  <c r="BT477" i="6"/>
  <c r="BF477" i="6"/>
  <c r="BT476" i="6"/>
  <c r="BF476" i="6"/>
  <c r="BT475" i="6"/>
  <c r="BF475" i="6"/>
  <c r="BT474" i="6"/>
  <c r="BF474" i="6"/>
  <c r="BT473" i="6"/>
  <c r="BF473" i="6"/>
  <c r="BT472" i="6"/>
  <c r="BF472" i="6"/>
  <c r="BT471" i="6"/>
  <c r="BF471" i="6"/>
  <c r="BT470" i="6"/>
  <c r="BF470" i="6"/>
  <c r="BT469" i="6"/>
  <c r="BF469" i="6"/>
  <c r="BT468" i="6"/>
  <c r="BF468" i="6"/>
  <c r="BT467" i="6"/>
  <c r="BF467" i="6"/>
  <c r="BT466" i="6"/>
  <c r="BF466" i="6"/>
  <c r="BT465" i="6"/>
  <c r="BF465" i="6"/>
  <c r="BT464" i="6"/>
  <c r="BF464" i="6"/>
  <c r="BT463" i="6"/>
  <c r="BF463" i="6"/>
  <c r="BT462" i="6"/>
  <c r="BF462" i="6"/>
  <c r="BT461" i="6"/>
  <c r="BF461" i="6"/>
  <c r="BT460" i="6"/>
  <c r="BF460" i="6"/>
  <c r="BT459" i="6"/>
  <c r="BF459" i="6"/>
  <c r="BT458" i="6"/>
  <c r="BF458" i="6"/>
  <c r="BT457" i="6"/>
  <c r="BF457" i="6"/>
  <c r="BT456" i="6"/>
  <c r="BF456" i="6"/>
  <c r="BT455" i="6"/>
  <c r="BF455" i="6"/>
  <c r="BT454" i="6"/>
  <c r="BF454" i="6"/>
  <c r="BT453" i="6"/>
  <c r="BF453" i="6"/>
  <c r="BT452" i="6"/>
  <c r="BF452" i="6"/>
  <c r="BT451" i="6"/>
  <c r="BF451" i="6"/>
  <c r="BT450" i="6"/>
  <c r="BF450" i="6"/>
  <c r="BT449" i="6"/>
  <c r="BF449" i="6"/>
  <c r="BT448" i="6"/>
  <c r="BF448" i="6"/>
  <c r="BT447" i="6"/>
  <c r="BF447" i="6"/>
  <c r="BT446" i="6"/>
  <c r="BF446" i="6"/>
  <c r="BT445" i="6"/>
  <c r="BF445" i="6"/>
  <c r="BT444" i="6"/>
  <c r="BF444" i="6"/>
  <c r="BT443" i="6"/>
  <c r="BF443" i="6"/>
  <c r="BT442" i="6"/>
  <c r="BF442" i="6"/>
  <c r="BT441" i="6"/>
  <c r="BF441" i="6"/>
  <c r="BT440" i="6"/>
  <c r="BF440" i="6"/>
  <c r="BT439" i="6"/>
  <c r="BF439" i="6"/>
  <c r="BT438" i="6"/>
  <c r="BF438" i="6"/>
  <c r="BT437" i="6"/>
  <c r="BF437" i="6"/>
  <c r="BT436" i="6"/>
  <c r="BF436" i="6"/>
  <c r="BT435" i="6"/>
  <c r="BF435" i="6"/>
  <c r="BT434" i="6"/>
  <c r="BF434" i="6"/>
  <c r="BT433" i="6"/>
  <c r="BF433" i="6"/>
  <c r="BT432" i="6"/>
  <c r="BF432" i="6"/>
  <c r="BT431" i="6"/>
  <c r="BF431" i="6"/>
  <c r="BT430" i="6"/>
  <c r="BF430" i="6"/>
  <c r="BT429" i="6"/>
  <c r="BF429" i="6"/>
  <c r="BT428" i="6"/>
  <c r="BF428" i="6"/>
  <c r="BT427" i="6"/>
  <c r="BF427" i="6"/>
  <c r="BT426" i="6"/>
  <c r="BF426" i="6"/>
  <c r="BT425" i="6"/>
  <c r="BF425" i="6"/>
  <c r="BT424" i="6"/>
  <c r="BF424" i="6"/>
  <c r="BT423" i="6"/>
  <c r="BF423" i="6"/>
  <c r="BT422" i="6"/>
  <c r="BF422" i="6"/>
  <c r="BT421" i="6"/>
  <c r="BF421" i="6"/>
  <c r="BT420" i="6"/>
  <c r="BF420" i="6"/>
  <c r="BT419" i="6"/>
  <c r="BF419" i="6"/>
  <c r="BT418" i="6"/>
  <c r="BF418" i="6"/>
  <c r="BT417" i="6"/>
  <c r="BF417" i="6"/>
  <c r="BT416" i="6"/>
  <c r="BF416" i="6"/>
  <c r="BT415" i="6"/>
  <c r="BF415" i="6"/>
  <c r="BT414" i="6"/>
  <c r="BF414" i="6"/>
  <c r="BT413" i="6"/>
  <c r="BF413" i="6"/>
  <c r="BT412" i="6"/>
  <c r="BF412" i="6"/>
  <c r="BT411" i="6"/>
  <c r="BF411" i="6"/>
  <c r="BT410" i="6"/>
  <c r="BF410" i="6"/>
  <c r="BT409" i="6"/>
  <c r="BF409" i="6"/>
  <c r="BT408" i="6"/>
  <c r="BF408" i="6"/>
  <c r="BT407" i="6"/>
  <c r="BF407" i="6"/>
  <c r="BT406" i="6"/>
  <c r="BF406" i="6"/>
  <c r="BT405" i="6"/>
  <c r="BF405" i="6"/>
  <c r="BT404" i="6"/>
  <c r="BF404" i="6"/>
  <c r="BT403" i="6"/>
  <c r="BF403" i="6"/>
  <c r="BT402" i="6"/>
  <c r="BF402" i="6"/>
  <c r="BT401" i="6"/>
  <c r="BF401" i="6"/>
  <c r="BT400" i="6"/>
  <c r="BF400" i="6"/>
  <c r="BT399" i="6"/>
  <c r="BF399" i="6"/>
  <c r="BT398" i="6"/>
  <c r="BF398" i="6"/>
  <c r="BT397" i="6"/>
  <c r="BF397" i="6"/>
  <c r="BT396" i="6"/>
  <c r="BF396" i="6"/>
  <c r="BT395" i="6"/>
  <c r="BF395" i="6"/>
  <c r="BT394" i="6"/>
  <c r="BF394" i="6"/>
  <c r="BT393" i="6"/>
  <c r="BF393" i="6"/>
  <c r="BT392" i="6"/>
  <c r="BF392" i="6"/>
  <c r="BT391" i="6"/>
  <c r="BF391" i="6"/>
  <c r="BT390" i="6"/>
  <c r="BF390" i="6"/>
  <c r="BT389" i="6"/>
  <c r="BF389" i="6"/>
  <c r="BT388" i="6"/>
  <c r="BF388" i="6"/>
  <c r="BT387" i="6"/>
  <c r="BF387" i="6"/>
  <c r="BT386" i="6"/>
  <c r="BF386" i="6"/>
  <c r="BT385" i="6"/>
  <c r="BF385" i="6"/>
  <c r="BT384" i="6"/>
  <c r="BF384" i="6"/>
  <c r="BT383" i="6"/>
  <c r="BF383" i="6"/>
  <c r="BT382" i="6"/>
  <c r="BF382" i="6"/>
  <c r="BT381" i="6"/>
  <c r="BF381" i="6"/>
  <c r="BT380" i="6"/>
  <c r="BF380" i="6"/>
  <c r="BT379" i="6"/>
  <c r="BF379" i="6"/>
  <c r="BT378" i="6"/>
  <c r="BF378" i="6"/>
  <c r="BT377" i="6"/>
  <c r="BF377" i="6"/>
  <c r="BT376" i="6"/>
  <c r="BF376" i="6"/>
  <c r="BT375" i="6"/>
  <c r="BF375" i="6"/>
  <c r="BT374" i="6"/>
  <c r="BF374" i="6"/>
  <c r="BT373" i="6"/>
  <c r="BF373" i="6"/>
  <c r="BT372" i="6"/>
  <c r="BF372" i="6"/>
  <c r="BT371" i="6"/>
  <c r="BF371" i="6"/>
  <c r="BT370" i="6"/>
  <c r="BF370" i="6"/>
  <c r="BT369" i="6"/>
  <c r="BF369" i="6"/>
  <c r="BT368" i="6"/>
  <c r="BF368" i="6"/>
  <c r="BT367" i="6"/>
  <c r="BF367" i="6"/>
  <c r="BT366" i="6"/>
  <c r="BF366" i="6"/>
  <c r="BT365" i="6"/>
  <c r="BF365" i="6"/>
  <c r="BT364" i="6"/>
  <c r="BF364" i="6"/>
  <c r="BT363" i="6"/>
  <c r="BF363" i="6"/>
  <c r="BT362" i="6"/>
  <c r="BF362" i="6"/>
  <c r="BT361" i="6"/>
  <c r="BF361" i="6"/>
  <c r="BT360" i="6"/>
  <c r="BF360" i="6"/>
  <c r="BT359" i="6"/>
  <c r="BF359" i="6"/>
  <c r="BT358" i="6"/>
  <c r="BF358" i="6"/>
  <c r="BT357" i="6"/>
  <c r="BF357" i="6"/>
  <c r="BT356" i="6"/>
  <c r="BF356" i="6"/>
  <c r="BT355" i="6"/>
  <c r="BF355" i="6"/>
  <c r="BT354" i="6"/>
  <c r="BF354" i="6"/>
  <c r="BT353" i="6"/>
  <c r="BF353" i="6"/>
  <c r="BT352" i="6"/>
  <c r="BF352" i="6"/>
  <c r="BT351" i="6"/>
  <c r="BF351" i="6"/>
  <c r="BT350" i="6"/>
  <c r="BF350" i="6"/>
  <c r="BT349" i="6"/>
  <c r="BF349" i="6"/>
  <c r="BT348" i="6"/>
  <c r="BF348" i="6"/>
  <c r="BT347" i="6"/>
  <c r="BF347" i="6"/>
  <c r="BT346" i="6"/>
  <c r="BF346" i="6"/>
  <c r="BT345" i="6"/>
  <c r="BF345" i="6"/>
  <c r="BT344" i="6"/>
  <c r="BF344" i="6"/>
  <c r="BT343" i="6"/>
  <c r="BF343" i="6"/>
  <c r="BT342" i="6"/>
  <c r="BF342" i="6"/>
  <c r="BT341" i="6"/>
  <c r="BF341" i="6"/>
  <c r="BT340" i="6"/>
  <c r="BF340" i="6"/>
  <c r="BT339" i="6"/>
  <c r="BF339" i="6"/>
  <c r="BT338" i="6"/>
  <c r="BF338" i="6"/>
  <c r="BT337" i="6"/>
  <c r="BF337" i="6"/>
  <c r="BT336" i="6"/>
  <c r="BF336" i="6"/>
  <c r="BT335" i="6"/>
  <c r="BF335" i="6"/>
  <c r="BT334" i="6"/>
  <c r="BF334" i="6"/>
  <c r="BT333" i="6"/>
  <c r="BF333" i="6"/>
  <c r="BT332" i="6"/>
  <c r="BF332" i="6"/>
  <c r="BT331" i="6"/>
  <c r="BF331" i="6"/>
  <c r="BT330" i="6"/>
  <c r="BF330" i="6"/>
  <c r="BT329" i="6"/>
  <c r="BF329" i="6"/>
  <c r="BT328" i="6"/>
  <c r="BF328" i="6"/>
  <c r="BT327" i="6"/>
  <c r="BF327" i="6"/>
  <c r="BT326" i="6"/>
  <c r="BF326" i="6"/>
  <c r="BT325" i="6"/>
  <c r="BF325" i="6"/>
  <c r="BT324" i="6"/>
  <c r="BF324" i="6"/>
  <c r="BT323" i="6"/>
  <c r="BF323" i="6"/>
  <c r="BT322" i="6"/>
  <c r="BF322" i="6"/>
  <c r="BT321" i="6"/>
  <c r="BF321" i="6"/>
  <c r="BT320" i="6"/>
  <c r="BF320" i="6"/>
  <c r="BT319" i="6"/>
  <c r="BF319" i="6"/>
  <c r="BT318" i="6"/>
  <c r="BF318" i="6"/>
  <c r="BT317" i="6"/>
  <c r="BF317" i="6"/>
  <c r="BT316" i="6"/>
  <c r="BF316" i="6"/>
  <c r="BT315" i="6"/>
  <c r="BF315" i="6"/>
  <c r="BT314" i="6"/>
  <c r="BF314" i="6"/>
  <c r="BT313" i="6"/>
  <c r="BF313" i="6"/>
  <c r="BT312" i="6"/>
  <c r="BF312" i="6"/>
  <c r="BT311" i="6"/>
  <c r="BF311" i="6"/>
  <c r="BT310" i="6"/>
  <c r="BF310" i="6"/>
  <c r="BT309" i="6"/>
  <c r="BF309" i="6"/>
  <c r="BT308" i="6"/>
  <c r="BF308" i="6"/>
  <c r="BT307" i="6"/>
  <c r="BF307" i="6"/>
  <c r="BT306" i="6"/>
  <c r="BF306" i="6"/>
  <c r="BT305" i="6"/>
  <c r="BF305" i="6"/>
  <c r="BT304" i="6"/>
  <c r="BF304" i="6"/>
  <c r="BT303" i="6"/>
  <c r="BF303" i="6"/>
  <c r="BT302" i="6"/>
  <c r="BF302" i="6"/>
  <c r="BT301" i="6"/>
  <c r="BF301" i="6"/>
  <c r="BT300" i="6"/>
  <c r="BF300" i="6"/>
  <c r="BT299" i="6"/>
  <c r="BF299" i="6"/>
  <c r="BT298" i="6"/>
  <c r="BF298" i="6"/>
  <c r="BT297" i="6"/>
  <c r="BF297" i="6"/>
  <c r="BT296" i="6"/>
  <c r="BF296" i="6"/>
  <c r="BT295" i="6"/>
  <c r="BF295" i="6"/>
  <c r="BT294" i="6"/>
  <c r="BF294" i="6"/>
  <c r="BT293" i="6"/>
  <c r="BF293" i="6"/>
  <c r="BT292" i="6"/>
  <c r="BF292" i="6"/>
  <c r="BT291" i="6"/>
  <c r="BF291" i="6"/>
  <c r="BT290" i="6"/>
  <c r="BF290" i="6"/>
  <c r="BT289" i="6"/>
  <c r="BF289" i="6"/>
  <c r="BT288" i="6"/>
  <c r="BF288" i="6"/>
  <c r="BT287" i="6"/>
  <c r="BF287" i="6"/>
  <c r="BT286" i="6"/>
  <c r="BF286" i="6"/>
  <c r="BT285" i="6"/>
  <c r="BF285" i="6"/>
  <c r="BT284" i="6"/>
  <c r="BF284" i="6"/>
  <c r="BT283" i="6"/>
  <c r="BF283" i="6"/>
  <c r="BT282" i="6"/>
  <c r="BF282" i="6"/>
  <c r="BT281" i="6"/>
  <c r="BF281" i="6"/>
  <c r="BT280" i="6"/>
  <c r="BF280" i="6"/>
  <c r="BT279" i="6"/>
  <c r="BF279" i="6"/>
  <c r="BT278" i="6"/>
  <c r="BF278" i="6"/>
  <c r="BT277" i="6"/>
  <c r="BF277" i="6"/>
  <c r="BT276" i="6"/>
  <c r="BF276" i="6"/>
  <c r="BT275" i="6"/>
  <c r="BF275" i="6"/>
  <c r="BT274" i="6"/>
  <c r="BF274" i="6"/>
  <c r="BT273" i="6"/>
  <c r="BF273" i="6"/>
  <c r="BT272" i="6"/>
  <c r="BF272" i="6"/>
  <c r="BT271" i="6"/>
  <c r="BF271" i="6"/>
  <c r="BT270" i="6"/>
  <c r="BF270" i="6"/>
  <c r="BT269" i="6"/>
  <c r="BF269" i="6"/>
  <c r="BT268" i="6"/>
  <c r="BF268" i="6"/>
  <c r="BT267" i="6"/>
  <c r="BF267" i="6"/>
  <c r="BT266" i="6"/>
  <c r="BF266" i="6"/>
  <c r="BT265" i="6"/>
  <c r="BF265" i="6"/>
  <c r="BT264" i="6"/>
  <c r="BF264" i="6"/>
  <c r="BT263" i="6"/>
  <c r="BF263" i="6"/>
  <c r="BT262" i="6"/>
  <c r="BF262" i="6"/>
  <c r="BT261" i="6"/>
  <c r="BF261" i="6"/>
  <c r="BT260" i="6"/>
  <c r="BF260" i="6"/>
  <c r="BT259" i="6"/>
  <c r="BF259" i="6"/>
  <c r="BT258" i="6"/>
  <c r="BF258" i="6"/>
  <c r="BT257" i="6"/>
  <c r="BF257" i="6"/>
  <c r="BT256" i="6"/>
  <c r="BF256" i="6"/>
  <c r="BT255" i="6"/>
  <c r="BF255" i="6"/>
  <c r="BT254" i="6"/>
  <c r="BF254" i="6"/>
  <c r="BT253" i="6"/>
  <c r="BF253" i="6"/>
  <c r="BT252" i="6"/>
  <c r="BF252" i="6"/>
  <c r="BT251" i="6"/>
  <c r="BF251" i="6"/>
  <c r="BT250" i="6"/>
  <c r="BF250" i="6"/>
  <c r="BT249" i="6"/>
  <c r="BF249" i="6"/>
  <c r="BT248" i="6"/>
  <c r="BF248" i="6"/>
  <c r="BT247" i="6"/>
  <c r="BF247" i="6"/>
  <c r="BT246" i="6"/>
  <c r="BF246" i="6"/>
  <c r="BT245" i="6"/>
  <c r="BF245" i="6"/>
  <c r="BT244" i="6"/>
  <c r="BF244" i="6"/>
  <c r="BT243" i="6"/>
  <c r="BF243" i="6"/>
  <c r="BT242" i="6"/>
  <c r="BF242" i="6"/>
  <c r="BT241" i="6"/>
  <c r="BF241" i="6"/>
  <c r="BT240" i="6"/>
  <c r="BF240" i="6"/>
  <c r="BT239" i="6"/>
  <c r="BF239" i="6"/>
  <c r="BT238" i="6"/>
  <c r="BF238" i="6"/>
  <c r="BT237" i="6"/>
  <c r="BF237" i="6"/>
  <c r="BT236" i="6"/>
  <c r="BF236" i="6"/>
  <c r="BT235" i="6"/>
  <c r="BF235" i="6"/>
  <c r="BT234" i="6"/>
  <c r="BF234" i="6"/>
  <c r="BT233" i="6"/>
  <c r="BT232" i="6"/>
  <c r="BF232" i="6"/>
  <c r="BT231" i="6"/>
  <c r="BF231" i="6"/>
  <c r="BT230" i="6"/>
  <c r="BF230" i="6"/>
  <c r="BT229" i="6"/>
  <c r="BF229" i="6"/>
  <c r="BT228" i="6"/>
  <c r="BF228" i="6"/>
  <c r="BT227" i="6"/>
  <c r="BF227" i="6"/>
  <c r="BT226" i="6"/>
  <c r="BF226" i="6"/>
  <c r="BT225" i="6"/>
  <c r="BF225" i="6"/>
  <c r="BT224" i="6"/>
  <c r="BF224" i="6"/>
  <c r="BT223" i="6"/>
  <c r="BF223" i="6"/>
  <c r="BT222" i="6"/>
  <c r="BF222" i="6"/>
  <c r="BT221" i="6"/>
  <c r="BF221" i="6"/>
  <c r="BT220" i="6"/>
  <c r="BF220" i="6"/>
  <c r="BT219" i="6"/>
  <c r="BF219" i="6"/>
  <c r="BT218" i="6"/>
  <c r="BF218" i="6"/>
  <c r="BT217" i="6"/>
  <c r="BF217" i="6"/>
  <c r="BT216" i="6"/>
  <c r="BF216" i="6"/>
  <c r="BT215" i="6"/>
  <c r="BF215" i="6"/>
  <c r="BT214" i="6"/>
  <c r="BF214" i="6"/>
  <c r="BT213" i="6"/>
  <c r="BF213" i="6"/>
  <c r="BT212" i="6"/>
  <c r="BF212" i="6"/>
  <c r="BT211" i="6"/>
  <c r="BF211" i="6"/>
  <c r="BT210" i="6"/>
  <c r="BF210" i="6"/>
  <c r="BT209" i="6"/>
  <c r="BF209" i="6"/>
  <c r="BT208" i="6"/>
  <c r="BF208" i="6"/>
  <c r="BT207" i="6"/>
  <c r="BF207" i="6"/>
  <c r="BT206" i="6"/>
  <c r="BF206" i="6"/>
  <c r="BT205" i="6"/>
  <c r="BF205" i="6"/>
  <c r="BT204" i="6"/>
  <c r="BF204" i="6"/>
  <c r="BT203" i="6"/>
  <c r="BF203" i="6"/>
  <c r="BT202" i="6"/>
  <c r="BF202" i="6"/>
  <c r="BT201" i="6"/>
  <c r="BF201" i="6"/>
  <c r="BT200" i="6"/>
  <c r="BF200" i="6"/>
  <c r="BT199" i="6"/>
  <c r="BF199" i="6"/>
  <c r="BT198" i="6"/>
  <c r="BF198" i="6"/>
  <c r="BT197" i="6"/>
  <c r="BF197" i="6"/>
  <c r="BT196" i="6"/>
  <c r="BF196" i="6"/>
  <c r="BT195" i="6"/>
  <c r="BF195" i="6"/>
  <c r="BT194" i="6"/>
  <c r="BF194" i="6"/>
  <c r="BT193" i="6"/>
  <c r="BF193" i="6"/>
  <c r="BT192" i="6"/>
  <c r="BF192" i="6"/>
  <c r="BT191" i="6"/>
  <c r="BF191" i="6"/>
  <c r="BT190" i="6"/>
  <c r="BF190" i="6"/>
  <c r="BT189" i="6"/>
  <c r="BF189" i="6"/>
  <c r="BT188" i="6"/>
  <c r="BF188" i="6"/>
  <c r="BT187" i="6"/>
  <c r="BF187" i="6"/>
  <c r="BT186" i="6"/>
  <c r="BF186" i="6"/>
  <c r="BT185" i="6"/>
  <c r="BF185" i="6"/>
  <c r="BT184" i="6"/>
  <c r="BF184" i="6"/>
  <c r="BT183" i="6"/>
  <c r="BF183" i="6"/>
  <c r="BT182" i="6"/>
  <c r="BF182" i="6"/>
  <c r="BT181" i="6"/>
  <c r="BF181" i="6"/>
  <c r="BT180" i="6"/>
  <c r="BF180" i="6"/>
  <c r="BT179" i="6"/>
  <c r="BF179" i="6"/>
  <c r="BT178" i="6"/>
  <c r="BF178" i="6"/>
  <c r="BT177" i="6"/>
  <c r="BF177" i="6"/>
  <c r="BT176" i="6"/>
  <c r="BF176" i="6"/>
  <c r="BT175" i="6"/>
  <c r="BF175" i="6"/>
  <c r="BT174" i="6"/>
  <c r="BF174" i="6"/>
  <c r="BT173" i="6"/>
  <c r="BF173" i="6"/>
  <c r="BT172" i="6"/>
  <c r="BF172" i="6"/>
  <c r="BT171" i="6"/>
  <c r="BF171" i="6"/>
  <c r="BT170" i="6"/>
  <c r="BF170" i="6"/>
  <c r="BT169" i="6"/>
  <c r="BF169" i="6"/>
  <c r="BT168" i="6"/>
  <c r="BF168" i="6"/>
  <c r="BT167" i="6"/>
  <c r="BF167" i="6"/>
  <c r="BT166" i="6"/>
  <c r="BF166" i="6"/>
  <c r="BT165" i="6"/>
  <c r="BF165" i="6"/>
  <c r="BT164" i="6"/>
  <c r="BF164" i="6"/>
  <c r="BT163" i="6"/>
  <c r="BF163" i="6"/>
  <c r="BT162" i="6"/>
  <c r="BF162" i="6"/>
  <c r="BT161" i="6"/>
  <c r="BF161" i="6"/>
  <c r="BT160" i="6"/>
  <c r="BF160" i="6"/>
  <c r="BT159" i="6"/>
  <c r="BF159" i="6"/>
  <c r="BT158" i="6"/>
  <c r="BF158" i="6"/>
  <c r="BT157" i="6"/>
  <c r="BF157" i="6"/>
  <c r="BT156" i="6"/>
  <c r="BF156" i="6"/>
  <c r="BT155" i="6"/>
  <c r="BF155" i="6"/>
  <c r="BT154" i="6"/>
  <c r="BF154" i="6"/>
  <c r="BT153" i="6"/>
  <c r="BF153" i="6"/>
  <c r="BT152" i="6"/>
  <c r="BF152" i="6"/>
  <c r="BT151" i="6"/>
  <c r="BF151" i="6"/>
  <c r="BT150" i="6"/>
  <c r="BF150" i="6"/>
  <c r="BT149" i="6"/>
  <c r="BF149" i="6"/>
  <c r="BT148" i="6"/>
  <c r="BF148" i="6"/>
  <c r="BT147" i="6"/>
  <c r="BF147" i="6"/>
  <c r="BT146" i="6"/>
  <c r="BF146" i="6"/>
  <c r="BT145" i="6"/>
  <c r="BF145" i="6"/>
  <c r="BT144" i="6"/>
  <c r="BF144" i="6"/>
  <c r="BT143" i="6"/>
  <c r="BF143" i="6"/>
  <c r="BT142" i="6"/>
  <c r="BF142" i="6"/>
  <c r="BT141" i="6"/>
  <c r="BF141" i="6"/>
  <c r="BT140" i="6"/>
  <c r="BF140" i="6"/>
  <c r="BT139" i="6"/>
  <c r="BF139" i="6"/>
  <c r="BT138" i="6"/>
  <c r="BF138" i="6"/>
  <c r="BT137" i="6"/>
  <c r="BF137" i="6"/>
  <c r="BT136" i="6"/>
  <c r="BF136" i="6"/>
  <c r="BT135" i="6"/>
  <c r="BF135" i="6"/>
  <c r="BT134" i="6"/>
  <c r="BF134" i="6"/>
  <c r="BT133" i="6"/>
  <c r="BF133" i="6"/>
  <c r="BT132" i="6"/>
  <c r="BF132" i="6"/>
  <c r="BT131" i="6"/>
  <c r="BF131" i="6"/>
  <c r="BT130" i="6"/>
  <c r="BF130" i="6"/>
  <c r="BT129" i="6"/>
  <c r="BF129" i="6"/>
  <c r="BT128" i="6"/>
  <c r="BF128" i="6"/>
  <c r="BT127" i="6"/>
  <c r="BF127" i="6"/>
  <c r="BT126" i="6"/>
  <c r="BF126" i="6"/>
  <c r="BT125" i="6"/>
  <c r="BF125" i="6"/>
  <c r="BT124" i="6"/>
  <c r="BF124" i="6"/>
  <c r="BT123" i="6"/>
  <c r="BF123" i="6"/>
  <c r="BT122" i="6"/>
  <c r="BF122" i="6"/>
  <c r="BT121" i="6"/>
  <c r="BT120" i="6"/>
  <c r="BF120" i="6"/>
  <c r="BT119" i="6"/>
  <c r="BF119" i="6"/>
  <c r="BT118" i="6"/>
  <c r="BF118" i="6"/>
  <c r="BT117" i="6"/>
  <c r="BF117" i="6"/>
  <c r="BT116" i="6"/>
  <c r="BF116" i="6"/>
  <c r="BT115" i="6"/>
  <c r="BF115" i="6"/>
  <c r="BT114" i="6"/>
  <c r="BF114" i="6"/>
  <c r="BT113" i="6"/>
  <c r="BF113" i="6"/>
  <c r="BT112" i="6"/>
  <c r="BF112" i="6"/>
  <c r="BT111" i="6"/>
  <c r="BF111" i="6"/>
  <c r="BT110" i="6"/>
  <c r="BF110" i="6"/>
  <c r="BT109" i="6"/>
  <c r="BF109" i="6"/>
  <c r="BT108" i="6"/>
  <c r="BF108" i="6"/>
  <c r="BT107" i="6"/>
  <c r="BF107" i="6"/>
  <c r="BT106" i="6"/>
  <c r="BF106" i="6"/>
  <c r="BT105" i="6"/>
  <c r="BF105" i="6"/>
  <c r="BT104" i="6"/>
  <c r="BF104" i="6"/>
  <c r="BT103" i="6"/>
  <c r="BF103" i="6"/>
  <c r="BT102" i="6"/>
  <c r="BF102" i="6"/>
  <c r="BT101" i="6"/>
  <c r="BF101" i="6"/>
  <c r="BT100" i="6"/>
  <c r="BF100" i="6"/>
  <c r="BT99" i="6"/>
  <c r="BF99" i="6"/>
  <c r="BT98" i="6"/>
  <c r="BF98" i="6"/>
  <c r="BT97" i="6"/>
  <c r="BF97" i="6"/>
  <c r="BT96" i="6"/>
  <c r="BF96" i="6"/>
  <c r="BT95" i="6"/>
  <c r="BF95" i="6"/>
  <c r="BT94" i="6"/>
  <c r="BF94" i="6"/>
  <c r="BT93" i="6"/>
  <c r="BF93" i="6"/>
  <c r="BT92" i="6"/>
  <c r="BF92" i="6"/>
  <c r="BT91" i="6"/>
  <c r="BF91" i="6"/>
  <c r="BT90" i="6"/>
  <c r="BF90" i="6"/>
  <c r="BT89" i="6"/>
  <c r="BF89" i="6"/>
  <c r="BT88" i="6"/>
  <c r="BF88" i="6"/>
  <c r="BT87" i="6"/>
  <c r="BF87" i="6"/>
  <c r="BT86" i="6"/>
  <c r="BF86" i="6"/>
  <c r="BT85" i="6"/>
  <c r="BF85" i="6"/>
  <c r="BT84" i="6"/>
  <c r="BF84" i="6"/>
  <c r="BT83" i="6"/>
  <c r="BF83" i="6"/>
  <c r="BT82" i="6"/>
  <c r="BF82" i="6"/>
  <c r="BT81" i="6"/>
  <c r="BF81" i="6"/>
  <c r="BT80" i="6"/>
  <c r="BF80" i="6"/>
  <c r="BT79" i="6"/>
  <c r="BF79" i="6"/>
  <c r="BT78" i="6"/>
  <c r="BF78" i="6"/>
  <c r="BT77" i="6"/>
  <c r="BF77" i="6"/>
  <c r="BT76" i="6"/>
  <c r="BF76" i="6"/>
  <c r="BT75" i="6"/>
  <c r="BF75" i="6"/>
  <c r="BT74" i="6"/>
  <c r="BF74" i="6"/>
  <c r="BT73" i="6"/>
  <c r="BF73" i="6"/>
  <c r="BT72" i="6"/>
  <c r="BF72" i="6"/>
  <c r="BT71" i="6"/>
  <c r="BF71" i="6"/>
  <c r="BT70" i="6"/>
  <c r="BF70" i="6"/>
  <c r="BT69" i="6"/>
  <c r="BF69" i="6"/>
  <c r="BT68" i="6"/>
  <c r="BF68" i="6"/>
  <c r="BT67" i="6"/>
  <c r="BF67" i="6"/>
  <c r="BT66" i="6"/>
  <c r="BF66" i="6"/>
  <c r="BT65" i="6"/>
  <c r="BF65" i="6"/>
  <c r="BT64" i="6"/>
  <c r="BF64" i="6"/>
  <c r="BT63" i="6"/>
  <c r="BF63" i="6"/>
  <c r="BT62" i="6"/>
  <c r="BF62" i="6"/>
  <c r="BT61" i="6"/>
  <c r="BF61" i="6"/>
  <c r="BT60" i="6"/>
  <c r="BF60" i="6"/>
  <c r="BT59" i="6"/>
  <c r="BF59" i="6"/>
  <c r="BT58" i="6"/>
  <c r="BF58" i="6"/>
  <c r="BT57" i="6"/>
  <c r="BF57" i="6"/>
  <c r="BT56" i="6"/>
  <c r="BF56" i="6"/>
  <c r="BT55" i="6"/>
  <c r="BF55" i="6"/>
  <c r="BT54" i="6"/>
  <c r="BF54" i="6"/>
  <c r="BT53" i="6"/>
  <c r="BF53" i="6"/>
  <c r="BT52" i="6"/>
  <c r="BF52" i="6"/>
  <c r="BT51" i="6"/>
  <c r="BF51" i="6"/>
  <c r="BT50" i="6"/>
  <c r="BF50" i="6"/>
  <c r="BT49" i="6"/>
  <c r="BF49" i="6"/>
  <c r="BT48" i="6"/>
  <c r="BF48" i="6"/>
  <c r="BT47" i="6"/>
  <c r="BF47" i="6"/>
  <c r="BT46" i="6"/>
  <c r="BF46" i="6"/>
  <c r="BT45" i="6"/>
  <c r="BF45" i="6"/>
  <c r="BT44" i="6"/>
  <c r="BF44" i="6"/>
  <c r="BT43" i="6"/>
  <c r="BF43" i="6"/>
  <c r="BT42" i="6"/>
  <c r="BF42" i="6"/>
  <c r="BT41" i="6"/>
  <c r="BF41" i="6"/>
  <c r="BT40" i="6"/>
  <c r="BF40" i="6"/>
  <c r="BT39" i="6"/>
  <c r="BF39" i="6"/>
  <c r="BT38" i="6"/>
  <c r="BF38" i="6"/>
  <c r="BT37" i="6"/>
  <c r="BF37" i="6"/>
  <c r="BT36" i="6"/>
  <c r="BF36" i="6"/>
  <c r="BT35" i="6"/>
  <c r="BF35" i="6"/>
  <c r="BT34" i="6"/>
  <c r="BF34" i="6"/>
  <c r="BT33" i="6"/>
  <c r="BF33" i="6"/>
  <c r="BT32" i="6"/>
  <c r="BF32" i="6"/>
  <c r="BT31" i="6"/>
  <c r="BF31" i="6"/>
  <c r="BT30" i="6"/>
  <c r="BF30" i="6"/>
  <c r="BT29" i="6"/>
  <c r="BF29" i="6"/>
  <c r="BT28" i="6"/>
  <c r="BF28" i="6"/>
  <c r="BT27" i="6"/>
  <c r="BF27" i="6"/>
  <c r="BT26" i="6"/>
  <c r="BF26" i="6"/>
  <c r="BT25" i="6"/>
  <c r="BF25" i="6"/>
  <c r="BT24" i="6"/>
  <c r="BF24" i="6"/>
  <c r="BT23" i="6"/>
  <c r="BF23" i="6"/>
  <c r="BT22" i="6"/>
  <c r="BF22" i="6"/>
  <c r="BT21" i="6"/>
  <c r="BF21" i="6"/>
  <c r="BT20" i="6"/>
  <c r="BF20" i="6"/>
  <c r="BT19" i="6"/>
  <c r="BF19" i="6"/>
  <c r="BT18" i="6"/>
  <c r="BF18" i="6"/>
  <c r="BT17" i="6"/>
  <c r="BF17" i="6"/>
  <c r="BT16" i="6"/>
  <c r="BF16" i="6"/>
  <c r="BT15" i="6"/>
  <c r="BF15" i="6"/>
  <c r="BT14" i="6"/>
  <c r="BF14" i="6"/>
  <c r="BT13" i="6"/>
  <c r="BF13" i="6"/>
  <c r="BT12" i="6"/>
  <c r="BF12" i="6"/>
  <c r="BT11" i="6"/>
  <c r="BF11" i="6"/>
  <c r="BT10" i="6"/>
  <c r="BF10" i="6"/>
  <c r="BT9" i="6"/>
  <c r="BF9" i="6"/>
  <c r="BT8" i="6"/>
  <c r="BF8" i="6"/>
  <c r="BT7" i="6"/>
  <c r="BF7" i="6"/>
  <c r="BT6" i="6"/>
  <c r="BF6" i="6"/>
  <c r="BT5" i="6"/>
  <c r="BF5" i="6"/>
  <c r="BT4" i="6"/>
  <c r="BF4" i="6"/>
  <c r="BT3" i="6"/>
  <c r="BF3" i="6"/>
  <c r="BT2" i="6"/>
  <c r="BF2" i="6"/>
</calcChain>
</file>

<file path=xl/sharedStrings.xml><?xml version="1.0" encoding="utf-8"?>
<sst xmlns="http://schemas.openxmlformats.org/spreadsheetml/2006/main" count="99403" uniqueCount="7189">
  <si>
    <t>Publication Type</t>
  </si>
  <si>
    <t>Authors</t>
  </si>
  <si>
    <t>Book Authors</t>
  </si>
  <si>
    <t>Book Editors</t>
  </si>
  <si>
    <t>Book Group Authors</t>
  </si>
  <si>
    <t>Author Full Names</t>
  </si>
  <si>
    <t>Book Author Full Names</t>
  </si>
  <si>
    <t>Group Authors</t>
  </si>
  <si>
    <t>Article Title</t>
  </si>
  <si>
    <t>Source Title</t>
  </si>
  <si>
    <t>Book Series Title</t>
  </si>
  <si>
    <t>Book Series Subtitle</t>
  </si>
  <si>
    <t>Language</t>
  </si>
  <si>
    <t>Document Type</t>
  </si>
  <si>
    <t>Conference Title</t>
  </si>
  <si>
    <t>Conference Date</t>
  </si>
  <si>
    <t>Conference Location</t>
  </si>
  <si>
    <t>Conference Sponsor</t>
  </si>
  <si>
    <t>Conference Host</t>
  </si>
  <si>
    <t>Author Keywords</t>
  </si>
  <si>
    <t>Keywords Plus</t>
  </si>
  <si>
    <t>Abstract</t>
  </si>
  <si>
    <t>Addresses</t>
  </si>
  <si>
    <t>Affiliations</t>
  </si>
  <si>
    <t>Reprint Addresses</t>
  </si>
  <si>
    <t>Email Addresses</t>
  </si>
  <si>
    <t>Researcher Ids</t>
  </si>
  <si>
    <t>ORCIDs</t>
  </si>
  <si>
    <t>Funding Orgs</t>
  </si>
  <si>
    <t>Funding Name Preferred</t>
  </si>
  <si>
    <t>Funding Text</t>
  </si>
  <si>
    <t>Cited References</t>
  </si>
  <si>
    <t>Cited Reference Count</t>
  </si>
  <si>
    <t>Times Cited, WoS Core</t>
  </si>
  <si>
    <t>Times Cited, All Databases</t>
  </si>
  <si>
    <t>180 Day Usage Count</t>
  </si>
  <si>
    <t>Since 2013 Usage Count</t>
  </si>
  <si>
    <t>Publisher</t>
  </si>
  <si>
    <t>Publisher City</t>
  </si>
  <si>
    <t>Publisher Address</t>
  </si>
  <si>
    <t>ISSN</t>
  </si>
  <si>
    <t>eISSN</t>
  </si>
  <si>
    <t>ISBN</t>
  </si>
  <si>
    <t>Journal Abbreviation</t>
  </si>
  <si>
    <t>Journal ISO Abbreviation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</si>
  <si>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</si>
  <si>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</si>
  <si>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</si>
  <si>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</si>
  <si>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</si>
  <si>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</si>
  <si>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</si>
  <si>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Meeting Abstract</t>
  </si>
  <si>
    <t>Start Page</t>
  </si>
  <si>
    <t>End Page</t>
  </si>
  <si>
    <t>Article Number</t>
  </si>
  <si>
    <t>DOI</t>
  </si>
  <si>
    <t>DOI Link</t>
  </si>
  <si>
    <t>Book DOI</t>
  </si>
  <si>
    <t>Early Access Date</t>
  </si>
  <si>
    <t>Number of Pages</t>
  </si>
  <si>
    <t>WoS Categories</t>
  </si>
  <si>
    <t>Web of Science Index</t>
  </si>
  <si>
    <t>Research Areas</t>
  </si>
  <si>
    <t>IDS Number</t>
  </si>
  <si>
    <t>Pubmed Id</t>
  </si>
  <si>
    <t>Open Access Designations</t>
  </si>
  <si>
    <t>Highly Cited Status</t>
  </si>
  <si>
    <t>Hot Paper Status</t>
  </si>
  <si>
    <t>Date of Export</t>
  </si>
  <si>
    <t>UT (Unique WOS ID)</t>
  </si>
  <si>
    <t>Web of Science Record</t>
  </si>
  <si>
    <t>J</t>
  </si>
  <si>
    <t>Bergman, I; Lindstrom, ES; Sassenhagen, I</t>
  </si>
  <si>
    <t/>
  </si>
  <si>
    <t>Bergman, Ingrid; Lindstrom, Eva S.; Sassenhagen, Ingrid</t>
  </si>
  <si>
    <t>Ciliate Grazing on the Bloom-Forming Microalga Gonyostomum semen</t>
  </si>
  <si>
    <t>MICROBIAL ECOLOGY</t>
  </si>
  <si>
    <t>Lindström, Eva/H-5930-2016</t>
  </si>
  <si>
    <t>Lindström, Eva/0000-0001-8920-3071; Bergman, Ingrid/0000-0002-1227-9251</t>
  </si>
  <si>
    <t>0095-3628</t>
  </si>
  <si>
    <t>1432-184X</t>
  </si>
  <si>
    <t>DEC</t>
  </si>
  <si>
    <t>10.1007/s00248-024-02344-9</t>
  </si>
  <si>
    <t>WOS:001145053200001</t>
  </si>
  <si>
    <t>Young, JD; Jarjanazi, H; Palmer, ME</t>
  </si>
  <si>
    <t>Young, Joelle D.; Jarjanazi, Hamdi; Palmer, Michelle E.</t>
  </si>
  <si>
    <t>Multiple signs of ecosystem change in the zooplankton community of a large temperate lake</t>
  </si>
  <si>
    <t>CANADIAN JOURNAL OF FISHERIES AND AQUATIC SCIENCES</t>
  </si>
  <si>
    <t>0706-652X</t>
  </si>
  <si>
    <t>1205-7533</t>
  </si>
  <si>
    <t>10.1139/cjfas-2023-0138</t>
  </si>
  <si>
    <t>MAY 2024</t>
  </si>
  <si>
    <t>WOS:001227121500001</t>
  </si>
  <si>
    <t>Lopatina, T; Oskina, N; Zadereev, E</t>
  </si>
  <si>
    <t>Lopatina, Tatiana; Oskina, Natalia; Zadereev, Egor</t>
  </si>
  <si>
    <t>Salinity sensitivity of Moina macrocopa post-diapause females hatched from resting eggs of different ages</t>
  </si>
  <si>
    <t>AQUATIC ECOLOGY</t>
  </si>
  <si>
    <t>1386-2588</t>
  </si>
  <si>
    <t>1573-5125</t>
  </si>
  <si>
    <t>2024 MAY 13</t>
  </si>
  <si>
    <t>10.1007/s10452-024-10110-9</t>
  </si>
  <si>
    <t>WOS:001221510400001</t>
  </si>
  <si>
    <t>Wander, HL; Lewis, ASL; Howard, DW; Lofton, ME; Woelmer, WM; Brown, BL; Carey, CC</t>
  </si>
  <si>
    <t>Wander, Heather L.; Lewis, Abigail S. L.; Howard, Dexter W.; Lofton, Mary E.; Woelmer, Whitney M.; Brown, Bryan L.; Carey, Cayelan C.</t>
  </si>
  <si>
    <t>Zooplankton community structure and diel migration patterns vary over hours, days, and years in the pelagic and littoral zone of a eutrophic reservoir</t>
  </si>
  <si>
    <t>JOURNAL OF PLANKTON RESEARCH</t>
  </si>
  <si>
    <t>0142-7873</t>
  </si>
  <si>
    <t>1464-3774</t>
  </si>
  <si>
    <t>10.1093/plankt/fbae017</t>
  </si>
  <si>
    <t>APR 2024</t>
  </si>
  <si>
    <t>WOS:001211130600001</t>
  </si>
  <si>
    <t>Tian, XW; Wang, Y; Xu, T; Guo, YY; Bi, YH; Liu, YQ; Liang, Y; Cui, WB; Liu, YW; Hu, LG; Yin, YG; Cai, Y; Jiang, GB</t>
  </si>
  <si>
    <t>Tian, Xiangwei; Wang, Ying; Xu, Tao; Guo, Yingying; Bi, Yonghong; Liu, Yanqun; Liang, Yong; Cui, Wenbin; Liu, Yanwei; Hu, Ligang; Yin, Yongguang; Cai, Yong; Jiang, Guibin</t>
  </si>
  <si>
    <t>Bioconcentration of Inorganic and Methyl Mercury by Algae Revealed Using Dual-Mass Single-Cell ICP-MS with Double Isotope Tracers</t>
  </si>
  <si>
    <t>ENVIRONMENTAL SCIENCE &amp; TECHNOLOGY</t>
  </si>
  <si>
    <t>0013-936X</t>
  </si>
  <si>
    <t>1520-5851</t>
  </si>
  <si>
    <t>APR 22</t>
  </si>
  <si>
    <t>10.1021/acs.est.3c10884</t>
  </si>
  <si>
    <t>WOS:001226272300001</t>
  </si>
  <si>
    <t>Paolucci, EM; Burlakova, LE; Yarza, N; Correa, N; Boltovskoy, D; Karatayev, AY</t>
  </si>
  <si>
    <t>Paolucci, Esteban M.; Burlakova, Lyubov E.; Yarza, Natalia; Correa, Nancy; Boltovskoy, Demetrio; Karatayev, Alexander Y.</t>
  </si>
  <si>
    <t>Planktonic larvae of the invasive bivalves Dreissena spp. and Limnoperna fortunei: review of their effects on freshwater communities</t>
  </si>
  <si>
    <t>HYDROBIOLOGIA</t>
  </si>
  <si>
    <t>Paolucci, Esteban/V-6211-2018</t>
  </si>
  <si>
    <t>Paolucci, Esteban/0000-0001-7847-1484</t>
  </si>
  <si>
    <t>0018-8158</t>
  </si>
  <si>
    <t>1573-5117</t>
  </si>
  <si>
    <t>2024 APR 11</t>
  </si>
  <si>
    <t>10.1007/s10750-024-05521-6</t>
  </si>
  <si>
    <t>WOS:001200728500003</t>
  </si>
  <si>
    <t>Welbara, DE; Gebre-Meskel, DK; Hailu, TF</t>
  </si>
  <si>
    <t>Welbara, Demtew Etisa; Gebre-Meskel, Demeke Kifle; Hailu, Tadesse Fetahi</t>
  </si>
  <si>
    <t>Morpho-functional traits of phytoplankton functional groups: a review</t>
  </si>
  <si>
    <t>BIOLOGIA</t>
  </si>
  <si>
    <t>0006-3088</t>
  </si>
  <si>
    <t>1336-9563</t>
  </si>
  <si>
    <t>2024 MAR 28</t>
  </si>
  <si>
    <t>10.1007/s11756-024-01669-7</t>
  </si>
  <si>
    <t>MAR 2024</t>
  </si>
  <si>
    <t>WOS:001194859400003</t>
  </si>
  <si>
    <t>da Silva, TT; Bortolini, JC; Iatskiu, P; Pilatti, MC; Medeiros, G; Amaral, MWW; Guicho, R; Bueno, NC</t>
  </si>
  <si>
    <t>da Silva, Thais Tagliati; Bortolini, Jascieli Carla; Iatskiu, Patricia; Pilatti, Maria Clara; Medeiros, Gabriela; Amaral, Mailor Wellinton Wedig; Guicho, Ricardo; Bueno, Norma Catarina</t>
  </si>
  <si>
    <t>Local environmental factors are the main drivers of phytoplankton biovolume in subtropical streams of Brazil</t>
  </si>
  <si>
    <t>SCIENCE OF THE TOTAL ENVIRONMENT</t>
  </si>
  <si>
    <t>0048-9697</t>
  </si>
  <si>
    <t>1879-1026</t>
  </si>
  <si>
    <t>MAY 20</t>
  </si>
  <si>
    <t>10.1016/j.scitotenv.2024.171663</t>
  </si>
  <si>
    <t>WOS:001219475500001</t>
  </si>
  <si>
    <t>Llorente, A; Fraile, H; de Bikuña, BG; Seoane, S</t>
  </si>
  <si>
    <t>Llorente, Alfredo; Fraile, Henar; de Bikuna, Begona Gartzia; Seoane, Sergio</t>
  </si>
  <si>
    <t>HPLC validation as a management tool in artificial water storage ponds</t>
  </si>
  <si>
    <t>LIMNOLOGICA</t>
  </si>
  <si>
    <t>0075-9511</t>
  </si>
  <si>
    <t>1873-5851</t>
  </si>
  <si>
    <t>MAR</t>
  </si>
  <si>
    <t>10.1016/j.limno.2024.126160</t>
  </si>
  <si>
    <t>WOS:001203002900001</t>
  </si>
  <si>
    <t>Qin, SS; Deng, ZY; Ma, YQ; Gu, L; Lee, JS; Yang, Z</t>
  </si>
  <si>
    <t>Qin, Shanshan; Deng, Ziyi; Ma, Yiqing; Gu, Lei; Lee, Jae-Seong; Yang, Zhou</t>
  </si>
  <si>
    <t>Differential interference effects of thermal pollution on the induced defense of different body-sized cladocerans</t>
  </si>
  <si>
    <t>Lee, Jae-Seong/H-6013-2015</t>
  </si>
  <si>
    <t>Lee, Jae-Seong/0000-0003-0944-5172</t>
  </si>
  <si>
    <t>APR 20</t>
  </si>
  <si>
    <t>10.1016/j.scitotenv.2024.171426</t>
  </si>
  <si>
    <t>WOS:001207495000001</t>
  </si>
  <si>
    <t>Yan, X; Li, SZ; Al, MA; Mo, YY; Zuo, J; Grossart, HP; Zhang, HT; Yang, YG; Jeppesen, E; Yang, J</t>
  </si>
  <si>
    <t>Yan, Xue; Li, Shuzhen; Al, Mamun Abdullah; Mo, Yuanyuan; Zuo, Jun; Grossart, Hans-Peter; Zhang, Hongteng; Yang, Yigang; Jeppesen, Erik; Yang, Jun</t>
  </si>
  <si>
    <t>Community stability of free-living and particle-attached bacteria in a subtropical reservoir with salinity fluctuations over 3 years</t>
  </si>
  <si>
    <t>WATER RESEARCH</t>
  </si>
  <si>
    <t>0043-1354</t>
  </si>
  <si>
    <t>1879-2448</t>
  </si>
  <si>
    <t>MAY 1</t>
  </si>
  <si>
    <t>10.1016/j.watres.2024.121344</t>
  </si>
  <si>
    <t>WOS:001211400500001</t>
  </si>
  <si>
    <t>Laine, M; Martin-Creuzburg, D; Litmanen, JJ; Taipale, SJ</t>
  </si>
  <si>
    <t>Laine, Miikka Benjami; Martin-Creuzburg, Dominik; Litmanen, Jaakko J.; Taipale, Sami J.</t>
  </si>
  <si>
    <t>Sterol limitation of Daphnia on eukaryotic phytoplankton: a combined supplementation and compound-specific stable isotope labeling approach</t>
  </si>
  <si>
    <t>OIKOS</t>
  </si>
  <si>
    <t>Martin-Creuzburg, Dominik/C-6361-2011</t>
  </si>
  <si>
    <t>0030-1299</t>
  </si>
  <si>
    <t>1600-0706</t>
  </si>
  <si>
    <t>10.1111/oik.10359</t>
  </si>
  <si>
    <t>FEB 2024</t>
  </si>
  <si>
    <t>WOS:001175773900001</t>
  </si>
  <si>
    <t>Zou, SB; Lian, QP; Ni, M; Zhou, D; Liu, M; Zhang, X; Chen, GM; Yuan, JL</t>
  </si>
  <si>
    <t>Zou, Songbao; Lian, Qingping; Ni, Meng; Zhou, Dan; Liu, Mei; Zhang, Xin; Chen, Guangmei; Yuan, Julin</t>
  </si>
  <si>
    <t>Spatiotemporal assembly and functional composition of planktonic microeukaryotic communities along productivity gradients in a subtropical lake</t>
  </si>
  <si>
    <t>FRONTIERS IN MICROBIOLOGY</t>
  </si>
  <si>
    <t>1664-302X</t>
  </si>
  <si>
    <t>FEB 19</t>
  </si>
  <si>
    <t>10.3389/fmicb.2024.1351772</t>
  </si>
  <si>
    <t>WOS:001176039700001</t>
  </si>
  <si>
    <t>Kim, JO; Dimitriou, A; Forster, I; Tseng, M</t>
  </si>
  <si>
    <t>Kim, Jihyun Olivia; Dimitriou, Alexandra; Forster, Ian; Tseng, Michelle</t>
  </si>
  <si>
    <t>Heatwave-mediated decreases in phytoplankton quality negatively affect zooplankton productivity</t>
  </si>
  <si>
    <t>FUNCTIONAL ECOLOGY</t>
  </si>
  <si>
    <t>Forster, Ian/E-8098-2010</t>
  </si>
  <si>
    <t>Forster, Ian/0000-0002-4256-4432; Kim, Jihyun/0000-0003-2207-840X; Dimitriou, Alexandra/0009-0007-9894-9001</t>
  </si>
  <si>
    <t>0269-8463</t>
  </si>
  <si>
    <t>1365-2435</t>
  </si>
  <si>
    <t>APR</t>
  </si>
  <si>
    <t>10.1111/1365-2435.14530</t>
  </si>
  <si>
    <t>WOS:001163411800001</t>
  </si>
  <si>
    <t>Tye, SP; Fey, SB; Gibert, JP; Siepielski, AM</t>
  </si>
  <si>
    <t>Tye, Simon P.; Fey, Samuel B.; Gibert, Jean P.; Siepielski, Adam M.</t>
  </si>
  <si>
    <t>Predator mass mortality events restructure food webs through trophic decoupling</t>
  </si>
  <si>
    <t>NATURE</t>
  </si>
  <si>
    <t>0028-0836</t>
  </si>
  <si>
    <t>1476-4687</t>
  </si>
  <si>
    <t>FEB 8</t>
  </si>
  <si>
    <t>10.1038/s41586-023-06931-7</t>
  </si>
  <si>
    <t>WOS:001159144100006</t>
  </si>
  <si>
    <t>Arnoldt, S; Pourdanandeh, M; Spikkeland, I; Andersson, MX; Selander, E</t>
  </si>
  <si>
    <t>Arnoldt, Sina; Pourdanandeh, Milad; Spikkeland, Ingvar; Andersson, Mats X.; Selander, Erik</t>
  </si>
  <si>
    <t>Mass spectroscopy reveals compositional differences in copepodamides from limnic and marine copepods</t>
  </si>
  <si>
    <t>SCIENTIFIC REPORTS</t>
  </si>
  <si>
    <t>Arnoldt, Sina/0009-0006-3168-9076; Pourdanandeh, Milad/0009-0002-7640-5728</t>
  </si>
  <si>
    <t>2045-2322</t>
  </si>
  <si>
    <t>FEB 7</t>
  </si>
  <si>
    <t>10.1038/s41598-024-53247-1</t>
  </si>
  <si>
    <t>WOS:001158921600069</t>
  </si>
  <si>
    <t>Jansen, LS; Sobota, D; Pan, YD; Strecker, AL</t>
  </si>
  <si>
    <t>Jansen, Lara S.; Sobota, Daniel; Pan, Yangdong; Strecker, Angela L.</t>
  </si>
  <si>
    <t>Watershed, lake, and food web factors influence diazotrophic cyanobacteria in mountain lakes</t>
  </si>
  <si>
    <t>LIMNOLOGY AND OCEANOGRAPHY</t>
  </si>
  <si>
    <t>; Strecker, Angela/E-9430-2016</t>
  </si>
  <si>
    <t>Jansen, Lara/0000-0001-7289-593X; Strecker, Angela/0000-0001-9387-1654</t>
  </si>
  <si>
    <t>0024-3590</t>
  </si>
  <si>
    <t>1939-5590</t>
  </si>
  <si>
    <t>10.1002/lno.12523</t>
  </si>
  <si>
    <t>WOS:001155308300001</t>
  </si>
  <si>
    <t>Weisse, T</t>
  </si>
  <si>
    <t>Weisse, Thomas</t>
  </si>
  <si>
    <t>Physiological mortality of planktonic ciliates: Estimates, causes, and consequences</t>
  </si>
  <si>
    <t>Weisse, Thomas/0000-0001-6103-6558</t>
  </si>
  <si>
    <t>10.1002/lno.12503</t>
  </si>
  <si>
    <t>JAN 2024</t>
  </si>
  <si>
    <t>WOS:001138444300001</t>
  </si>
  <si>
    <t>Razak, MR; Aris, AZ; Zaki, MRM; Yusoff, FM; Yusof, ZNB</t>
  </si>
  <si>
    <t>Razak, Muhammad Raznisyafiq; Aris, Ahmad Zaharin; Zaki, Muhammad Rozaimi Mohd; Yusoff, Fatimah Md; Yusof, Zetty Norhana Balia</t>
  </si>
  <si>
    <t>Phenological and life-history responses of a tropical cladoceran Moina micrura to multiple environmental drivers</t>
  </si>
  <si>
    <t>MARINE AND FRESHWATER RESEARCH</t>
  </si>
  <si>
    <t>Razak, Muhammad Raznisyafiq/X-3978-2019</t>
  </si>
  <si>
    <t>Razak, Muhammad Raznisyafiq/0000-0001-7358-050X</t>
  </si>
  <si>
    <t>1323-1650</t>
  </si>
  <si>
    <t>1448-6059</t>
  </si>
  <si>
    <t>MF23173</t>
  </si>
  <si>
    <t>10.1071/MF23173</t>
  </si>
  <si>
    <t>WOS:001200313200001</t>
  </si>
  <si>
    <t>Morim, T; Henriques, S; Vasconcelos, R; Dolbeth, M</t>
  </si>
  <si>
    <t>Morim, Teofilo; Henriques, Sofia; Vasconcelos, Rita; Dolbeth, Marina</t>
  </si>
  <si>
    <t>A roadmap to define and select aquatic biological traits at different scales of analysis</t>
  </si>
  <si>
    <t>Henriques, Sofia/B-1690-2012; Dolbeth, Marina/I-3840-2013</t>
  </si>
  <si>
    <t>Henriques, Sofia/0000-0002-0165-2997; Dolbeth, Marina/0000-0002-8775-0351</t>
  </si>
  <si>
    <t>DEC 22</t>
  </si>
  <si>
    <t>10.1038/s41598-023-50146-9</t>
  </si>
  <si>
    <t>WOS:001129675600009</t>
  </si>
  <si>
    <t>Baker, D; Godwin, CM; Khanam, M; Burtner, AM; Dick, GJ; Denef, VJ</t>
  </si>
  <si>
    <t>Baker, Dylan; Godwin, Casey M.; Khanam, Muhtamim; Burtner, Ashley M.; Dick, Gregory J.; Denef, Vincent J.</t>
  </si>
  <si>
    <t>Variation in resource competition traits among Microcystis strains is affected by their microbiomes</t>
  </si>
  <si>
    <t>MLIFE</t>
  </si>
  <si>
    <t>Godwin, Casey/JVZ-2099-2024; Dick, Gregory J/D-8901-2012</t>
  </si>
  <si>
    <t>2097-1699</t>
  </si>
  <si>
    <t>2770-100X</t>
  </si>
  <si>
    <t>10.1002/mlf2.12094</t>
  </si>
  <si>
    <t>DEC 2023</t>
  </si>
  <si>
    <t>WOS:001127307900001</t>
  </si>
  <si>
    <t>Wei, Q; Xu, YF; Ruan, AD</t>
  </si>
  <si>
    <t>Wei, Qi; Xu, Yaofei; Ruan, Aidong</t>
  </si>
  <si>
    <t>Spatial and temporal patterns of phytoplankton community succession and characteristics of realized niches in Lake Taihu, China</t>
  </si>
  <si>
    <t>ENVIRONMENTAL RESEARCH</t>
  </si>
  <si>
    <t>0013-9351</t>
  </si>
  <si>
    <t>1096-0953</t>
  </si>
  <si>
    <t>FEB 15</t>
  </si>
  <si>
    <t>10.1016/j.envres.2023.117896</t>
  </si>
  <si>
    <t>WOS:001138059500001</t>
  </si>
  <si>
    <t>Sildever, S; Stewart, RIA; Tesson, SVM</t>
  </si>
  <si>
    <t>Sildever, Sirje; Stewart, Rebecca I. A.; Tesson, Sylvie V. M.</t>
  </si>
  <si>
    <t>Factors contributing to the potential expansion of Limnomonas gaiensis (Chlamydomonadales, Chlorophyta) in freshwater lakes in Northern Europe</t>
  </si>
  <si>
    <t>EUROPEAN JOURNAL OF PHYCOLOGY</t>
  </si>
  <si>
    <t>Sildever, Sirje/G-6674-2017; Tesson, Sylvie/D-9018-2015</t>
  </si>
  <si>
    <t>0967-0262</t>
  </si>
  <si>
    <t>1469-4433</t>
  </si>
  <si>
    <t>APR 2</t>
  </si>
  <si>
    <t>10.1080/09670262.2023.2274080</t>
  </si>
  <si>
    <t>WOS:001119041300001</t>
  </si>
  <si>
    <t>Denys, L; De Smet, WH</t>
  </si>
  <si>
    <t>Denys, Luc; De Smet, Willem H.</t>
  </si>
  <si>
    <t>Diversity, Composition and Environmental Relations of Periphytic Rotifer Assemblages in Lentic Freshwater Bodies (Flanders, Lower Belgium)</t>
  </si>
  <si>
    <t>DIVERSITY-BASEL</t>
  </si>
  <si>
    <t>/0000-0002-1841-6579</t>
  </si>
  <si>
    <t>1424-2818</t>
  </si>
  <si>
    <t>10.3390/d15121214</t>
  </si>
  <si>
    <t>WOS:001135967300001</t>
  </si>
  <si>
    <t>Guinto, SKP; Machida, RJ; Papa, RDS</t>
  </si>
  <si>
    <t>Guinto, Shea K. P.; Machida, Ryuji J.; Papa, Rey D. S.</t>
  </si>
  <si>
    <t>Insights on the connectivity, genetic diversity, and population structure of Arctodiaptomus dorsalis (Marsh, 1907) (Copepoda: Calanoida: Diaptomidae) in the Philippines</t>
  </si>
  <si>
    <t>JOURNAL OF CRUSTACEAN BIOLOGY</t>
  </si>
  <si>
    <t>0278-0372</t>
  </si>
  <si>
    <t>1937-240X</t>
  </si>
  <si>
    <t>DEC 1</t>
  </si>
  <si>
    <t>ruad070</t>
  </si>
  <si>
    <t>10.1093/jcbiol/ruad070</t>
  </si>
  <si>
    <t>WOS:001110210500002</t>
  </si>
  <si>
    <t>Zuo, YP; Southard, M; Xu, QN; Zhang, GX; Skibinski, E; Moon, N; Gan, L; Chen, YS; Jiang, L</t>
  </si>
  <si>
    <t>Zuo, Yiping; Southard, Michael; Xu, Qianna; Zhang, Guangxing; Skibinski, Emily; Moon, Nicole; Gan, Lan; Chen, Yongsheng; Jiang, Lin</t>
  </si>
  <si>
    <t>Cell size-dependent species sensitivity to nanoparticles underlies changes in phytoplankton diversity and productivity</t>
  </si>
  <si>
    <t>GLOBAL CHANGE BIOLOGY</t>
  </si>
  <si>
    <t>Zhang, Guangxing/KFS-6333-2024</t>
  </si>
  <si>
    <t>Zhang, Guangxing/0000-0002-8683-7404; Zuo, Yiping/0009-0000-8216-9544</t>
  </si>
  <si>
    <t>1354-1013</t>
  </si>
  <si>
    <t>1365-2486</t>
  </si>
  <si>
    <t>JAN</t>
  </si>
  <si>
    <t>10.1111/gcb.17049</t>
  </si>
  <si>
    <t>NOV 2023</t>
  </si>
  <si>
    <t>WOS:001105424600001</t>
  </si>
  <si>
    <t>Monjot, A; Bronner, G; Courtine, D; Cruaud, C; Da Silva, C; Aury, JM; Gavory, F; Moné, A; Vellet, A; Wawrzyniak, I; Colombet, J; Billard, H; Debroas, D; Lepère, C</t>
  </si>
  <si>
    <t>Monjot, Arthur; Bronner, Gisele; Courtine, Damien; Cruaud, Corinne; Da Silva, Corinne; Aury, Jean-Marc; Gavory, Frederick; Mone, Anne; Vellet, Agnes; Wawrzyniak, Ivan; Colombet, Jonathan; Billard, Hermine; Debroas, Didier; Lepere, Cecile</t>
  </si>
  <si>
    <t>Functional diversity of microbial eukaryotes in a meromictic lake: Coupling between metatranscriptomic and a trait-based approach</t>
  </si>
  <si>
    <t>ENVIRONMENTAL MICROBIOLOGY</t>
  </si>
  <si>
    <t>Aury, Jean-Marc/N-1621-2019</t>
  </si>
  <si>
    <t>1462-2912</t>
  </si>
  <si>
    <t>1462-2920</t>
  </si>
  <si>
    <t>10.1111/1462-2920.16531</t>
  </si>
  <si>
    <t>WOS:001097007400001</t>
  </si>
  <si>
    <t>Bautista-Regil, J; Sánchez, AJ; Salcedo, MA; Arredondo-Vega, BO; Ruiz-Carrera, V</t>
  </si>
  <si>
    <t>Bautista-Regil, Jesus; Sanchez, Alberto J.; Salcedo, Miguel Angel; Arredondo-Vega, Bertha Olivia; Ruiz-Carrera, Violeta</t>
  </si>
  <si>
    <t>Lipid Prospection Based on the Cellular Size of Phytoplankton Communities from Tropical Freshwater Ecosystems: A Systematic Literature Review</t>
  </si>
  <si>
    <t>WATER</t>
  </si>
  <si>
    <t>Sánchez, Alberto J./D-7515-2017; Salcedo, Miguel Angel/E-3600-2017</t>
  </si>
  <si>
    <t>Sánchez, Alberto J./0000-0002-9967-6494; Salcedo, Miguel Angel/0000-0003-4117-0770; Arredondo-Vega, Bertha Olivia/0000-0003-3670-1426</t>
  </si>
  <si>
    <t>2073-4441</t>
  </si>
  <si>
    <t>NOV</t>
  </si>
  <si>
    <t>10.3390/w15213774</t>
  </si>
  <si>
    <t>WOS:001100321400001</t>
  </si>
  <si>
    <t>Guo, SJ; Wang, F; Liang, JH; Zhang, KN; Sun, XX</t>
  </si>
  <si>
    <t>Guo, Shujin; Wang, Feng; Liang, Junhua; Zhang, Kangning; Sun, Xiaoxia</t>
  </si>
  <si>
    <t>Phytoplankton carbon biomass: Insights from the eastern Indian Ocean</t>
  </si>
  <si>
    <t>DEEP-SEA RESEARCH PART I-OCEANOGRAPHIC RESEARCH PAPERS</t>
  </si>
  <si>
    <t>Yan, Lu/KHW-7015-2024</t>
  </si>
  <si>
    <t>0967-0637</t>
  </si>
  <si>
    <t>1879-0119</t>
  </si>
  <si>
    <t>10.1016/j.dsr.2023.104190</t>
  </si>
  <si>
    <t>WOS:001107001500001</t>
  </si>
  <si>
    <t>Huang, J; Jin, J; Sun, YF; Zhang, L; Huang, Y; Yang, Z</t>
  </si>
  <si>
    <t>Huang, Jing; Jin, Jin; Sun, Yunfei; Zhang, Lu; Huang, Yuan; Yang, Zhou</t>
  </si>
  <si>
    <t>Can long-term salinity acclimation eliminate the inhibitory effect of salinization on anti-predation defense of Daphnia?</t>
  </si>
  <si>
    <t>ENVIRONMENTAL SCIENCE AND POLLUTION RESEARCH</t>
  </si>
  <si>
    <t>Huang, Yuan/0000-0003-1751-9039; Yang, Zhou/0000-0001-9664-7105</t>
  </si>
  <si>
    <t>0944-1344</t>
  </si>
  <si>
    <t>1614-7499</t>
  </si>
  <si>
    <t>10.1007/s11356-023-30609-2</t>
  </si>
  <si>
    <t>OCT 2023</t>
  </si>
  <si>
    <t>WOS:001092083000005</t>
  </si>
  <si>
    <t>Harvey, THP</t>
  </si>
  <si>
    <t>Harvey, Thomas H. P.</t>
  </si>
  <si>
    <t>Colonial green algae in the Cambrian plankton</t>
  </si>
  <si>
    <t>PROCEEDINGS OF THE ROYAL SOCIETY B-BIOLOGICAL SCIENCES</t>
  </si>
  <si>
    <t>0962-8452</t>
  </si>
  <si>
    <t>1471-2954</t>
  </si>
  <si>
    <t>OCT 25</t>
  </si>
  <si>
    <t>10.1098/rspb.2023.1882</t>
  </si>
  <si>
    <t>WOS:001089307500003</t>
  </si>
  <si>
    <t>Trépanier-Leroux, D; Yates, MC; Astorg, L; Fraser, DJ; Humphries, S; Cristescu, ME; Derry, AM</t>
  </si>
  <si>
    <t>Trepanier-Leroux, Daphne; Yates, Matthew C.; Astorg, Louis; Fraser, Dylan J.; Humphries, Shelley; Cristescu, Melania E.; Derry, Alison M.</t>
  </si>
  <si>
    <t>Density-dependent effects of exotic brook trout on aquatic communities in mountain lakes revealed by environmental DNA and morphological taxonomy</t>
  </si>
  <si>
    <t>Cristescu, Melania Elena/H-3401-2018</t>
  </si>
  <si>
    <t>10.1007/s10750-023-05398-x</t>
  </si>
  <si>
    <t>WOS:001088201400001</t>
  </si>
  <si>
    <t>Cui, ZJ; Huang, QH; Sun, JJ; Wan, B; Zhang, SH; Shen, JW; Wu, JW; Li, JH; Yang, CT</t>
  </si>
  <si>
    <t>Cui, Zhijie; Huang, Qinghui; Sun, Jiajia; Wan, Bin; Zhang, Shaohua; Shen, Jianwei; Wu, Jingwen; Li, Jianhua; Yang, Changtao</t>
  </si>
  <si>
    <t>The Secchi disk depth to water depth ratio affects morphological traits of submerged macrophytes: Development patterns and ecological implications</t>
  </si>
  <si>
    <t>JAN 10</t>
  </si>
  <si>
    <t>10.1016/j.scitotenv.2023.167882</t>
  </si>
  <si>
    <t>WOS:001102854800001</t>
  </si>
  <si>
    <t>Qin, SS; Yang, TT; Yu, B; Zhang, L; Gu, L; Sun, YF; Yang, Z</t>
  </si>
  <si>
    <t>Qin, Shanshan; Yang, Tingting; Yu, Bo; Zhang, Lu; Gu, Lei; Sun, Yunfei; Yang, Zhou</t>
  </si>
  <si>
    <t>The stress effect of atrazine on the inducible defense traits of Daphnia pulex in response to fish predation risk: Evidences from morphology, life history traits, and expression of the defense-related genes</t>
  </si>
  <si>
    <t>ENVIRONMENTAL POLLUTION</t>
  </si>
  <si>
    <t>Yang, Zhou/0000-0001-9664-7105</t>
  </si>
  <si>
    <t>0269-7491</t>
  </si>
  <si>
    <t>1873-6424</t>
  </si>
  <si>
    <t>OCT 15</t>
  </si>
  <si>
    <t>10.1016/j.envpol.2022.119965</t>
  </si>
  <si>
    <t>WOS:001131819800001</t>
  </si>
  <si>
    <t>Murphy, CA; Pollock, AMM; Arismendi, I; Johnson, SL</t>
  </si>
  <si>
    <t>Murphy, Christina A.; Pollock, Amanda M. M.; Arismendi, Ivan; Johnson, Sherri L.</t>
  </si>
  <si>
    <t>HABs and HAB nots: Dynamics of phytoplankton blooms across similar oligotrophic reservoirs</t>
  </si>
  <si>
    <t>Murphy, Christina/O-4941-2019; Arismendi, Ivan/B-3144-2010</t>
  </si>
  <si>
    <t>Murphy, Christina/0000-0002-3467-6610; Arismendi, Ivan/0000-0002-8774-9350</t>
  </si>
  <si>
    <t>10.1016/j.limno.2023.126110</t>
  </si>
  <si>
    <t>WOS:001091794800001</t>
  </si>
  <si>
    <t>Lengyel, E; Stenger-Kovacs, C; Boros, G; Al-Imari, TJK; Novák, Z; Bernát, G</t>
  </si>
  <si>
    <t>Lengyel, Edina; Stenger-Kovacs, Csilla; Boros, Gergely; Al-Imari, Tiba Jassam Kaison; Novak, Zoltan; Bernat, Gabor</t>
  </si>
  <si>
    <t>Anticipated impacts of climate change on the structure and function of phytobenthos in freshwater lakes</t>
  </si>
  <si>
    <t>Stenger-Kovács, Csilla/G-5192-2014</t>
  </si>
  <si>
    <t>10.1016/j.envres.2023.117283</t>
  </si>
  <si>
    <t>WOS:001086949100001</t>
  </si>
  <si>
    <t>Santovito, A; Pappalardo, A; Nota, A; Prearo, M; Schleicherová, D</t>
  </si>
  <si>
    <t>Santovito, Alfredo; Pappalardo, Alessia; Nota, Alessandro; Prearo, Marino; Schleicherova, Dasa</t>
  </si>
  <si>
    <t>Lymnaea stagnalis and Ophryotrocha diadema as Model Organisms for Studying Genotoxicological and Physiological Effects of Benzophenone-3</t>
  </si>
  <si>
    <t>TOXICS</t>
  </si>
  <si>
    <t>2305-6304</t>
  </si>
  <si>
    <t>OCT</t>
  </si>
  <si>
    <t>10.3390/toxics11100827</t>
  </si>
  <si>
    <t>WOS:001094311000001</t>
  </si>
  <si>
    <t>Arnette, SD; Simonitis, LE; Egan, JP; Cohen, KE; Kolmann, MA</t>
  </si>
  <si>
    <t>Arnette, S. D.; Simonitis, L. E.; Egan, J. P.; Cohen, K. E.; Kolmann, M. A.</t>
  </si>
  <si>
    <t>True grit? Comparative anatomy and evolution of gizzards in fishes</t>
  </si>
  <si>
    <t>JOURNAL OF ANATOMY</t>
  </si>
  <si>
    <t>Simonitis, Lauren/0000-0001-6789-1803; Cohen, Karly/0000-0001-6556-5414</t>
  </si>
  <si>
    <t>0021-8782</t>
  </si>
  <si>
    <t>1469-7580</t>
  </si>
  <si>
    <t>FEB</t>
  </si>
  <si>
    <t>10.1111/joa.13956</t>
  </si>
  <si>
    <t>SEP 2023</t>
  </si>
  <si>
    <t>WOS:001074691200001</t>
  </si>
  <si>
    <t>Blackburn-Desbiens, P; Grosbois, G; Power, M; Culp, J; Rautio, M</t>
  </si>
  <si>
    <t>Blackburn-Desbiens, Penelope; Grosbois, Guillaume; Power, Michael; Culp, Joseph; Rautio, Milla</t>
  </si>
  <si>
    <t>Integrating hydrological connectivity and zooplankton composition in Arctic ponds and lakes</t>
  </si>
  <si>
    <t>FRESHWATER BIOLOGY</t>
  </si>
  <si>
    <t>Blackburn-Desbiens, Penelope/0000-0002-6541-7531; Culp, Joseph/0000-0003-3051-8794; Rautio, Milla/0000-0002-2375-9082</t>
  </si>
  <si>
    <t>0046-5070</t>
  </si>
  <si>
    <t>1365-2427</t>
  </si>
  <si>
    <t>10.1111/fwb.14181</t>
  </si>
  <si>
    <t>WOS:001070535300001</t>
  </si>
  <si>
    <t>Grizancic, L; Baricevic, A; Tankovic, MS; Vlasicek, I; Knjaz, M; Podolsak, I; Kogovsek, T; Pfannkuchen, MA; Pfannkuchen, DM</t>
  </si>
  <si>
    <t>Grizancic, Lana; Baricevic, Ana; Tankovic, Mirta Smodlaka; Vlasicek, Ivan; Knjaz, Mia; Podolsak, Ivan; Kogovsek, Tjasa; Pfannkuchen, Martin Andreas; Pfannkuchen, Daniela Mario</t>
  </si>
  <si>
    <t>A metabarcode based (species) inventory of the northern Adriatic phytoplankton</t>
  </si>
  <si>
    <t>BIODIVERSITY DATA JOURNAL</t>
  </si>
  <si>
    <t>Smodlaka Tanković, Mirta/ABW-3227-2022</t>
  </si>
  <si>
    <t>1314-2836</t>
  </si>
  <si>
    <t>1314-2828</t>
  </si>
  <si>
    <t>SEP 25</t>
  </si>
  <si>
    <t>e106947</t>
  </si>
  <si>
    <t>10.3897/BDJ.11.e106947</t>
  </si>
  <si>
    <t>WOS:001093189000001</t>
  </si>
  <si>
    <t>Santangeli, A; Weigel, B; Anto, LH; Kaarlejärvi, E; Hällfors, M; Lehikoinen, A; Lindén, A; Salemaa, M; Tonteri, T; Merilä, P; Vuorio, K; Ovaskainen, O; Vanhatalo, J; Roslin, T; Saastamoinen, M</t>
  </si>
  <si>
    <t>Santangeli, Andrea; Weigel, Benjamin; Anto, Laura H.; Kaarlejaervi, Elina; Haellfors, Maria; Lehikoinen, Aleksi; Linden, Andreas; Salemaa, Maija; Tonteri, Tiina; Merilae, Paeivi; Vuorio, Kristiina; Ovaskainen, Otso; Vanhatalo, Jarno; Roslin, Tomas; Saastamoinen, Marjo</t>
  </si>
  <si>
    <t>Mixed effects of a national protected area network on terrestrial and freshwater biodiversity</t>
  </si>
  <si>
    <t>NATURE COMMUNICATIONS</t>
  </si>
  <si>
    <t>2041-1723</t>
  </si>
  <si>
    <t>SEP 13</t>
  </si>
  <si>
    <t>10.1038/s41467-023-41073-4</t>
  </si>
  <si>
    <t>WOS:001087583700003</t>
  </si>
  <si>
    <t>Stefanidis, K; Oikonomou, A; Dimitrellos, G; Tsoukalas, D; Papastergiadou, E</t>
  </si>
  <si>
    <t>Stefanidis, Konstantinos; Oikonomou, Anthi; Dimitrellos, Georgios; Tsoukalas, Dionysios; Papastergiadou, Eva</t>
  </si>
  <si>
    <t>Relationships between Environmental Factors and Functional Traits of Macrophyte Assemblages in Running Waters of Greece</t>
  </si>
  <si>
    <t>SEP</t>
  </si>
  <si>
    <t>10.3390/d15090949</t>
  </si>
  <si>
    <t>WOS:001071622800001</t>
  </si>
  <si>
    <t>Tóth, F; Zsuga, K; Kerepeczki, E; Kovács, B; Magura, T; Körmöczi, L; Lövei, GL</t>
  </si>
  <si>
    <t>Toth, Florian; Zsuga, Katalin; Kerepeczki, Eva; Kovacs, Balazs; Magura, Tibor; Kormoczi, Laszlo; Lovei, Gabor L.</t>
  </si>
  <si>
    <t>Discordant spatiotemporal dynamics of functional and phylogenetic diversity of rotiferan communities exposed to aquaculture effluent</t>
  </si>
  <si>
    <t>ECOLOGY AND EVOLUTION</t>
  </si>
  <si>
    <t>2045-7758</t>
  </si>
  <si>
    <t>e10503</t>
  </si>
  <si>
    <t>10.1002/ece3.10503</t>
  </si>
  <si>
    <t>WOS:001062403200001</t>
  </si>
  <si>
    <t>Zhang, Y; Shen, RJ; Li, KY; Li, QS; Chen, HH; He, H; Gu, XH; Mao, ZG; Johnson, RK</t>
  </si>
  <si>
    <t>Zhang, You; Shen, Ruijie; Li, Kuanyi; Li, Qisheng; Chen, Huihui; He, Hu; Gu, Xiaohong; Mao, Zhigang; Johnson, Richard K.</t>
  </si>
  <si>
    <t>Top-down effects of filter-feeding fish and bivalves moderate bottom-up effects of nutrients on phytoplankton in subtropical shallow lakes: An outdoor mesocosm study</t>
  </si>
  <si>
    <t>Chen, Huihui/L-8521-2019; Johnson, Richard/P-4991-2014</t>
  </si>
  <si>
    <t>Chen, Huihui/0000-0003-2643-0597; Zhang, You/0000-0002-5037-7653; Johnson, Richard/0000-0001-7979-6563</t>
  </si>
  <si>
    <t>e10567</t>
  </si>
  <si>
    <t>10.1002/ece3.10567</t>
  </si>
  <si>
    <t>WOS:001069182100001</t>
  </si>
  <si>
    <t>Kankiliç, GB; Koraltan, I; Erkmen, B; Çagan, AS; Çirak, T; Özen, M; Seyfe, M; Altindag, A; Tavsanoglu, UN</t>
  </si>
  <si>
    <t>Kankilic, Gokben Basaran; Koraltan, Idris; Erkmen, Belda; Cagan, Ali Serhan; Cirak, Tamer; Ozen, Mihriban; Seyfe, Melike; Altindag, Ahmet; Tavsanoglu, Ulku Nihan</t>
  </si>
  <si>
    <t>Size-selective microplastic uptake by freshwater organisms: Fish, mussel, and zooplankton</t>
  </si>
  <si>
    <t>koraltan, idris/0000-0001-7776-3047; ÇIRAK, Tamer/0000-0003-0431-9919; Tavsanoglu, Ulku Nihan/0000-0001-8462-415X; BASARAN KANKILIC, Gokben/0000-0001-7551-4899; SEYFE, Melike/0000-0002-8448-8976</t>
  </si>
  <si>
    <t>NOV 1</t>
  </si>
  <si>
    <t>10.1016/j.envpol.2023.122445</t>
  </si>
  <si>
    <t>AUG 2023</t>
  </si>
  <si>
    <t>WOS:001067204200001</t>
  </si>
  <si>
    <t>Çelekli, A; Lekesiz, Ö; Çetin, T</t>
  </si>
  <si>
    <t>Celekli, Abuzer; Lekesiz, Omer; Cetin, Tolga</t>
  </si>
  <si>
    <t>Limno-assessment of phytoplankton composition in relation to environmental conditions of lakes in Antalya River Basin</t>
  </si>
  <si>
    <t>ENVIRONMENTAL QUALITY MANAGEMENT</t>
  </si>
  <si>
    <t>1088-1913</t>
  </si>
  <si>
    <t>1520-6483</t>
  </si>
  <si>
    <t>10.1002/tqem.22093</t>
  </si>
  <si>
    <t>WOS:001109860300001</t>
  </si>
  <si>
    <t>Reed, KA; Williamson, RT; Lee, SG; Lee, JH; Covi, JA</t>
  </si>
  <si>
    <t>Reed, Katherine A.; Williamson, R. Thomas; Lee, Sung Gu; Lee, Jun Hyuck; Covi, Joseph A.</t>
  </si>
  <si>
    <t>Reversible intracellular acidification and depletion of NTPs provide a potential physiological origin for centuries of dormancy in an Antarctic freshwater copepod</t>
  </si>
  <si>
    <t>AUG 15</t>
  </si>
  <si>
    <t>10.1038/s41598-023-40180-y</t>
  </si>
  <si>
    <t>WOS:001050087800029</t>
  </si>
  <si>
    <t>Titocci, J; Fink, P</t>
  </si>
  <si>
    <t>Titocci, Jessica; Fink, Patrick</t>
  </si>
  <si>
    <t>Disturbance alters phytoplankton functional traits and consequently drives changes in zooplankton life-history traits and lipid composition</t>
  </si>
  <si>
    <t>Fink, Patrick/A-5901-2009</t>
  </si>
  <si>
    <t>Fink, Patrick/0000-0002-5927-8977; Titocci, Jessica/0000-0001-9157-1578</t>
  </si>
  <si>
    <t>10.1007/s10750-023-05323-2</t>
  </si>
  <si>
    <t>WOS:001046081300002</t>
  </si>
  <si>
    <t>Liu, HL; Cheng, WQ; Xiong, P; Li, HM; Liu, ZG; Ai, JW; Yuan, DB; Wan, F; Wan, Y; Zou, H; Shu, P</t>
  </si>
  <si>
    <t>Liu, Huili; Cheng, Wanqing; Xiong, Peng; Li, Huimin; Liu, Zugen; Ai, Jiawei; Yuan, Dingbo; Wan, Fei; Wan, Ying; Zou, Hao; Shu, Peng</t>
  </si>
  <si>
    <t>Temporal variation of plankton and zoobenthos communities in a freshwater reservoir: Structure feature, construction mechanism, associated symbiosis and environmental response</t>
  </si>
  <si>
    <t>ECOLOGICAL INDICATORS</t>
  </si>
  <si>
    <t>1470-160X</t>
  </si>
  <si>
    <t>1872-7034</t>
  </si>
  <si>
    <t>10.1016/j.ecolind.2023.110774</t>
  </si>
  <si>
    <t>WOS:001062856400001</t>
  </si>
  <si>
    <t>Yang, YL; Wang, H; Yan, SW; Wang, T; Zhang, PY; Zhang, H; Wang, HX; Hansson, LA; Xu, J</t>
  </si>
  <si>
    <t>Yang, Yalan; Wang, Huan; Yan, Shuwen; Wang, Tao; Zhang, Peiyu; Zhang, Huan; Wang, Hongxia; Hansson, Lars-Anders; Xu, Jun</t>
  </si>
  <si>
    <t>Chemodiversity of Cyanobacterial Toxins Driven by Future Scenarios of Climate Warming and Eutrophication</t>
  </si>
  <si>
    <t>Wang, Tao/HPI-0324-2023</t>
  </si>
  <si>
    <t>Wang, Tao/0000-0001-7087-4596; Yang, Yalan/0009-0004-2619-8876</t>
  </si>
  <si>
    <t>AUG 3</t>
  </si>
  <si>
    <t>10.1021/acs.est.3c02257</t>
  </si>
  <si>
    <t>WOS:001040267600001</t>
  </si>
  <si>
    <t>Guermazi, W; El-khateeb, M; Abu-Dalo, M; Sallemi, I; Al-Rahahleh, B; Rekik, A; Belmonte, G; Ayadi, H; Annabi-Trabelsi, N</t>
  </si>
  <si>
    <t>Guermazi, Wassim; El-khateeb, Mohammad; Abu-Dalo, Muna; Sallemi, Ikbel; Al-Rahahleh, Bashar; Rekik, Amira; Belmonte, Genuario; Ayadi, Habib; Annabi-Trabelsi, Neila</t>
  </si>
  <si>
    <t>Assessment of the Zooplankton Community and Water Quality in an Artificial Freshwater Lake from a Semi-Arid Area (Irbid, Jordan)</t>
  </si>
  <si>
    <t>AbuDalo, Muna/KHY-7270-2024; GUERMAZI, Wassim/KIB-8808-2024; Annabi-Trabelsi, Neila/JVN-2930-2024</t>
  </si>
  <si>
    <t>Annabi-Trabelsi, Neila/0000-0002-2920-4555; belmonte, genuario/0000-0002-7473-116X; GUERMAZI, Wassim/0000-0003-4309-744X; AbuDalo, Muna/0000-0002-3800-4715; El-khateeb, Mohammad/0000-0002-5201-2287</t>
  </si>
  <si>
    <t>AUG</t>
  </si>
  <si>
    <t>10.3390/w15152796</t>
  </si>
  <si>
    <t>WOS:001046371800001</t>
  </si>
  <si>
    <t>Neptune, TC; Benard, MF</t>
  </si>
  <si>
    <t>Neptune, Troy C. C.; Benard, Michael F. F.</t>
  </si>
  <si>
    <t>Photoperiod effects in a freshwater community: Amphibian larvae develop faster and zooplankton abundance increases under an early-season photoperiod</t>
  </si>
  <si>
    <t>Neptune, Troy/0000-0003-3092-8101</t>
  </si>
  <si>
    <t>e10400</t>
  </si>
  <si>
    <t>10.1002/ece3.10400</t>
  </si>
  <si>
    <t>WOS:001044331600001</t>
  </si>
  <si>
    <t>Zhu, YM; Qi, QS; Lu, XX; Fan, YW; Liu, Y; Tan, X</t>
  </si>
  <si>
    <t>Zhu, Yimin; Qi, Qingsong; Lu, Xinxin; Fan, Yawen; Liu, Yan; Tan, Xiang</t>
  </si>
  <si>
    <t>Local environmental variables outperform spatial and land use pattern in the maintenance and assembly of phytoplankton communities in the wetland cluster</t>
  </si>
  <si>
    <t>JOURNAL OF CLEANER PRODUCTION</t>
  </si>
  <si>
    <t>zhou, yuwei/KHD-4127-2024; Wang, Yibin/KEZ-9645-2024</t>
  </si>
  <si>
    <t>?, ?/0000-0002-5424-2297</t>
  </si>
  <si>
    <t>0959-6526</t>
  </si>
  <si>
    <t>1879-1786</t>
  </si>
  <si>
    <t>SEP 20</t>
  </si>
  <si>
    <t>10.1016/j.jclepro.2023.138275</t>
  </si>
  <si>
    <t>JUL 2023</t>
  </si>
  <si>
    <t>WOS:001052143700001</t>
  </si>
  <si>
    <t>Giacomini, HC; de Kerckhove, DT; Kopf, V; Chu, C</t>
  </si>
  <si>
    <t>Giacomini, Henrique Correa; de Kerckhove, Derrick T.; Kopf, Victoria; Chu, Cindy</t>
  </si>
  <si>
    <t>Statistical modelling of aquatic size spectra: integrating data from multiple taxa and sampling methods</t>
  </si>
  <si>
    <t>AQUATIC ECOSYSTEM HEALTH &amp; MANAGEMENT</t>
  </si>
  <si>
    <t>1463-4988</t>
  </si>
  <si>
    <t>1539-4077</t>
  </si>
  <si>
    <t>JUL-SEP</t>
  </si>
  <si>
    <t>10.14321/aehm.026.03.17</t>
  </si>
  <si>
    <t>WOS:001184700900004</t>
  </si>
  <si>
    <t>Hernández-García, CI; Martínez-Jerónimo, F</t>
  </si>
  <si>
    <t>Hernandez-Garcia, Claudia Ivette; Martinez-Jeronimo, Fernando</t>
  </si>
  <si>
    <t>Changes in the morphology and cell ultrastructure of a microalgal community exposed to a commercial glyphosate formulation and a toxigenic cyanobacterium</t>
  </si>
  <si>
    <t>JUN 22</t>
  </si>
  <si>
    <t>10.3389/fmicb.2023.1195776</t>
  </si>
  <si>
    <t>WOS:001024468800001</t>
  </si>
  <si>
    <t>Wang, ZK; Yu, SM; Nie, YF; Zhang, N; Zhu, WT; Zhou, ZQ; Diao, JL</t>
  </si>
  <si>
    <t>Wang, Zikang; Yu, Simin; Nie, Yufan; Zhang, Ning; Zhu, Wentao; Zhou, Zhiqiang; Diao, Jinling</t>
  </si>
  <si>
    <t>Interspecific insights into direct and indirect effects of acetochlor on interactions between daphnids and microalgae: Toxic, trophic, and grazer-infochemical responses</t>
  </si>
  <si>
    <t>10.1016/j.scitotenv.2023.164718</t>
  </si>
  <si>
    <t>JUN 2023</t>
  </si>
  <si>
    <t>WOS:001026200300001</t>
  </si>
  <si>
    <t>Razak, MR; Aris, AZ; Yusoff, FM; Yusof, ZNB; Kim, SD; Kim, KW</t>
  </si>
  <si>
    <t>Razak, Muhammad Raznisyafiq; Aris, Ahmad Zaharin; Yusoff, Fatimah Md; Yusof, Zetty Norhana Balia; Kim, Sang Don; Kim, Kyoung Woong</t>
  </si>
  <si>
    <t>De Novo Transcriptomic and Life-History Responses of Moina Micrura Under Stress Environment Conditions</t>
  </si>
  <si>
    <t>MARINE BIOTECHNOLOGY</t>
  </si>
  <si>
    <t>1436-2228</t>
  </si>
  <si>
    <t>1436-2236</t>
  </si>
  <si>
    <t>JUN</t>
  </si>
  <si>
    <t>10.1007/s10126-023-10220-9</t>
  </si>
  <si>
    <t>WOS:001005825000001</t>
  </si>
  <si>
    <t>Castilho-Noll, MSM; Perbiche-Neves, G; dos Santos, NG; Schwind, LTF; Lansac-Tôha, FM; da Silva, ACS; de Meira, BR; Joko, CY; de Morais, CS; Silva, EEC; Eskinazi-Sant'Anna, EM; Oliveira, FR; Santos, GD; da Silva, JVF; Portinho, JL; de Araujo-Paina, K; Chiarelli, LJ; Diniz, LP; Braghin, LDM; Velho, LFM; de Souza, MET; da Silva, MLC; Rocha, MA; Progênio, M; Ferreira, N; Cirillo, PH; Morari, PHR; Arrieira, RL; Mantovano, T; Gazulha, V; de Melo, VLDA; Ghidini, AR; de melo Junior, MD; Lansac-Toha, FA; Bonecker, CC; Simoes, NR</t>
  </si>
  <si>
    <t>Castilho-Noll, Maria Stela Maioli; Perbiche-Neves, Gilmar; dos Santos, Natan Guilherme; Schwind, Leilane Talita Fatoreto; Lansac-Toha, Fernando Miranda; da Silva, Alan Cleber Santos; de Meira, Bianca Ramos; Joko, Ciro Yoshio; de Morais-Junior, Claudio Simoes; Silva, Edissa Emi Cortez; Eskinazi-Sant'Anna, Eneida Maria; Oliveira, Felipe Rafael; Santos, Gleice de Souza; da Silva, Joao Vitor Fonseca; Portinho, Jorge Laco; de Araujo-Paina, Karime; Chiarelli, Laura Jardim; Diniz, Leidiane Pereira; Braghin, Louizi de Souza Magalha; Velho, Luiz Felipe Machado; de Souza, Maria Eduarda Turcato; da Silva, Mariana Lessa Carneiro; Rocha, Mariane Amorim; Progenio, Melissa; Ferreira, Natalia; Cirillo, Pedro Henrique; Morari, Pedro Henrique Ribeiro; Arrieira, Rodrigo Leite; Mantovano, Tatiane; Gazulha, Vanessa; de Melo, Viviane Lucia dos Santos Almeida; Ghidini, Andre Ricardo; de Melo Junior, Mauro; Lansac-Toha, Fabio Amodeo; Bonecker, Claudia Costa; Simoes, Nadson Ressye</t>
  </si>
  <si>
    <t>A review of 121 years of studies on the freshwater zooplankton of Brazil</t>
  </si>
  <si>
    <t>MAY</t>
  </si>
  <si>
    <t>10.1016/j.limno.2023.126057</t>
  </si>
  <si>
    <t>WOS:001030262000001</t>
  </si>
  <si>
    <t>Alvarez-Codesal, S; Faillace, CA; Garreau, A; Bestion, E; Synodinos, AD; Montoya, JM</t>
  </si>
  <si>
    <t>Alvarez-Codesal, Soraya; Faillace, Cara A.; Garreau, Alexandre; Bestion, Elvire; Synodinos, Alexis D.; Montoya, Jose M.</t>
  </si>
  <si>
    <t>Thermal mismatches explain consumer-resource dynamics in response to environmental warming</t>
  </si>
  <si>
    <t>Bestion, Elvire/D-4281-2015</t>
  </si>
  <si>
    <t>Bestion, Elvire/0000-0001-5622-7907; Synodinos, Alexis D./0000-0001-9646-2688; Alvarez Codesal, Soraya/0000-0001-6399-1954; Faillace, Cara/0000-0002-9850-4957</t>
  </si>
  <si>
    <t>e10179</t>
  </si>
  <si>
    <t>10.1002/ece3.10179</t>
  </si>
  <si>
    <t>WOS:001008547100001</t>
  </si>
  <si>
    <t>Rogalski, MA; Ferah, U</t>
  </si>
  <si>
    <t>Rogalski, Mary A.; Ferah, Utku</t>
  </si>
  <si>
    <t>Lake water chemistry and population of origin interact to shape fecundity and growth in Daphnia ambigua</t>
  </si>
  <si>
    <t>Rogalski, Mary/0000-0003-1728-3409</t>
  </si>
  <si>
    <t>e10176</t>
  </si>
  <si>
    <t>10.1002/ece3.10176</t>
  </si>
  <si>
    <t>WOS:001015486000001</t>
  </si>
  <si>
    <t>Vilgrain, L; Maps, F; Basedow, S; Trudnowska, E; Madoui, MA; Niehoff, B; Ayata, SD</t>
  </si>
  <si>
    <t>Vilgrain, Laure; Maps, Frederic; Basedow, Suennje; Trudnowska, Emilia; Madoui, Mohammed-Amin; Niehoff, Barbara; Ayata, Sakina-Dorothee</t>
  </si>
  <si>
    <t>Copepods' true colors: astaxanthin pigmentation as an indicator of fitness</t>
  </si>
  <si>
    <t>ECOSPHERE</t>
  </si>
  <si>
    <t>2150-8925</t>
  </si>
  <si>
    <t>e4489</t>
  </si>
  <si>
    <t>10.1002/ecs2.4489</t>
  </si>
  <si>
    <t>WOS:001003030400001</t>
  </si>
  <si>
    <t>Volkova, EN; Zadereev, ES</t>
  </si>
  <si>
    <t>Volkova, Elena N.; Zadereev, Egor S.</t>
  </si>
  <si>
    <t>Combined Effect of Methylfarnezoate and Food Concentration on the Reproductive Parameters of Two Cladoceran Species of the Genus Moina</t>
  </si>
  <si>
    <t>VESTNIK TOMSKOGO GOSUDARSTVENNOGO UNIVERSITETA-BIOLOGIYA</t>
  </si>
  <si>
    <t>1998-8591</t>
  </si>
  <si>
    <t>2311-2077</t>
  </si>
  <si>
    <t>10.17223/19988591/62/5</t>
  </si>
  <si>
    <t>WOS:001112524000005</t>
  </si>
  <si>
    <t>Walker, RH; Belvin, AC; Mouser, JB; Pennino, A; Plont, S; Robinson, CD; Smith, LB; Thapa, J; Zipper, CE; Angermeier, PL; Entrekin, SA</t>
  </si>
  <si>
    <t>Walker, Richard H.; Belvin, Abigail C.; Mouser, Joshua B.; Pennino, Amanda; Plont, Stephen; Robinson, Christopher D.; Smith, Lucy B.; Thapa, Jyoti; Zipper, Carl E.; Angermeier, Paul L.; Entrekin, Sally A.</t>
  </si>
  <si>
    <t>Global review reveals how disparate study motivations, analytical designs, and focal ions limit understanding of salinization effects on freshwater animals</t>
  </si>
  <si>
    <t>; Plont, Stephen/Q-3608-2018</t>
  </si>
  <si>
    <t>10.1016/j.scitotenv.2023.164061</t>
  </si>
  <si>
    <t>WOS:001024698400001</t>
  </si>
  <si>
    <t>Hernández-Zamora, M; Rodríguez-Miguel, A; Martínez-Jerónimo, L; Martínez-Jerónimo, F</t>
  </si>
  <si>
    <t>Hernandez-Zamora, Miriam; Rodriguez-Miguel, Alma; Martinez-Jeronimo, Laura; Martinez-Jeronimo, Fernando</t>
  </si>
  <si>
    <t>Combined Toxicity of Glyphosate (Faena®) and Copper to the American Cladoceran Daphnia exilis-A Two-Generation Analysis</t>
  </si>
  <si>
    <t>MAY 26</t>
  </si>
  <si>
    <t>10.3390/w15112018</t>
  </si>
  <si>
    <t>WOS:001006059000001</t>
  </si>
  <si>
    <t>Ramaekers, L; Vanschoenwinkel, B; Brendonck, L; Pinceel, T</t>
  </si>
  <si>
    <t>Ramaekers, Lana; Vanschoenwinkel, Bram; Brendonck, Luc; Pinceel, Tom</t>
  </si>
  <si>
    <t>Elevated dissolved carbon dioxide and associated acidification delays maturation and decreases calcification and survival in the freshwater crustacean Daphnia magna</t>
  </si>
  <si>
    <t>JUL</t>
  </si>
  <si>
    <t>10.1002/lno.12372</t>
  </si>
  <si>
    <t>MAY 2023</t>
  </si>
  <si>
    <t>WOS:000985751500001</t>
  </si>
  <si>
    <t>Branco, CWC; Fintelman-Oliveira, E; Miranda, VBD</t>
  </si>
  <si>
    <t>Branco, Christina Wyss Castelo; Fintelman-Oliveira, Ewerton; Miranda, Viviane Bernardes dos Santos</t>
  </si>
  <si>
    <t>A review of functional approaches for the study of freshwater communities with a focus on zooplankton</t>
  </si>
  <si>
    <t>Miranda, Viviane Miranda BS/J-3446-2017</t>
  </si>
  <si>
    <t>SI</t>
  </si>
  <si>
    <t>10.1007/s10750-023-05227-1</t>
  </si>
  <si>
    <t>APR 2023</t>
  </si>
  <si>
    <t>WOS:000978134000001</t>
  </si>
  <si>
    <t>Twardochleb, LA; Zarnetske, PL; Klausmeier, CA</t>
  </si>
  <si>
    <t>Twardochleb, Laura A.; Zarnetske, Phoebe L.; Klausmeier, Christopher A.</t>
  </si>
  <si>
    <t>Life-history responses to temperature and seasonality mediate ectotherm consumer-resource dynamics under climate warming</t>
  </si>
  <si>
    <t>Klausmeier, Christopher/0000-0002-6987-5871</t>
  </si>
  <si>
    <t>APR 26</t>
  </si>
  <si>
    <t>10.1098/rspb.2022.2377</t>
  </si>
  <si>
    <t>WOS:000976014100002</t>
  </si>
  <si>
    <t>Earl, BC; McIntosh, AR; O'Regan, RP; Brown, SK; Warburton, HJ</t>
  </si>
  <si>
    <t>Earl, Brittany C.; McIntosh, Angus R.; O'Regan, Ryan P.; Brown, Saskia K.; Warburton, Helen J.</t>
  </si>
  <si>
    <t>Invasion of a non-native anuran likely disrupts pond ecosystems</t>
  </si>
  <si>
    <t>10.1111/fwb.14097</t>
  </si>
  <si>
    <t>WOS:000972178100001</t>
  </si>
  <si>
    <t>De Meester, L; Declerck, SAJ; Ger, KA</t>
  </si>
  <si>
    <t>De Meester, Luc; Declerck, Steven A. J.; Ger, Kemal Ali</t>
  </si>
  <si>
    <t>Beyond Daphnia: a plea for a more inclusive and unifying approach to freshwater zooplankton ecology</t>
  </si>
  <si>
    <t>10.1007/s10750-023-05217-3</t>
  </si>
  <si>
    <t>WOS:000968104900001</t>
  </si>
  <si>
    <t>Torres, R; Reid, B; Pizarro, G; Frangópulos, M; Alarcón, E; Márquez, M; Díaz-Rosas, F; Menschel, E; González, HE; Moreno-Meynard, P; Montero, P; Pacheco, H; Pinto-Torres, M; Alarcón, C; Ibañez, R; Hawkings, J</t>
  </si>
  <si>
    <t>Torres, Rodrigo; Reid, Brian; Pizarro, Gemita; Frangopulos, Maximo; Alarcon, Emilio; Marquez, Magdalena; Diaz-Rosas, Francisco; Menschel, Eduardo; Gonzalez, Humberto E.; Moreno-Meynard, Paulo; Montero, Paulina; Pacheco, Hernan; Pinto-Torres, Marco; Alarcon, Cesar; Ibanez, Rodrigo; Hawkings, Jon</t>
  </si>
  <si>
    <t>Iron and silicic acid addition effects on early spring macronutrient drawdown and biogenic silica production of Patagonia estuarine waters</t>
  </si>
  <si>
    <t>PROGRESS IN OCEANOGRAPHY</t>
  </si>
  <si>
    <t>Pinto Torres, Marco Antonio/GNH-4287-2022</t>
  </si>
  <si>
    <t>0079-6611</t>
  </si>
  <si>
    <t>1873-4472</t>
  </si>
  <si>
    <t>10.1016/j.pocean.2023.102982</t>
  </si>
  <si>
    <t>WOS:000982541400001</t>
  </si>
  <si>
    <t>Tökölyi, J</t>
  </si>
  <si>
    <t>Tokolyi, Jacint</t>
  </si>
  <si>
    <t>Warming increases survival and asexual fitness in a facultatively sexual freshwater cnidarian with winter diapause</t>
  </si>
  <si>
    <t>Tökölyi, Jácint/HTL-9021-2023</t>
  </si>
  <si>
    <t>Tökölyi, Jácint/0000-0002-6908-6493</t>
  </si>
  <si>
    <t>e9981</t>
  </si>
  <si>
    <t>10.1002/ece3.9981</t>
  </si>
  <si>
    <t>WOS:000968764400001</t>
  </si>
  <si>
    <t>Boisseaux, P; Hopkinson, P; Santillo, D; Smith, C; Garmulewicz, A; Powell, Z; Galloway, T</t>
  </si>
  <si>
    <t>Boisseaux, Paul; Hopkinson, Peter; Santillo, David; Smith, Charlene; Garmulewicz, Alysia; Powell, Zoe; Galloway, Tamara</t>
  </si>
  <si>
    <t>Environmental safety of second and third generation bioplastics in the context of the circular economy</t>
  </si>
  <si>
    <t>ECOTOXICOLOGY AND ENVIRONMENTAL SAFETY</t>
  </si>
  <si>
    <t>0147-6513</t>
  </si>
  <si>
    <t>1090-2414</t>
  </si>
  <si>
    <t>10.1016/j.ecoenv.2023.114835</t>
  </si>
  <si>
    <t>MAR 2023</t>
  </si>
  <si>
    <t>WOS:000968806600001</t>
  </si>
  <si>
    <t>Klasios, N; Tseng, M</t>
  </si>
  <si>
    <t>Klasios, Natasha; Tseng, Michelle</t>
  </si>
  <si>
    <t>Microplastics in subsurface water and zooplankton from eight lakes in British Columbia</t>
  </si>
  <si>
    <t>Klasios, Natasha/0000-0002-7527-6090</t>
  </si>
  <si>
    <t>10.1139/cjfas-2022-0293</t>
  </si>
  <si>
    <t>WOS:000978403300001</t>
  </si>
  <si>
    <t>Mavrianos, S; Manzi, F; Agha, R; Azoubib, N; Schampera, C; Wolinska, J</t>
  </si>
  <si>
    <t>Mavrianos, Stylianos; Manzi, Florent; Agha, Ramsy; Azoubib, Noemi; Schampera, Charlotte; Wolinska, Justyna</t>
  </si>
  <si>
    <t>Nanoplastics modulate the outcome of a zooplankton-microparasite interaction</t>
  </si>
  <si>
    <t>Schampera, Charlotte/CAJ-4053-2022</t>
  </si>
  <si>
    <t>Schampera, Charlotte/0000-0002-9744-5078</t>
  </si>
  <si>
    <t>10.1111/fwb.14068</t>
  </si>
  <si>
    <t>WOS:000950708000001</t>
  </si>
  <si>
    <t>Smits, AP; Loken, LC; Van Nieuwenhuyse, EE; Young, MJ; Stumpner, PR; Lenoch, LEK; Burau, JR; Dahlgren, RA; Brown, T; Sadro, S</t>
  </si>
  <si>
    <t>Smits, Adrianne P.; Loken, Luke C.; Van Nieuwenhuyse, Erwin E.; Young, Matthew J.; Stumpner, Paul R.; Lenoch, Leah E. K.; Burau, Jon R.; Dahlgren, Randy A.; Brown, Tiffany; Sadro, Steven</t>
  </si>
  <si>
    <t>Hydrodynamics structure plankton communities and interactions in a freshwater tidal estuary</t>
  </si>
  <si>
    <t>ECOLOGICAL MONOGRAPHS</t>
  </si>
  <si>
    <t>Sadro, Steven/AGC-7944-2022</t>
  </si>
  <si>
    <t>0012-9615</t>
  </si>
  <si>
    <t>1557-7015</t>
  </si>
  <si>
    <t>10.1002/ecm.1567</t>
  </si>
  <si>
    <t>WOS:000948547500001</t>
  </si>
  <si>
    <t>Heuvel, CE; Zhao, YM; Fisk, AT</t>
  </si>
  <si>
    <t>Heuvel, Cecilia Elizabeth; Zhao, Yingming; Fisk, Aaron Thomas</t>
  </si>
  <si>
    <t>Influence of spatial and temporal variation on establishing stable isotope baselines of δ15N, δ13C, and δ34S in a large freshwater lake</t>
  </si>
  <si>
    <t>Zhao, Ying/0000-0002-9563-7519; Heuvel, Cecilia/0000-0003-3999-2919</t>
  </si>
  <si>
    <t>10.1111/fwb.14065</t>
  </si>
  <si>
    <t>WOS:000942337500001</t>
  </si>
  <si>
    <t>He, FZ; Arora, R; Mansour, I</t>
  </si>
  <si>
    <t>He, Fengzhi; Arora, Roshni; Mansour, India</t>
  </si>
  <si>
    <t>Multispecies assemblages and multiple stressors: Synthesizing the state of experimental research in freshwaters</t>
  </si>
  <si>
    <t>WILEY INTERDISCIPLINARY REVIEWS-WATER</t>
  </si>
  <si>
    <t>He, Fengzhi/AAE-9085-2019</t>
  </si>
  <si>
    <t>He, Fengzhi/0000-0002-7594-8205</t>
  </si>
  <si>
    <t>2049-1948</t>
  </si>
  <si>
    <t>10.1002/wat2.1641</t>
  </si>
  <si>
    <t>FEB 2023</t>
  </si>
  <si>
    <t>WOS:000939785600001</t>
  </si>
  <si>
    <t>Liu, Y; Jiang, XF; Li, DP; Shen, JC; An, SQ; Leng, X</t>
  </si>
  <si>
    <t>Liu, Yan; Jiang, Xufei; Li, Dianpeng; Shen, Jiachen; An, Shuqing; Leng, Xin</t>
  </si>
  <si>
    <t>Intensive human land uses cause the biotic homogenization of algae and change their assembly process in a major watershed of China</t>
  </si>
  <si>
    <t>Liu, Yan/0009-0003-5076-5319</t>
  </si>
  <si>
    <t>10.1016/j.scitotenv.2023.162115</t>
  </si>
  <si>
    <t>WOS:000945054500001</t>
  </si>
  <si>
    <t>Wang, YQ; Bai, JH; Wen, LX; Wang, W; Zhang, L; Liu, Z; Liu, HZ</t>
  </si>
  <si>
    <t>Wang, Yaqi; Bai, Junhong; Wen, Lixiang; Wang, Wei; Zhang, Ling; Liu, Zhe; Liu, Haizhu</t>
  </si>
  <si>
    <t>Phytotoxicity of microplastics to the floating plant Spirodela polyrhiza (L.): Plant functional traits and metabolomics</t>
  </si>
  <si>
    <t>Bai, Junhong/0000-0003-2613-2143; Wen, Lixiang/0000-0002-5828-6246</t>
  </si>
  <si>
    <t>APR 1</t>
  </si>
  <si>
    <t>10.1016/j.envpol.2023.121199</t>
  </si>
  <si>
    <t>WOS:000944534100001</t>
  </si>
  <si>
    <t>Wu, NC; Zhang, M; Qu, XD; Martinez-Capel, F</t>
  </si>
  <si>
    <t>Wu, Naicheng; Zhang, Min; Qu, Xiaodong; Martinez-Capel, Francisco</t>
  </si>
  <si>
    <t>Biodiversity conservation and ecological function restoration in freshwater ecosystems</t>
  </si>
  <si>
    <t>FRONTIERS IN ECOLOGY AND EVOLUTION</t>
  </si>
  <si>
    <t>2296-701X</t>
  </si>
  <si>
    <t>FEB 6</t>
  </si>
  <si>
    <t>10.3389/fevo.2023.1137985</t>
  </si>
  <si>
    <t>WOS:000936073200001</t>
  </si>
  <si>
    <t>Froneman, PW</t>
  </si>
  <si>
    <t>Froneman, Pierre William</t>
  </si>
  <si>
    <t>The Effect of Salinity on the Egg Production Rate of the Sac-Spawning Calanoid Copepod, Pseudodiaptomus hessei, in a Temporarily Open/Closed Southern African Estuary</t>
  </si>
  <si>
    <t>Froneman, William/GLS-0460-2022</t>
  </si>
  <si>
    <t>Froneman, William/0000-0003-0615-1355</t>
  </si>
  <si>
    <t>10.3390/d15020263</t>
  </si>
  <si>
    <t>WOS:000944987400001</t>
  </si>
  <si>
    <t>Kanaya, G</t>
  </si>
  <si>
    <t>Kanaya, Gen</t>
  </si>
  <si>
    <t>Effects of seasonal irrigation subsidies on the dietary components of estuarine detritus feeders: stable isotopic analysis focusing on nereidid polychaetes</t>
  </si>
  <si>
    <t>PLANKTON &amp; BENTHOS RESEARCH</t>
  </si>
  <si>
    <t>1880-8247</t>
  </si>
  <si>
    <t>1882-627X</t>
  </si>
  <si>
    <t>10.3800/pbr.18.21</t>
  </si>
  <si>
    <t>WOS:001000124100003</t>
  </si>
  <si>
    <t>Ilic, M; Walden, S; Hammerstein, SK; Stockenreiter, M; Stibor, H; Fink, P</t>
  </si>
  <si>
    <t>Ilic, Maja; Walden, Susanne; Hammerstein, Sara K.; Stockenreiter, Maria; Stibor, Herwig; Fink, Patrick</t>
  </si>
  <si>
    <t>Pigment and fluorescence proxies to estimate functional diversity of phytoplankton communities</t>
  </si>
  <si>
    <t>FUNDAMENTAL AND APPLIED LIMNOLOGY</t>
  </si>
  <si>
    <t>Fink, Patrick/A-5901-2009; Ilic, Maja/AAO-9143-2020</t>
  </si>
  <si>
    <t>Fink, Patrick/0000-0002-5927-8977; Ilic, Maja/0000-0002-8387-9932</t>
  </si>
  <si>
    <t>1863-9135</t>
  </si>
  <si>
    <t>3-4</t>
  </si>
  <si>
    <t>10.1127/fal/2023/1466</t>
  </si>
  <si>
    <t>JAN 2023</t>
  </si>
  <si>
    <t>WOS:000911914800001</t>
  </si>
  <si>
    <t>Lee, SH; Yun, MS; Jang, HK; Kang, JJ; Kim, K; Lee, D; Jo, N; Park, SH; Lee, JH; Ahn, SH; Stockwell, DA; Whitledge, TE</t>
  </si>
  <si>
    <t>Lee, Sang H.; Yun, Mi Sun; Jang, Hyo Keun; Kang, Jae Joong; Kim, Kwanwoo; Lee, Dabin; Jo, Naeun; Park, Sang Hoon; Lee, Jang Han; Ahn, So Hyun; Stockwell, Dean A.; Whitledge, Terry E.</t>
  </si>
  <si>
    <t>Size-differential photosynthetic traits of phytoplankton in the Chukchi Sea</t>
  </si>
  <si>
    <t>CONTINENTAL SHELF RESEARCH</t>
  </si>
  <si>
    <t>Yun, Mi Sun/AAI-8568-2020</t>
  </si>
  <si>
    <t>Lee, Sang/0000-0003-2445-0690; Park, Sanghoon/0000-0002-3292-8116</t>
  </si>
  <si>
    <t>0278-4343</t>
  </si>
  <si>
    <t>1873-6955</t>
  </si>
  <si>
    <t>10.1016/j.csr.2023.104933</t>
  </si>
  <si>
    <t>WOS:000924217500001</t>
  </si>
  <si>
    <t>Machate, O; Schmeller, DS; Schulze, T; Brack, W</t>
  </si>
  <si>
    <t>Machate, Oliver; Schmeller, Dirk S.; Schulze, Tobias; Brack, Werner</t>
  </si>
  <si>
    <t>Review: mountain lakes as freshwater resources at risk from chemical pollution</t>
  </si>
  <si>
    <t>ENVIRONMENTAL SCIENCES EUROPE</t>
  </si>
  <si>
    <t>Schulze, Tobias/B-1553-2010; Schmeller, Dirk S./F-4324-2010</t>
  </si>
  <si>
    <t>Schulze, Tobias/0000-0002-9744-8914; Schmeller, Dirk S./0000-0002-3860-9933; Brack, Werner/0000-0001-9269-6524</t>
  </si>
  <si>
    <t>2190-4707</t>
  </si>
  <si>
    <t>2190-4715</t>
  </si>
  <si>
    <t>JAN 13</t>
  </si>
  <si>
    <t>10.1186/s12302-022-00710-3</t>
  </si>
  <si>
    <t>WOS:000912717400001</t>
  </si>
  <si>
    <t>Gunathilaka, MDKL; Bao, SY; Liu, XX; Li, Y; Pan, Y</t>
  </si>
  <si>
    <t>Gunathilaka, M. D. K. Lakmali; Bao, Siyi; Liu, Xiaoxuan; Li, Ya; Pan, Ying</t>
  </si>
  <si>
    <t>Antibiotic Pollution of Planktonic Ecosystems: A Review Focused on Community Analysis and the Causal Chain Linking Individual- and Community-Level Responses</t>
  </si>
  <si>
    <t>Gunathilaka, M.D.K. Lakmali/ADI-8707-2022</t>
  </si>
  <si>
    <t>Gunathilaka, M.D.K. Lakmali/0000-0001-7406-2800</t>
  </si>
  <si>
    <t>JAN 24</t>
  </si>
  <si>
    <t>10.1021/acs.est.2c06787</t>
  </si>
  <si>
    <t>WOS:000924196300001</t>
  </si>
  <si>
    <t>Marin, V; Arranz, I; Grenouillet, G; Cucherousset, J</t>
  </si>
  <si>
    <t>Marin, Valentin; Arranz, Ignasi; Grenouillet, Gael; Cucherousset, Julien</t>
  </si>
  <si>
    <t>Fish size spectrum as a complementary biomonitoring approach of freshwater ecosystems</t>
  </si>
  <si>
    <t>Arranz, Ignasi/0000-0002-1517-1713; Grenouillet, Gael/0000-0003-3588-3694</t>
  </si>
  <si>
    <t>10.1016/j.ecolind.2022.109833</t>
  </si>
  <si>
    <t>WOS:000964776100001</t>
  </si>
  <si>
    <t>Song, LR; Jia, YL; Qin, BQ; Li, RH; Carmichael, W; Gan, NQ; Xu, H; Shan, K; Sukenik, A</t>
  </si>
  <si>
    <t>Song, Lirong; Jia, Yunlu; Qin, Boqiang; Li, Renhui; Carmichael, Wayne W.; Gan, Nanqin; Xu, Hai; Shan, Kun; Sukenik, Assaf</t>
  </si>
  <si>
    <t>Harmful Cyanobacterial Blooms: Biological Traits, Mechanisms, Risks, and Control Strategies</t>
  </si>
  <si>
    <t>ANNUAL REVIEW OF ENVIRONMENT AND RESOURCES</t>
  </si>
  <si>
    <t>1543-5938</t>
  </si>
  <si>
    <t>1545-2050</t>
  </si>
  <si>
    <t>10.1146/annurev-environ-112320-081653</t>
  </si>
  <si>
    <t>WOS:001101629000005</t>
  </si>
  <si>
    <t>Theus, ME; Michaels, J; Fey, SB</t>
  </si>
  <si>
    <t>Theus, Meredith E.; Michaels, Julia; Fey, Samuel B.</t>
  </si>
  <si>
    <t>Interactive effects of temperature and bisphenol A on phytoplankton growth and community structure</t>
  </si>
  <si>
    <t>CONSERVATION PHYSIOLOGY</t>
  </si>
  <si>
    <t>2051-1434</t>
  </si>
  <si>
    <t>JAN 1</t>
  </si>
  <si>
    <t>coad021</t>
  </si>
  <si>
    <t>10.1093/conphys/coad021</t>
  </si>
  <si>
    <t>WOS:000981155500001</t>
  </si>
  <si>
    <t>Chiriac, MC; Haber, M; Salcher, MM</t>
  </si>
  <si>
    <t>Chiriac, Maria-Cecilia; Haber, Markus; Salcher, Michaela M.</t>
  </si>
  <si>
    <t>Adaptive genetic traits in pelagic freshwater microbes</t>
  </si>
  <si>
    <t>Haber, Markus/AAG-5640-2020; Salcher, Michaela M./A-1141-2013; Chiriac, Cecilia/R-7093-2017</t>
  </si>
  <si>
    <t>Haber, Markus/0000-0003-2591-6210; Salcher, Michaela M./0000-0003-1063-6523; Chiriac, Cecilia/0000-0001-5130-5232</t>
  </si>
  <si>
    <t>10.1111/1462-2920.16313</t>
  </si>
  <si>
    <t>DEC 2022</t>
  </si>
  <si>
    <t>WOS:000905443900001</t>
  </si>
  <si>
    <t>Weigel, B; Kotamäki, N; Malve, O; Vuorio, K; Ovaskainen, O</t>
  </si>
  <si>
    <t>Weigel, Benjamin; Kotamaki, Niina; Malve, Olli; Vuorio, Kristiina; Ovaskainen, Otso</t>
  </si>
  <si>
    <t>Macrosystem community change in lake phytoplankton and its implications for diversity and function</t>
  </si>
  <si>
    <t>GLOBAL ECOLOGY AND BIOGEOGRAPHY</t>
  </si>
  <si>
    <t>Weigel, Benjamin/0000-0003-2302-5529; Ovaskainen, Otso/0000-0001-9750-4421; Ovaskainen, Otso/0000-0001-9750-4421; Vuorio, Kristiina/0000-0001-7974-0092; Kotamaki, Niina/0000-0002-2731-9404</t>
  </si>
  <si>
    <t>1466-822X</t>
  </si>
  <si>
    <t>1466-8238</t>
  </si>
  <si>
    <t>10.1111/geb.13626</t>
  </si>
  <si>
    <t>WOS:000901793600001</t>
  </si>
  <si>
    <t>Bonilla, S; Aguilera, A; Aubriot, L; Huszar, V; Almanza, V; Haakonsson, S; Izaguirre, I; O'Farrell, I; Salazar, A; Becker, V; Cremella, B; Ferragut, C; Hernandez, E; Palacio, H; Rodrigues, LC; da Silva, LHS; Santana, LM; Santos, J; Somma, A; Ortega, L; Antoniades, D</t>
  </si>
  <si>
    <t>Bonilla, Sylvia; Aguilera, Anabella; Aubriot, Luis; Huszar, Vera; Almanza, Viviana; Haakonsson, Signe; Izaguirre, Irina; O'Farrell, Ines; Salazar, Anthony; Becker, Vanessa; Cremella, Bruno; Ferragut, Carla; Hernandez, Esnedy; Palacio, Hilda; Rodrigues, Luzia Cleide; Sampaio da Silva, Lucia Helena; Santana, Lucineide Maria; Santos, Juliana; Somma, Andrea; Ortega, Laura; Antoniades, Dermot</t>
  </si>
  <si>
    <t>Nutrients and not temperature are the key drivers for cyanobacterial biomass in the Americas</t>
  </si>
  <si>
    <t>HARMFUL ALGAE</t>
  </si>
  <si>
    <t>1568-9883</t>
  </si>
  <si>
    <t>1878-1470</t>
  </si>
  <si>
    <t>10.1016/j.hal.2022.102367</t>
  </si>
  <si>
    <t>WOS:000903524800003</t>
  </si>
  <si>
    <t>Grzesiuk, M; Gryglewicz, E; Bentkowski, P; Pijanowska, J</t>
  </si>
  <si>
    <t>Grzesiuk, Malgorzata; Gryglewicz, Eva; Bentkowski, Piotr; Pijanowska, Joanna</t>
  </si>
  <si>
    <t>Impact of Fluoxetine on Herbivorous Zooplankton and Planktivorous Fish</t>
  </si>
  <si>
    <t>ENVIRONMENTAL TOXICOLOGY AND CHEMISTRY</t>
  </si>
  <si>
    <t>Pijanowska, Joanna/ACQ-0167-2022</t>
  </si>
  <si>
    <t>Bentkowski, Piotr/0000-0002-1220-1075</t>
  </si>
  <si>
    <t>0730-7268</t>
  </si>
  <si>
    <t>1552-8618</t>
  </si>
  <si>
    <t>10.1002/etc.5525</t>
  </si>
  <si>
    <t>WOS:000898038100001</t>
  </si>
  <si>
    <t>Dahal, N; Glyshaw, P; Carter, G; Vanderploeg, HA; Denef, VJ</t>
  </si>
  <si>
    <t>Dahal, Nikesh; Glyshaw, Paul; Carter, Glenn; Vanderploeg, Henry A.; Denef, Vincent J.</t>
  </si>
  <si>
    <t>Impacts of an invasive filter-feeder on bacterial biodiversity are context dependent</t>
  </si>
  <si>
    <t>FEMS MICROBIOLOGY ECOLOGY</t>
  </si>
  <si>
    <t>0168-6496</t>
  </si>
  <si>
    <t>1574-6941</t>
  </si>
  <si>
    <t>DEC 14</t>
  </si>
  <si>
    <t>fiac149</t>
  </si>
  <si>
    <t>10.1093/femsec/fiac149</t>
  </si>
  <si>
    <t>WOS:000904592300001</t>
  </si>
  <si>
    <t>Litchman, E</t>
  </si>
  <si>
    <t>Litchman, Elena</t>
  </si>
  <si>
    <t>Understanding and predicting harmful algal blooms in a changing climate: A trait-based framework</t>
  </si>
  <si>
    <t>LIMNOLOGY AND OCEANOGRAPHY LETTERS</t>
  </si>
  <si>
    <t>Litchman, Elena/0000-0001-7736-6332</t>
  </si>
  <si>
    <t>2378-2242</t>
  </si>
  <si>
    <t>10.1002/lol2.10294</t>
  </si>
  <si>
    <t>WOS:000894188500001</t>
  </si>
  <si>
    <t>Le, TPD; Nguyen, V; Bui, MH; Huynh, TN; Huynh, AT; Tran, VQ; Vo, TMC; Tran, T; Dao, TS</t>
  </si>
  <si>
    <t>Le, Thi-Phuong-Dung; Nguyen, Van-Tai; Bui, Manh-Ha; Huynh, Trong-Nhan; Huynh, Anh-Thu; Tran, Vinh-Quang; Vo, Thi-My-Chi; Tran, Thanh; Dao, Thanh-Son</t>
  </si>
  <si>
    <t>Single and binary effects of di-2-ethylhexyl phthalate and trace metals (Cd, Pb) on life-history traits of Daphnia magna</t>
  </si>
  <si>
    <t>Tran, Thanh/AGM-8365-2022</t>
  </si>
  <si>
    <t>Tran, Thanh/0000-0002-0538-116X; Dao, Thanh-Son/0000-0002-2993-2683</t>
  </si>
  <si>
    <t>10.1002/tqem.21835</t>
  </si>
  <si>
    <t>WOS:001126342300004</t>
  </si>
  <si>
    <t>Zhang, RH; Zhang, YH; Fei, XL; Hou, YN; Shi, J; Li, EC; Chu, WH</t>
  </si>
  <si>
    <t>Zhang, Ruihua; Zhang, Yunhui; Fei, Xiali; Hou, Yingna; Shi, Jun; Li, Enchao; Chu, Wenhai</t>
  </si>
  <si>
    <t>Limnoperna fortunei as an invasive biofouling bivalve species in freshwater: a review of its occurrence, biological traits, risks, and control strategies</t>
  </si>
  <si>
    <t>AQUA-WATER INFRASTRUCTURE ECOSYSTEMS AND SOCIETY</t>
  </si>
  <si>
    <t>zhang, rui/HZI-0079-2023; Zhang, Ruihua/HMP-3996-2023; Chu, Wenhai/R-1381-2017</t>
  </si>
  <si>
    <t>Chu, Wenhai/0000-0002-3457-3507</t>
  </si>
  <si>
    <t>2709-8028</t>
  </si>
  <si>
    <t>2709-8036</t>
  </si>
  <si>
    <t>10.2166/aqua.2022.238</t>
  </si>
  <si>
    <t>NOV 2022</t>
  </si>
  <si>
    <t>WOS:000891744900001</t>
  </si>
  <si>
    <t>Horstmann, M; Luncke, J; Weiss, LC; Tollrian, R</t>
  </si>
  <si>
    <t>Horstmann, Martin; Luncke, Jannis; Weiss, Linda C.; Tollrian, Ralph</t>
  </si>
  <si>
    <t>Long-term analysis and effectiveness of inducible behavioural and morphological traits of Daphnia longicephala in response to Notonecta</t>
  </si>
  <si>
    <t>Luncke, Jannis/JEZ-4024-2023</t>
  </si>
  <si>
    <t>Luncke, Jannis/0009-0009-6088-1093; Horstmann, Martin/0000-0002-0355-3212</t>
  </si>
  <si>
    <t>10.1127/fal/2022/1472</t>
  </si>
  <si>
    <t>WOS:000885462300001</t>
  </si>
  <si>
    <t>Pompeu, CR; Peñas, FJ; Goldenberg-Vilar, A; Alvarez-Cabria, M; Barquín, J</t>
  </si>
  <si>
    <t>Rocha Pompeu, Cassia; Penas, Francisco J.; Goldenberg-Vilar, Alejandra; Alvarez-Cabria, Mario; Barquin, Jose</t>
  </si>
  <si>
    <t>Assessing the effects of irrigation and hydropower dams on river communities using taxonomic and multiple trait-based approaches</t>
  </si>
  <si>
    <t>10.1016/j.ecolind.2022.109662</t>
  </si>
  <si>
    <t>WOS:000934000800002</t>
  </si>
  <si>
    <t>Maszczyk, P; Kiersztyn, B; Gozzo, S; Kowalczyk, G; Jimenez-Lamana, J; Szpunar, J; Pijanowska, J; Jines-Muñoz, C; Zebrowski, ML; Babkiewicz, E</t>
  </si>
  <si>
    <t>Maszczyk, Piotr; Kiersztyn, Bartosz; Gozzo, Sebastiano; Kowalczyk, Grzegorz; Jimenez-Lamana, Javier; Szpunar, Joanna; Pijanowska, Joanna; Jines-Munoz, Cristina; Zebrowski, Marcin Lukasz; Babkiewicz, Ewa</t>
  </si>
  <si>
    <t>Combined Effects of Polystyrene Nanoplastics and Enrofloxacin on the Life Histories and Gut Microbiota of Daphnia magna</t>
  </si>
  <si>
    <t>Babkiewicz, Ewa/KOC-7442-2024; Maszczyk, Piotr/AAN-4661-2020; Pijanowska, Joanna/ACQ-0167-2022</t>
  </si>
  <si>
    <t>Babkiewicz, Ewa/0000-0003-2398-8448; Maszczyk, Piotr/0000-0002-1738-419X; SZPUNAR, Joanna/0000-0002-5644-4933; Zebrowski, Marcin Lukasz/0000-0002-1554-6474</t>
  </si>
  <si>
    <t>10.3390/w14213403</t>
  </si>
  <si>
    <t>WOS:000882279300001</t>
  </si>
  <si>
    <t>Simonazzi, M; Pezzolesi, L; Guerrini, F; Vanucci, S; Graziani, G; Vasumini, I; Pandolfi, A; Servadei, I; Pistocchi, R</t>
  </si>
  <si>
    <t>Simonazzi, Mara; Pezzolesi, Laura; Guerrini, Franca; Vanucci, Silvana; Graziani, Giancarlo; Vasumini, Ivo; Pandolfi, Andrea; Servadei, Irene; Pistocchi, Rossella</t>
  </si>
  <si>
    <t>Improvement of In Vivo Fluorescence Tools for Fast Monitoring of Freshwater Phytoplankton and Potentially Harmful Cyanobacteria</t>
  </si>
  <si>
    <t>INTERNATIONAL JOURNAL OF ENVIRONMENTAL RESEARCH AND PUBLIC HEALTH</t>
  </si>
  <si>
    <t>SIMONAZZI, MARA/0000-0001-6254-6912; PEZZOLESI, LAURA/0000-0002-6260-2715</t>
  </si>
  <si>
    <t>1660-4601</t>
  </si>
  <si>
    <t>10.3390/ijerph192114075</t>
  </si>
  <si>
    <t>WOS:000883618400001</t>
  </si>
  <si>
    <t>Yin, JY; Xia, JH; Xia, ZC; Cai, WW; Liu, ZW; Xu, KJ; Wang, Y; Zhang, RZ; Dong, X</t>
  </si>
  <si>
    <t>Yin, Jingyun; Xia, Jihong; Xia, Zhichang; Cai, Wangwei; Liu, Zewen; Xu, Kejun; Wang, Yue; Zhang, Rongzhen; Dong, Xu</t>
  </si>
  <si>
    <t>Temporal Variation and Spatial Distribution in the Water Environment Helps Explain Seasonal Dynamics of Zooplankton in River-Type Reservoir</t>
  </si>
  <si>
    <t>SUSTAINABILITY</t>
  </si>
  <si>
    <t>Yin, Jingyun/HGU-6936-2022; Xu, Ke-Jun/AAZ-5194-2020</t>
  </si>
  <si>
    <t>Yin, Jingyun/0000-0002-7485-3714; cai, wang wei/0000-0001-7779-5380</t>
  </si>
  <si>
    <t>2071-1050</t>
  </si>
  <si>
    <t>10.3390/su142113719</t>
  </si>
  <si>
    <t>WOS:000882275100001</t>
  </si>
  <si>
    <t>Zhang, YZ; Feng, S; Gao, F; Wen, H; Zhu, LY; Li, M; Xi, YL; Xiang, XL</t>
  </si>
  <si>
    <t>Zhang, Yongzhi; Feng, Sen; Gao, Fan; Wen, Hao; Zhu, Lingyun; Li, Meng; Xi, Yilong; Xiang, Xianling</t>
  </si>
  <si>
    <t>The Relationship between Brachionus calyciflorus-Associated Bacterial and Bacterioplankton Communities in a Subtropical Freshwater Lake</t>
  </si>
  <si>
    <t>ANIMALS</t>
  </si>
  <si>
    <t>feng, sen/AEI-6828-2022; Xiang, Xian-Ling/Q-6388-2018</t>
  </si>
  <si>
    <t>2076-2615</t>
  </si>
  <si>
    <t>10.3390/ani12223201</t>
  </si>
  <si>
    <t>WOS:000887020300001</t>
  </si>
  <si>
    <t>Zvavahera, M; Hugo, S; Vine, NG; Weyl, OLF</t>
  </si>
  <si>
    <t>Zvavahera, Munetsi; Hugo, Sanet; Vine, Niall G.; Weyl, Olaf L. F.</t>
  </si>
  <si>
    <t>Exploratory stock identification through morphometric trait analysis of the estuarine round herring, Gilchristella aestuaria (Pisces: Clupeidae)</t>
  </si>
  <si>
    <t>JOURNAL OF FISH BIOLOGY</t>
  </si>
  <si>
    <t>Hugo, Sanet/ABZ-2131-2022</t>
  </si>
  <si>
    <t>0022-1112</t>
  </si>
  <si>
    <t>1095-8649</t>
  </si>
  <si>
    <t>10.1111/jfb.15172</t>
  </si>
  <si>
    <t>WOS:000882842000003</t>
  </si>
  <si>
    <t>Machado, KB; de Andrade, AT; de Almeida, MF; Nabout, JC</t>
  </si>
  <si>
    <t>Machado, Karine Borges; de Andrade, Ariany Tavares; de Almeida, Marcela Fernandes; Nabout, Joao Carlos</t>
  </si>
  <si>
    <t>Systematic mapping of phytoplankton literature about global climate change: revealing temporal trends in research</t>
  </si>
  <si>
    <t>10.1007/s10750-022-05052-y</t>
  </si>
  <si>
    <t>OCT 2022</t>
  </si>
  <si>
    <t>WOS:000871163800002</t>
  </si>
  <si>
    <t>Wu, WX; Liu, HB</t>
  </si>
  <si>
    <t>Wu, Wenxue; Liu, Hongbin</t>
  </si>
  <si>
    <t>Cell size is a key ecological trait associated with biogeographic patterns of microbial eukaryotes in coastal waters</t>
  </si>
  <si>
    <t>FRONTIERS IN MARINE SCIENCE</t>
  </si>
  <si>
    <t>Wu, Wenxue/0000-0003-2196-2594</t>
  </si>
  <si>
    <t>2296-7745</t>
  </si>
  <si>
    <t>OCT 11</t>
  </si>
  <si>
    <t>10.3389/fmars.2022.933256</t>
  </si>
  <si>
    <t>WOS:000875781200001</t>
  </si>
  <si>
    <t>Werba, JA; Phong, AC; Brar, L; Frempong-Manso, A; Oware, OV; Kolasa, J</t>
  </si>
  <si>
    <t>Werba, Jo A.; Phong, Alexander C.; Brar, Lakhdeep; Frempong-Manso, Acacia; Oware, Ofure Vanessa; Kolasa, Jurek</t>
  </si>
  <si>
    <t>Interactions between two functionally distinct aquatic invertebrate herbivores complicate ecosystem- and population-level resilience</t>
  </si>
  <si>
    <t>PEERJ</t>
  </si>
  <si>
    <t>2167-8359</t>
  </si>
  <si>
    <t>OCT 7</t>
  </si>
  <si>
    <t>e14103</t>
  </si>
  <si>
    <t>10.7717/peerj.14103</t>
  </si>
  <si>
    <t>WOS:000876929200003</t>
  </si>
  <si>
    <t>Breton, E; Goberville, E; Sautour, B; Ouadi, A; Skouroliakou, DI; Seuront, L; Beaugrand, G; Kléparski, L; Crouvoisier, M; Pecqueur, D; Salmeron, C; Cauvin, A; Poquet, A; Garcia, N; Gohin, F; Christaki, U</t>
  </si>
  <si>
    <t>Breton, Elsa; Goberville, Eric; Sautour, Benoit; Ouadi, Anis; Skouroliakou, Dimitra-Ioli; Seuront, Laurent; Beaugrand, Gregory; Kleparski, Loick; Crouvoisier, Muriel; Pecqueur, David; Salmeron, Christophe; Cauvin, Arnaud; Poquet, Adrien; Garcia, Nicole; Gohin, Francis; Christaki, Urania</t>
  </si>
  <si>
    <t>Multiple phytoplankton community responses to environmental change in a temperate coastal system: A trait-based approach</t>
  </si>
  <si>
    <t>OCT 6</t>
  </si>
  <si>
    <t>10.3389/fmars.2022.914475</t>
  </si>
  <si>
    <t>WOS:000874544500001</t>
  </si>
  <si>
    <t>Chin, T; Beecraft, L; Wetz, MS</t>
  </si>
  <si>
    <t>Chin, Tiffany; Beecraft, Laura; Wetz, Michael S.</t>
  </si>
  <si>
    <t>Phytoplankton biomass and community composition in three Texas estuaries differing in freshwater inflow regime</t>
  </si>
  <si>
    <t>ESTUARINE COASTAL AND SHELF SCIENCE</t>
  </si>
  <si>
    <t>0272-7714</t>
  </si>
  <si>
    <t>1096-0015</t>
  </si>
  <si>
    <t>OCT 31</t>
  </si>
  <si>
    <t>10.1016/j.ecss.2022.108059</t>
  </si>
  <si>
    <t>SEP 2022</t>
  </si>
  <si>
    <t>WOS:000868688900003</t>
  </si>
  <si>
    <t>Iniesto, M; Moreira, D; Benzerara, K; Reboul, G; Bertolino, P; Tavera, R; López-García, P</t>
  </si>
  <si>
    <t>Iniesto, Miguel; Moreira, David; Benzerara, Karim; Reboul, Guillaume; Bertolino, Paola; Tavera, Rosaluz; Lopez-Garcia, Purificacion</t>
  </si>
  <si>
    <t>Planktonic microbial communities from microbialite-bearing lakes sampled along a salinity-alkalinity gradient</t>
  </si>
  <si>
    <t>Moreira, David/F-7445-2012; Lopez-Garcia, Purificacion/B-6775-2012</t>
  </si>
  <si>
    <t>10.1002/lno.12233</t>
  </si>
  <si>
    <t>WOS:000860423100001</t>
  </si>
  <si>
    <t>Karus, K; Zagars, M; Agasild, H; Tuvikene, A; Zingel, P; Puncule, L; Medne-Peipere, M; Feldmann, O</t>
  </si>
  <si>
    <t>Karus, Katrit; Zagars, Matiss; Agasild, Helen; Tuvikene, Arvo; Zingel, Priit; Puncule, Linda; Medne-Peipere, Madara; Feldmann, Tonu</t>
  </si>
  <si>
    <t>The influence of macrophyte ecological groups on food web components of temperate freshwater lakes</t>
  </si>
  <si>
    <t>AQUATIC BOTANY</t>
  </si>
  <si>
    <t>Zingel, Priit/H-8822-2016</t>
  </si>
  <si>
    <t>Zingel, Priit/0000-0003-1629-2063; Agasild, Helen/0000-0002-4926-9807; Zagars, Matiss/0000-0001-8948-2269</t>
  </si>
  <si>
    <t>0304-3770</t>
  </si>
  <si>
    <t>1879-1522</t>
  </si>
  <si>
    <t>10.1016/j.aquabot.2022.103571</t>
  </si>
  <si>
    <t>WOS:000984278900001</t>
  </si>
  <si>
    <t>Meng, ZJ; Recoura-Massaquant, R; Chaumot, A; Stoll, S; Liu, W</t>
  </si>
  <si>
    <t>Meng, Zijiao; Recoura-Massaquant, Remi; Chaumot, Arnaud; Stoll, Serge; Liu, Wei</t>
  </si>
  <si>
    <t>Acute toxicity of nanoplastics on Daphnia and Gammarus neonates: Effects of surface charge, heteroaggregation, and water properties</t>
  </si>
  <si>
    <t>MENG, zijiao/IQV-5246-2023</t>
  </si>
  <si>
    <t>MENG, zijiao/0000-0001-8201-610X</t>
  </si>
  <si>
    <t>10.1016/j.scitotenv.2022.158763</t>
  </si>
  <si>
    <t>WOS:000877216600002</t>
  </si>
  <si>
    <t>Zheng, SW; Wang, R; Kainz, MJ; Liu, CY; Li, PW; Li, ZX; Yan, HY; Yin, DQ</t>
  </si>
  <si>
    <t>Zheng, Siwen; Wang, Rui; Kainz, Martin J.; Liu, Chengying; Li, Pengwei; Li, Zixuan; Yan, Haiyu; Yin, Daqiang</t>
  </si>
  <si>
    <t>How phytoplankton biomass controls metal(loid) bioaccumulation in size-fractionated plankton in anthropogenic-impacted subtropical lakes: A comprehensive study in the Yangtze River Delta, China</t>
  </si>
  <si>
    <t>Kainz, Martin/0000-0002-2388-1504; ZHENG, Siwen/0000-0003-0862-2827</t>
  </si>
  <si>
    <t>OCT 1</t>
  </si>
  <si>
    <t>10.1016/j.watres.2022.119075</t>
  </si>
  <si>
    <t>WOS:000861750600003</t>
  </si>
  <si>
    <t>Ersoy, Z; Abril, M; Cañedo-Argüelles, M; Espinosa, C; Vendrell-Puigmitja, L; Proia, L</t>
  </si>
  <si>
    <t>Ersoy, Zeynep; Abril, Meritxell; Canedo-Arguelles, Miguel; Espinosa, Carmen; Vendrell-Puigmitja, Lidia; Proia, Lorenzo</t>
  </si>
  <si>
    <t>Experimental assessment of salinization effects on freshwater zooplankton communities and their trophic interactions under eutrophic conditions</t>
  </si>
  <si>
    <t>Cañedo-Argüelles, Miguel/L-6365-2014; Ersoy, Zeynep/B-8354-2018</t>
  </si>
  <si>
    <t>Cañedo-Argüelles, Miguel/0000-0003-3864-7451; Ersoy, Zeynep/0000-0003-2344-9874; Vendrell Puigmtija, Lidia/0000-0001-7447-8240</t>
  </si>
  <si>
    <t>NOV 15</t>
  </si>
  <si>
    <t>10.1016/j.envpol.2022.120127</t>
  </si>
  <si>
    <t>WOS:000858736100004</t>
  </si>
  <si>
    <t>Gross, E; Di Pane, J; Boersma, M; Meunier, CL</t>
  </si>
  <si>
    <t>Gross, Elisabeth; Di Pane, Julien; Boersma, Maarten; Meunier, Cedric L.</t>
  </si>
  <si>
    <t>River discharge-related nutrient effects on North Sea coastal and offshore phytoplankton communities</t>
  </si>
  <si>
    <t>Boersma, Maarten/0000-0003-1010-026X; Di Pane, Julien/0000-0003-0973-2702; Meunier, Cedric Leo/0000-0002-4070-4286; Gross, Elisabeth/0000-0001-5432-4412</t>
  </si>
  <si>
    <t>NOV 23</t>
  </si>
  <si>
    <t>10.1093/plankt/fbac049</t>
  </si>
  <si>
    <t>WOS:000852360000001</t>
  </si>
  <si>
    <t>Lofton, ME; Howard, DW; McClure, RP; Wander, HL; Woelmer, WM; Hounshell, AG; Lewis, ASL; Carey, CC</t>
  </si>
  <si>
    <t>Lofton, Mary E.; Howard, Dexter W.; McClure, Ryan P.; Wander, Heather L.; Woelmer, Whitney M.; Hounshell, Alexandria G.; Lewis, Abigail S. L.; Carey, Cayelan C.</t>
  </si>
  <si>
    <t>Experimental thermocline deepening alters vertical distribution and community structure of phytoplankton in a 4-year whole-reservoir manipulation</t>
  </si>
  <si>
    <t>Lewis, Abby/0000-0001-9933-4542; Howard, Dexter/0000-0002-6118-2149</t>
  </si>
  <si>
    <t>10.1111/fwb.13983</t>
  </si>
  <si>
    <t>WOS:000849813100001</t>
  </si>
  <si>
    <t>Ben Othman, H; Pick, FR; Hlaili, AS; Leboulanger, C</t>
  </si>
  <si>
    <t>Ben Othman, Hiba; Pick, Frances R.; Hlaili, Asma Sakka; Leboulanger, Christophe</t>
  </si>
  <si>
    <t>Effects of polycyclic aromatic hydrocarbons on marine and freshwater microalgae - A review</t>
  </si>
  <si>
    <t>JOURNAL OF HAZARDOUS MATERIALS</t>
  </si>
  <si>
    <t>0304-3894</t>
  </si>
  <si>
    <t>1873-3336</t>
  </si>
  <si>
    <t>JAN 5</t>
  </si>
  <si>
    <t>10.1016/j.jhazmat.2022.129869</t>
  </si>
  <si>
    <t>WOS:000863056300003</t>
  </si>
  <si>
    <t>Kock, A; Smit, NJ; Taylor, JC; Wolmarans, NJ; Wepener, V</t>
  </si>
  <si>
    <t>Kock, Anrich; Smit, Nico J.; Taylor, Jonathan C.; Wolmarans, Nico J.; Wepener, Victor</t>
  </si>
  <si>
    <t>A lentic microcosm approach to determine the toxicity of DDT and deltamethrin on diatom communities</t>
  </si>
  <si>
    <t>Wepener, Victor/AAV-2116-2020; Smit, Nico J/L-4905-2013</t>
  </si>
  <si>
    <t>10.1016/j.envpol.2022.120037</t>
  </si>
  <si>
    <t>WOS:000862854900010</t>
  </si>
  <si>
    <t>Gu, YB; Liu, ZH; Li, JS; Meng, DL; Yuan, HJ; Zhang, M; Zhang, HT; Yin, HQ; Cong, J; Xiao, NW</t>
  </si>
  <si>
    <t>Gu, Yabing; Liu, Zhenghua; Li, Junsheng; Meng, Delong; Yuan, Haijun; Zhang, Min; Zhang, Hetian; Yin, Huaqun; Cong, Jing; Xiao, Nengwen</t>
  </si>
  <si>
    <t>Body size as key trait determining aquatic metacommunity assemblies in benthonic and planktonic habitats of Dongting Lake, China</t>
  </si>
  <si>
    <t>Meng, Delong/GRJ-8949-2022; Xiao, Nengwen/ACW-1426-2022</t>
  </si>
  <si>
    <t>Meng, Delong/0000-0003-0047-4196; Xiao, Nengwen/0000-0002-7482-135X</t>
  </si>
  <si>
    <t>10.1016/j.ecolind.2022.109355</t>
  </si>
  <si>
    <t>WOS:000862836700002</t>
  </si>
  <si>
    <t>Torres, MGF; Máquez, REM; Encarnación, SA</t>
  </si>
  <si>
    <t>Torres, Maria Guadalupe Figueroa; Maquez, Rocio Elizabeth Mucino; Encarnacion, Saul Almanza</t>
  </si>
  <si>
    <t>State of knowledge of freshwater dinoflagellates in Mexico</t>
  </si>
  <si>
    <t>HIDROBIOLOGICA</t>
  </si>
  <si>
    <t>0188-8897</t>
  </si>
  <si>
    <t>SEP-DEC</t>
  </si>
  <si>
    <t>WOS:000970385000004</t>
  </si>
  <si>
    <t>Zhu, CX; Zhang, TQ; Liu, XW; Gu, XK; Li, DM; Yin, JW; Jiang, QC; Zhang, WY</t>
  </si>
  <si>
    <t>Zhu, Chenxi; Zhang, Tongqing; Liu, Xiaowei; Gu, Xiankun; Li, Daming; Yin, Jiawen; Jiang, Qichen; Zhang, Wenyi</t>
  </si>
  <si>
    <t>Changes in life-history traits, antioxidant defense, energy metabolism and molecular outcomes in the cladoceran Daphnia pulex after exposure to polystyrene microplastics</t>
  </si>
  <si>
    <t>CHEMOSPHERE</t>
  </si>
  <si>
    <t>Zhu, chenxi/0000-0002-2678-5702; Jiang, Qichen/0000-0002-6059-7254</t>
  </si>
  <si>
    <t>0045-6535</t>
  </si>
  <si>
    <t>1879-1298</t>
  </si>
  <si>
    <t>10.1016/j.chemosphere.2022.136066</t>
  </si>
  <si>
    <t>AUG 2022</t>
  </si>
  <si>
    <t>WOS:000862937200006</t>
  </si>
  <si>
    <t>Zhang, HR; Jiang, XD</t>
  </si>
  <si>
    <t>Zhang, Haoran; Jiang, Xiaodong</t>
  </si>
  <si>
    <t>Forward and reverse evolution of multivariate responses to cyanobacteria in experimental waterflea populations</t>
  </si>
  <si>
    <t>Jiang, Xiaodong/F-9678-2013</t>
  </si>
  <si>
    <t>Jiang, Xiaodong/0000-0001-7998-0440; Zhang, Haoran/0000-0003-3279-096X</t>
  </si>
  <si>
    <t>10.1002/lno.12210</t>
  </si>
  <si>
    <t>WOS:000847419300001</t>
  </si>
  <si>
    <t>Nwe, LW; Yokoyama, K; Azhikodan, G</t>
  </si>
  <si>
    <t>Nwe, Lett Wai; Yokoyama, Katsuhide; Azhikodan, Gubash</t>
  </si>
  <si>
    <t>Phytoplankton habitats and size distribution during a neap-spring transition in the highly turbid macrotidal Chikugo River estuary</t>
  </si>
  <si>
    <t>Azhikodan, Gubash/AAF-4032-2019</t>
  </si>
  <si>
    <t>Azhikodan, Gubash/0000-0002-9858-5670</t>
  </si>
  <si>
    <t>10.1016/j.scitotenv.2022.157810</t>
  </si>
  <si>
    <t>WOS:000891851900009</t>
  </si>
  <si>
    <t>Lachapelle, J; Bestion, E; Jackson, EE; Schaum, CE</t>
  </si>
  <si>
    <t>Lachapelle, Josianne; Bestion, Elvire; Jackson, Eleanor E.; Schaum, C. Elisa</t>
  </si>
  <si>
    <t>Presence of a resident species aids invader evolution</t>
  </si>
  <si>
    <t>Bestion, Elvire/D-4281-2015; Jackson, Eleanor/ABE-8939-2021</t>
  </si>
  <si>
    <t>Bestion, Elvire/0000-0001-5622-7907; Jackson, Eleanor/0000-0002-9884-2972</t>
  </si>
  <si>
    <t>10.1002/lno.12200</t>
  </si>
  <si>
    <t>WOS:000851467000001</t>
  </si>
  <si>
    <t>Paquette, C; Griffiths, K; Gregory-Eaves, I; Beisner, BE</t>
  </si>
  <si>
    <t>Paquette, Cindy; Griffiths, Katherine; Gregory-Eaves, Irene; Beisner, Beatrix E.</t>
  </si>
  <si>
    <t>Zooplankton assemblage structure and diversity since pre-industrial times in relation to land use</t>
  </si>
  <si>
    <t>; Gregory-Eaves, Irene/U-9325-2019</t>
  </si>
  <si>
    <t>10.1111/geb.13575</t>
  </si>
  <si>
    <t>WOS:000837751100001</t>
  </si>
  <si>
    <t>Santos, JBO; Brasil, J; Huszar, VLM</t>
  </si>
  <si>
    <t>Santos, Juliana B. O.; Brasil, Jandeson; Huszar, Vera L. M.</t>
  </si>
  <si>
    <t>Responses of Functional and Taxonomic Phytoplankton Diversity to Environmental Gradients in Subtropical and Tropical Reservoirs</t>
  </si>
  <si>
    <t>FRONTIERS IN ENVIRONMENTAL SCIENCE</t>
  </si>
  <si>
    <t>2296-665X</t>
  </si>
  <si>
    <t>JUL 22</t>
  </si>
  <si>
    <t>10.3389/fenvs.2022.899571</t>
  </si>
  <si>
    <t>WOS:000836936700001</t>
  </si>
  <si>
    <t>Sommer, F; Sonntag, B; Rastl, N; Summerer, M; Tartarotti, B</t>
  </si>
  <si>
    <t>Sommer, Fabian; Sonntag, Bettina; Rastl, Nikolai; Summerer, Monika; Tartarotti, Barbara</t>
  </si>
  <si>
    <t>Ciliates in man-made mountain reservoirs</t>
  </si>
  <si>
    <t>Summerer, Monika/JAZ-1817-2023</t>
  </si>
  <si>
    <t>Sonntag, Bettina/0000-0001-7065-522X</t>
  </si>
  <si>
    <t>10.3389/fenvs.2022.903095</t>
  </si>
  <si>
    <t>WOS:000868160000001</t>
  </si>
  <si>
    <t>Baker, HK; Li, SS; Samu, SC; Jones, NT; Symons, CC; Shurin, JB</t>
  </si>
  <si>
    <t>Baker, Henry K.; Li, Stephanie S.; Samu, Stefan C.; Jones, Natalie T.; Symons, Celia C.; Shurin, Jonathan B.</t>
  </si>
  <si>
    <t>Prey naivete alters the balance of consumptive and non-consumptive predator effects and shapes trophic cascades in freshwater plankton</t>
  </si>
  <si>
    <t>e09173</t>
  </si>
  <si>
    <t>10.1111/oik.09173</t>
  </si>
  <si>
    <t>JUL 2022</t>
  </si>
  <si>
    <t>WOS:000822743400001</t>
  </si>
  <si>
    <t>Stief, P; Schauberger, C; Lund, MB; Greve, A; Abed, RMM; Al-Najjar, MAA; Attard, K; Bonaglia, S; Deutzmann, JS; Franco-Cisterna, B; García-Robledo, E; Holtappels, M; John, U; Maciute, A; Magee, MJ; Pors, R; Santl-Temkiv, T; Scherwass, A; Sevilgen, DS; de Beer, D; Glud, RN; Schramm, A; Kamp, A</t>
  </si>
  <si>
    <t>Stief, Peter; Schauberger, Clemens; Lund, Marie B.; Greve, Andreas; Abed, Raeid M. M.; Al-Najjar, Mohammad A. A.; Attard, Karl; Bonaglia, Stefano; Deutzmann, Jorg S.; Franco-Cisterna, Belen; Garcia-Robledo, Emilio; Holtappels, Moritz; John, Uwe; Maciute, Adele; Magee, Michael J.; Pors, Rie; Santl-Temkiv, Tina; Scherwass, Anja; Sevilgen, Duygu S.; de Beer, Dirk; Glud, Ronnie N.; Schramm, Andreas; Kamp, Anja</t>
  </si>
  <si>
    <t>Intracellular nitrate storage by diatoms can be an important nitrogen pool in freshwater and marine ecosystems</t>
  </si>
  <si>
    <t>COMMUNICATIONS EARTH &amp; ENVIRONMENT</t>
  </si>
  <si>
    <t>2662-4435</t>
  </si>
  <si>
    <t>JUL 4</t>
  </si>
  <si>
    <t>10.1038/s43247-022-00485-8</t>
  </si>
  <si>
    <t>WOS:000820644500001</t>
  </si>
  <si>
    <t>Hede, N; Khandeparker, L</t>
  </si>
  <si>
    <t>Hede, Niyati; Khandeparker, Lidita</t>
  </si>
  <si>
    <t>Ecological Impacts of Aged Freshwater Biofilms on Estuarine Microbial Communities Elucidated Through Microcosm Experiments: A Microbial Invasion Perspective</t>
  </si>
  <si>
    <t>CURRENT MICROBIOLOGY</t>
  </si>
  <si>
    <t>0343-8651</t>
  </si>
  <si>
    <t>1432-0991</t>
  </si>
  <si>
    <t>10.1007/s00284-022-02903-8</t>
  </si>
  <si>
    <t>WOS:000806752000001</t>
  </si>
  <si>
    <t>Tran, VQ; Nguyen, VT; Dao, TS</t>
  </si>
  <si>
    <t>Vinh-Quang Tran; Van-Tai Nguyen; Thanh-Son Dao</t>
  </si>
  <si>
    <t>Responses of the Micro-Crustacean, Daphnia magna, across Five Generations Continuously Exposed to Di-2-Ethylhexyl Phthalate in Mekong River Water</t>
  </si>
  <si>
    <t>INZYNIERIA MINERALNA-JOURNAL OF THE POLISH MINERAL ENGINEERING SOCIETY</t>
  </si>
  <si>
    <t>Tran, Vinh Le/IUP-3802-2023</t>
  </si>
  <si>
    <t>1640-4920</t>
  </si>
  <si>
    <t>JUL-DEC</t>
  </si>
  <si>
    <t>10.29227/IM-2022-02-09</t>
  </si>
  <si>
    <t>WOS:000925704500009</t>
  </si>
  <si>
    <t>Wu, L; Ji, L; Chen, XJ; Ni, JJ; Zhang, Y; Geng, M</t>
  </si>
  <si>
    <t>Wu, Li; Ji, Lei; Chen, Xiaojuan; Ni, Jiajia; Zhang, Yan; Geng, Ming</t>
  </si>
  <si>
    <t>Distribution of Zooplankton Functional Groups in the Chaohu Lake Basin, China</t>
  </si>
  <si>
    <t>zhang, yan/HJP-0471-2023</t>
  </si>
  <si>
    <t>10.3390/w14132106</t>
  </si>
  <si>
    <t>WOS:000823998000001</t>
  </si>
  <si>
    <t>Hansen, BW</t>
  </si>
  <si>
    <t>Hansen, Benni Winding</t>
  </si>
  <si>
    <t>Two Tropical Marine Copepods Demonstrate Physiological Properties Needed for Mass Production</t>
  </si>
  <si>
    <t>REVIEWS IN FISHERIES SCIENCE &amp; AQUACULTURE</t>
  </si>
  <si>
    <t>Hansen, Benni/K-3299-2015</t>
  </si>
  <si>
    <t>Hansen, Benni/0000-0003-1145-561X</t>
  </si>
  <si>
    <t>2330-8249</t>
  </si>
  <si>
    <t>2330-8257</t>
  </si>
  <si>
    <t>JAN 2</t>
  </si>
  <si>
    <t>10.1080/23308249.2022.2095198</t>
  </si>
  <si>
    <t>JUN 2022</t>
  </si>
  <si>
    <t>WOS:000828559100001</t>
  </si>
  <si>
    <t>Van den Wyngaert, S; Ganzert, L; Seto, K; Rojas-Jimenez, K; Agha, R; Berger, SA; Woodhouse, J; Padisak, J; Wurzbacher, C; Kagami, M; Grossart, HP</t>
  </si>
  <si>
    <t>Van den Wyngaert, Silke; Ganzert, Lars; Seto, Kensuke; Rojas-Jimenez, Keilor; Agha, Ramsy; Berger, Stella A.; Woodhouse, Jason; Padisak, Judit; Wurzbacher, Christian; Kagami, Maiko; Grossart, Hans-Peter</t>
  </si>
  <si>
    <t>Seasonality of parasitic and saprotrophic zoosporic fungi: linking sequence data to ecological traits</t>
  </si>
  <si>
    <t>ISME JOURNAL</t>
  </si>
  <si>
    <t>1751-7362</t>
  </si>
  <si>
    <t>1751-7370</t>
  </si>
  <si>
    <t>10.1038/s41396-022-01267-y</t>
  </si>
  <si>
    <t>WOS:000817854800002</t>
  </si>
  <si>
    <t>Tszydel, M; Blonska, D</t>
  </si>
  <si>
    <t>Tszydel, Mariusz; Blonska, Dagmara</t>
  </si>
  <si>
    <t>Intra- and interspecific competition resulting from spatial coexistence among larvae of closely-related caddisflies from the genus Hydropsyche</t>
  </si>
  <si>
    <t>Błońska, Dagmara/GPP-4244-2022</t>
  </si>
  <si>
    <t>Błońska, Dagmara/0000-0002-2200-3347</t>
  </si>
  <si>
    <t>JUN 23</t>
  </si>
  <si>
    <t>e13576</t>
  </si>
  <si>
    <t>10.7717/peerj.13576</t>
  </si>
  <si>
    <t>WOS:000822036300003</t>
  </si>
  <si>
    <t>Lu, XT; Weisse, T</t>
  </si>
  <si>
    <t>Lu, Xiaoteng; Weisse, Thomas</t>
  </si>
  <si>
    <t>Top-down control of planktonic ciliates by microcrustacean predators is stronger in lakes than in the ocean</t>
  </si>
  <si>
    <t>Lu, Xiaoteng/HFZ-8926-2022</t>
  </si>
  <si>
    <t>10.1038/s41598-022-14301-y</t>
  </si>
  <si>
    <t>WOS:000814836700080</t>
  </si>
  <si>
    <t>Food quality impacts on reproductive traits, development and fatty acid composition of the freshwater calanoid copepod Eudiaptomus sp.</t>
  </si>
  <si>
    <t>JUL 23</t>
  </si>
  <si>
    <t>10.1093/plankt/fbac030</t>
  </si>
  <si>
    <t>WOS:000814273800001</t>
  </si>
  <si>
    <t>Wang, J; Jiang, RJ; Xiao, Y; Yin, R; Chen, F; Zhou, YD; Xu, HX</t>
  </si>
  <si>
    <t>Wang, Jing; Jiang, Ri-Jin; Xiao, Yi; Yin, Rui; Chen, Feng; Zhou, Yong-dong; Xu, Han-Xiang</t>
  </si>
  <si>
    <t>Trophic Niche Partitioning of Five Sciaenidae Species Sampled in Zhoushan Archipelago Waters via Stable Isotope Analysis</t>
  </si>
  <si>
    <t>yin, rui/JOJ-5633-2023</t>
  </si>
  <si>
    <t>JUN 17</t>
  </si>
  <si>
    <t>10.3389/fmars.2022.880123</t>
  </si>
  <si>
    <t>WOS:000865467600001</t>
  </si>
  <si>
    <t>de Meo, I; Ostbye, K; Kahilainen, KK; Hayden, B; Magnus, M; Poléo, ABS</t>
  </si>
  <si>
    <t>de Meo, Ilaria; Ostbye, Kjartan; Kahilainen, Kimmo K.; Hayden, Brian; Magnus, Marius; Poleo, Antonio B. S.</t>
  </si>
  <si>
    <t>Resource use of crucian carp along a lake productivity gradient is related to body size, predation risk, and resource competition</t>
  </si>
  <si>
    <t>ECOLOGY OF FRESHWATER FISH</t>
  </si>
  <si>
    <t>de Meo, Ilaria/KAL-9182-2024</t>
  </si>
  <si>
    <t>0906-6691</t>
  </si>
  <si>
    <t>1600-0633</t>
  </si>
  <si>
    <t>10.1111/eff.12668</t>
  </si>
  <si>
    <t>WOS:000811427400001</t>
  </si>
  <si>
    <t>Hu, W; Zhang, H; Lin, XW; Liu, RD; Bartlam, M; Wang, YY</t>
  </si>
  <si>
    <t>Hu, Wei; Zhang, Hui; Lin, Xiaowen; Liu, Ruidan; Bartlam, Mark; Wang, Yingying</t>
  </si>
  <si>
    <t>Characteristics, Biodiversity, and Cultivation Strategy of Low Nucleic Acid Content Bacteria</t>
  </si>
  <si>
    <t>JUN 15</t>
  </si>
  <si>
    <t>10.3389/fmicb.2022.900669</t>
  </si>
  <si>
    <t>WOS:000817983600001</t>
  </si>
  <si>
    <t>Gu, L; Qin, SS; Sun, YF; Huang, J; Akbar, S; Zhang, L; Yang, Z</t>
  </si>
  <si>
    <t>Gu, Lei; Qin, Shanshan; Sun, Yunfei; Huang, Jing; Akbar, Siddiq; Zhang, Lu; Yang, Zhou</t>
  </si>
  <si>
    <t>Coping with antagonistic predation risks: Predator-dependent unique responses are dominant in Ceriodaphnia cornuta</t>
  </si>
  <si>
    <t>MOLECULAR ECOLOGY</t>
  </si>
  <si>
    <t>Akbar, Siddiq/L-6891-2019; yang, zhou/JKI-3744-2023</t>
  </si>
  <si>
    <t>Akbar, Siddiq/0000-0003-1582-1744;</t>
  </si>
  <si>
    <t>0962-1083</t>
  </si>
  <si>
    <t>1365-294X</t>
  </si>
  <si>
    <t>10.1111/mec.16550</t>
  </si>
  <si>
    <t>WOS:000807225400001</t>
  </si>
  <si>
    <t>Kovalenko, KE; Reavie, ED</t>
  </si>
  <si>
    <t>Kovalenko, Katya E.; Reavie, Euan D.</t>
  </si>
  <si>
    <t>Taxonomic bias in freshwater phytoplankton communities and its effect on environmental assessment metrics</t>
  </si>
  <si>
    <t>PHYCOLOGIA</t>
  </si>
  <si>
    <t>Kovalenko, Katya/0000-0001-7363-212X; Reavie, Euan/0000-0001-8871-5809</t>
  </si>
  <si>
    <t>0031-8884</t>
  </si>
  <si>
    <t>2330-2968</t>
  </si>
  <si>
    <t>10.1080/00318884.2022.2073077</t>
  </si>
  <si>
    <t>WOS:000807596100001</t>
  </si>
  <si>
    <t>Henderiks, J; Sturm, D; Supraha, L; Langer, G</t>
  </si>
  <si>
    <t>Henderiks, Jorijntje; Sturm, Daniela; Supraha, Luka; Langer, Gerald</t>
  </si>
  <si>
    <t>Evolutionary Rates in the Haptophyta: Exploring Molecular and Phenotypic Diversity</t>
  </si>
  <si>
    <t>JOURNAL OF MARINE SCIENCE AND ENGINEERING</t>
  </si>
  <si>
    <t>Henderiks, Jorijntje/JGL-6527-2023</t>
  </si>
  <si>
    <t>2077-1312</t>
  </si>
  <si>
    <t>10.3390/jmse10060798</t>
  </si>
  <si>
    <t>WOS:000817423900001</t>
  </si>
  <si>
    <t>Tabor, RA; Johnson, JR; Peters, RJ; Mahan, R; McHenry, ML; Brenkman, SJ; Pess, GR; Bennett, TR; Liermann, MC</t>
  </si>
  <si>
    <t>Tabor, Roger A.; Johnson, Jeffery R.; Peters, Roger J.; Mahan, Rebecca; McHenry, Michael L.; Brenkman, Samuel J.; Pess, George R.; Bennett, Todd R.; Liermann, Martin C.</t>
  </si>
  <si>
    <t>Distribution, Relative Abundance, and Length of Sculpins in the Elwha River Watershed Following the Removal of Two Hydroelectric Dams</t>
  </si>
  <si>
    <t>NORTHWEST SCIENCE</t>
  </si>
  <si>
    <t>Liermann, Martin/0009-0004-5019-1471</t>
  </si>
  <si>
    <t>0029-344X</t>
  </si>
  <si>
    <t>2161-9859</t>
  </si>
  <si>
    <t>SUM-FAL</t>
  </si>
  <si>
    <t>10.3955/046.095.0305</t>
  </si>
  <si>
    <t>WOS:000865432100005</t>
  </si>
  <si>
    <t>Topor, ZM; Genung, MA; Robinson, KL</t>
  </si>
  <si>
    <t>Topor, Z. M.; A. Genung, M.; Robinson, K. L.</t>
  </si>
  <si>
    <t>Multi-storm analysis reveals distinct zooplankton communities following freshening of the Gulf of Mexico shelf by Hurricane Harvey</t>
  </si>
  <si>
    <t>Genung, Mark A/K-5897-2012</t>
  </si>
  <si>
    <t>MAY 24</t>
  </si>
  <si>
    <t>10.1038/s41598-022-12573-y</t>
  </si>
  <si>
    <t>WOS:000799975800012</t>
  </si>
  <si>
    <t>Sweeney, K; Rollwagen-Bollens, G; Hampton, SE</t>
  </si>
  <si>
    <t>Sweeney, Kathryn; Rollwagen-Bollens, Gretchen; Hampton, Stephanie E.</t>
  </si>
  <si>
    <t>Grazing impacts of rotifer zooplankton on a cyanobacteria bloom in a shallow temperate lake (Vancouver Lake, WA, USA)</t>
  </si>
  <si>
    <t>Rollwagen-Bollens, Gretchen/Q-5520-2017</t>
  </si>
  <si>
    <t>10.1007/s10750-022-04885-x</t>
  </si>
  <si>
    <t>MAY 2022</t>
  </si>
  <si>
    <t>WOS:000799644000001</t>
  </si>
  <si>
    <t>Krzton, W; Kosiba, J; Wilk-Wozniak, E</t>
  </si>
  <si>
    <t>Krzton, Wojciech; Kosiba, Joanna; Wilk-Wozniak, Elzbieta</t>
  </si>
  <si>
    <t>Features that matter: studying how phytoplankton drives zooplankton community functional traits</t>
  </si>
  <si>
    <t>Krzton, Wojciech/0000-0003-2224-2599</t>
  </si>
  <si>
    <t>10.1007/s10750-022-04863-3</t>
  </si>
  <si>
    <t>WOS:000799515200001</t>
  </si>
  <si>
    <t>Yilcin, D; Yalcin, G; Jovanovic, B; Boukal, DS; Vebrova, L; Riha, D; Stankovic, J; Zdrakovic, DS; Metin, M; Akyurek, YN; Balkanl, D; Filiz, N; Milosevic, D; Feuchtmayr, H; Richardson, JA; Beklioglu, M</t>
  </si>
  <si>
    <t>Yilcin, Dilvin; Yalcin, Gulce; Jovanovic, Boris; Boukal, David S.; Vebrova, Lucie; Riha, Derya; Stankovic, Jelena; Zdrakovic, Dimitrija Savic; Metin, Melisa; Akyurek, Yasmin Naz; Balkanl, Deniz; Filiz, Nur; Milosevic, Djuradj; Feuchtmayr, Heidrun; Richardson, Jessica A.; Beklioglu, Meryem</t>
  </si>
  <si>
    <t>Effects of a microplastic mixture differ across trophic levels and taxa in a freshwater food web: In situ mesocosm experiment</t>
  </si>
  <si>
    <t>AUG 25</t>
  </si>
  <si>
    <t>10.1016/j.scitotenv.2022.155407</t>
  </si>
  <si>
    <t>WOS:000807359900016</t>
  </si>
  <si>
    <t>Sá, AKDS; Feitosa, FAN; Cutrim, MVJ; Flores-Montes, MJ; Costa, DD; Cavalcanti, LF</t>
  </si>
  <si>
    <t>Sa, A. K. D. S.; Feitosa, F. A. N.; Cutrim, M. V. J.; Flores-Montes, M. J.; Costa, D. dos S.; Cavalcanti, L. F.</t>
  </si>
  <si>
    <t>Phytoplankton community dynamics in response to seawater intrusion in a tropical macrotidal river-estuary continuum</t>
  </si>
  <si>
    <t>Montes, Manuel J Flores/C-1758-2013; sa, as/GQR-0096-2022; Cutrim, Marco Valerio Jansen/ABC-9666-2020; Flores, Manuel/HTR-8622-2023</t>
  </si>
  <si>
    <t>Cavalcanti, Lisana/0000-0002-4442-7941; CUTRIM, MARCO/0000-0002-7442-2121</t>
  </si>
  <si>
    <t>10.1007/s10750-022-04851-7</t>
  </si>
  <si>
    <t>WOS:000791081300002</t>
  </si>
  <si>
    <t>Liu, Q; Nishibori, N; Hollibaugh, JT</t>
  </si>
  <si>
    <t>Liu, Qian; Nishibori, Naoyoshi; Hollibaugh, James T.</t>
  </si>
  <si>
    <t>Sources of polyamines in coastal waters and their links to phytoplankton</t>
  </si>
  <si>
    <t>MARINE CHEMISTRY</t>
  </si>
  <si>
    <t>0304-4203</t>
  </si>
  <si>
    <t>1872-7581</t>
  </si>
  <si>
    <t>10.1016/j.marchem.2022.104121</t>
  </si>
  <si>
    <t>WOS:000799836100002</t>
  </si>
  <si>
    <t>Yu, WC; Li, JH; Ma, XW; Lv, T; Wang, LG; Li, JR; Liu, CH</t>
  </si>
  <si>
    <t>Yu, Weicheng; Li, Jiahe; Ma, Xiaowen; Lv, Tian; Wang, Ligong; Li, Jiaru; Liu, Chunhua</t>
  </si>
  <si>
    <t>Community structure and function of epiphytic bacteria attached to three submerged macrophytes</t>
  </si>
  <si>
    <t>AUG 20</t>
  </si>
  <si>
    <t>10.1016/j.scitotenv.2022.155546</t>
  </si>
  <si>
    <t>APR 2022</t>
  </si>
  <si>
    <t>WOS:000799746300013</t>
  </si>
  <si>
    <t>Bellier, E; Engen, S; Jensen, TC</t>
  </si>
  <si>
    <t>Bellier, Edwige; Engen, Steinar; Jensen, Thomas Correll</t>
  </si>
  <si>
    <t>Seasonal diversity dynamics of a boreal zooplankton community under climate impact</t>
  </si>
  <si>
    <t>OECOLOGIA</t>
  </si>
  <si>
    <t>Jensen, Thomas/IXD-5451-2023</t>
  </si>
  <si>
    <t>Jensen, Thomas/0000-0003-2777-2759; Bellier, Edwige/0000-0002-1184-0668</t>
  </si>
  <si>
    <t>0029-8549</t>
  </si>
  <si>
    <t>1432-1939</t>
  </si>
  <si>
    <t>10.1007/s00442-022-05165-0</t>
  </si>
  <si>
    <t>WOS:000787660600002</t>
  </si>
  <si>
    <t>Oldach, MD; Graves, SD; Janz, DM</t>
  </si>
  <si>
    <t>Oldach, Mikayla D.; Graves, Stephanie D.; Janz, David M.</t>
  </si>
  <si>
    <t>Differential selenium uptake by periphyton in boreal lake ecosystems*</t>
  </si>
  <si>
    <t>Graves, Stephanie/0000-0003-4535-9941; Janz, David/0000-0002-1866-9787; Oldach, Mikayla/0000-0001-6974-5623</t>
  </si>
  <si>
    <t>JUL 15</t>
  </si>
  <si>
    <t>10.1016/j.envpol.2022.119304</t>
  </si>
  <si>
    <t>WOS:000797073400008</t>
  </si>
  <si>
    <t>Ramaekers, L; Pinceel, T; Brendonck, L; Vanschoenwinkel, B</t>
  </si>
  <si>
    <t>Ramaekers, Lana; Pinceel, Tom; Brendonck, Luc; Vanschoenwinkel, Bram</t>
  </si>
  <si>
    <t>Direct effects of elevated dissolved CO2 can alter the life history of freshwater zooplankton</t>
  </si>
  <si>
    <t>Brendonck, Luc/0000-0001-5383-1420</t>
  </si>
  <si>
    <t>APR 12</t>
  </si>
  <si>
    <t>10.1038/s41598-022-10094-2</t>
  </si>
  <si>
    <t>WOS:000782202600074</t>
  </si>
  <si>
    <t>Gomes, ACAM; Macêdo, RL; Gomes, LF; Velho, LFM; Rocha, O; Vieira, LCG</t>
  </si>
  <si>
    <t>Missias Gomes, Ana Caroline Alcantara; Macedo, Rafael Lacerda; Gomes, Leonardo Fernandes; Machado Velho, Luiz Felipe; Rocha, Odete; Galli Vieira, Ludgero Cardoso</t>
  </si>
  <si>
    <t>Range expansion of Kellicottia bostoniensis (Rousselet, 1908) (Rotifera) throughout a biogeographic boundary between the Brazilian savanna and the Amazon</t>
  </si>
  <si>
    <t>AQUATIC SCIENCES</t>
  </si>
  <si>
    <t>Vieira, Ludgero/G-6985-2017; Velho, Luiz Felipe Machado/I-9130-2016</t>
  </si>
  <si>
    <t>Velho, Luiz Felipe Machado/0000-0001-8111-4955</t>
  </si>
  <si>
    <t>1015-1621</t>
  </si>
  <si>
    <t>1420-9055</t>
  </si>
  <si>
    <t>10.1007/s00027-022-00861-8</t>
  </si>
  <si>
    <t>WOS:000776859500003</t>
  </si>
  <si>
    <t>Yuan, JR; Bai, ZX; Ye, SY; Liu, H; Wang, YH; Li, F; Xie, YH; Gao, AG; Wu, AP</t>
  </si>
  <si>
    <t>Yuan, Jin-Rui; Bai, Zhong-Xi; Ye, Shi-Yun; Liu, Hui; Wang, Yan-Hong; Li, Feng; Xie, Yong-Hong; Gao, An-Guo; Wu, Ai-Ping</t>
  </si>
  <si>
    <t>High-light inhibition of two submerged macrophytes in a shallow water experiment</t>
  </si>
  <si>
    <t>AOB PLANTS</t>
  </si>
  <si>
    <t>Wang, Jing/0000-0002-8296-2961;</t>
  </si>
  <si>
    <t>2041-2851</t>
  </si>
  <si>
    <t>plac009</t>
  </si>
  <si>
    <t>10.1093/aobpla/plac009</t>
  </si>
  <si>
    <t>WOS:000779887200001</t>
  </si>
  <si>
    <t>Ludovisi, A; Goretti, E; Pallottini, M; Lucentini, L; Pizzirani, C; Vizzini, S; Mancinelli, G</t>
  </si>
  <si>
    <t>Ludovisi, Alessandro; Goretti, Enzo; Pallottini, Matteo; Lucentini, Livia; Pizzirani, Claudia; Vizzini, Salvatrice; Mancinelli, Giorgio</t>
  </si>
  <si>
    <t>Stable isotope analysis reveals trophic segregation between the invasive zebra mussel Dreissena polymorpha and the native duck mussel Anodonta anatina in Lake Trasimeno (Italy)</t>
  </si>
  <si>
    <t>10.1007/s10750-022-04846-4</t>
  </si>
  <si>
    <t>MAR 2022</t>
  </si>
  <si>
    <t>WOS:000774611400002</t>
  </si>
  <si>
    <t>Chipps, SR; Bennett, DH; Deslauriers, D; Rudstam, LG</t>
  </si>
  <si>
    <t>Chipps, Steven R.; Bennett, David H.; Deslauriers, David; Rudstam, Lars G.</t>
  </si>
  <si>
    <t>The cost of avoiding predators: a bioenergetic analysis of diel vertical migration by the opossum shrimp Mysis diluviana</t>
  </si>
  <si>
    <t>Chipps, Steven/0000-0001-6511-7582</t>
  </si>
  <si>
    <t>10.1007/s10750-022-04832-w</t>
  </si>
  <si>
    <t>WOS:000766037700003</t>
  </si>
  <si>
    <t>Hahn, M; von Elert, E</t>
  </si>
  <si>
    <t>Hahn, Meike; von Elert, Eric</t>
  </si>
  <si>
    <t>One Kairomone and Multiple Effects in Daphnia Species-5α-Cyprinol Sulfate Induces Morphological Defenses in the Invasive Species Daphnia lumholtzi</t>
  </si>
  <si>
    <t>MAR 3</t>
  </si>
  <si>
    <t>10.3389/fevo.2022.804521</t>
  </si>
  <si>
    <t>WOS:000797929000001</t>
  </si>
  <si>
    <t>Garg, R; Luckner, M; Berger, J; Hipp, K; Wanner, G; Forchhammer, K; Maldener, I</t>
  </si>
  <si>
    <t>Garg, Ritu; Luckner, Manja; Berger, Juergen; Hipp, Katharina; Wanner, Gerhard; Forchhammer, Karl; Maldener, Iris</t>
  </si>
  <si>
    <t>Changes in Envelope Structure and Cell-Cell Communication during Akinete Differentiation and Germination in Filamentous Cyanobacterium Trichormus variabilis ATCC 29413</t>
  </si>
  <si>
    <t>LIFE-BASEL</t>
  </si>
  <si>
    <t>Garg, Ritu/0009-0007-0291-6839; Forchhammer, Karl/0000-0003-3199-8101; Hipp, Katharina/0000-0002-1493-9698</t>
  </si>
  <si>
    <t>2075-1729</t>
  </si>
  <si>
    <t>10.3390/life12030429</t>
  </si>
  <si>
    <t>WOS:000774975300001</t>
  </si>
  <si>
    <t>Mackay, AW; Felde, VA; Morley, DW; Piotrowska, N; Rioual, P; Seddon, AWR; Swann, GEA</t>
  </si>
  <si>
    <t>Mackay, Anson W.; Felde, Vivian A.; Morley, David W.; Piotrowska, Natalia; Rioual, Patrick; Seddon, Alistair W. R.; Swann, George E. A.</t>
  </si>
  <si>
    <t>Long-term trends in diatom diversity and palaeoproductivity: a 16 000-year multidecadal record from Lake Baikal, southern Siberia</t>
  </si>
  <si>
    <t>CLIMATE OF THE PAST</t>
  </si>
  <si>
    <t>1814-9324</t>
  </si>
  <si>
    <t>1814-9332</t>
  </si>
  <si>
    <t>FEB 28</t>
  </si>
  <si>
    <t>10.5194/cp-18-363-2022</t>
  </si>
  <si>
    <t>WOS:000765236300001</t>
  </si>
  <si>
    <t>Wu, NC; Wang, YC; Wang, YX; Sun, XM; Faber, C; Fohrer, N</t>
  </si>
  <si>
    <t>Wu, Naicheng; Wang, Yaochun; Wang, Yixia; Sun, Xiuming; Faber, Claas; Fohrer, Nicola</t>
  </si>
  <si>
    <t>Environment regimes play an important role in structuring trait- and taxonomy-based temporal beta diversity of riverine diatoms</t>
  </si>
  <si>
    <t>JOURNAL OF ECOLOGY</t>
  </si>
  <si>
    <t>Fohrer, Nicola/C-6313-2011</t>
  </si>
  <si>
    <t>YIxia, Wang/0000-0001-5085-8484; Wu, Naicheng/0000-0002-5652-3631</t>
  </si>
  <si>
    <t>0022-0477</t>
  </si>
  <si>
    <t>1365-2745</t>
  </si>
  <si>
    <t>10.1111/1365-2745.13859</t>
  </si>
  <si>
    <t>FEB 2022</t>
  </si>
  <si>
    <t>WOS:000760745300001</t>
  </si>
  <si>
    <t>Pan, Y; Long, YY; Hui, J; Xiao, WY; Yin, J; Li, Y; Liu, D; Tian, QD; Chen, LQ</t>
  </si>
  <si>
    <t>Pan, Ying; Long, Yaoyue; Hui, Jin; Xiao, Weiyi; Yin, Jiang; Li, Ya; Liu, Dan; Tian, Qingdong; Chen, Liqiang</t>
  </si>
  <si>
    <t>Microplastics can affect the trophic cascade strength and stability of plankton ecosystems via behavior-mediated indirect interactions</t>
  </si>
  <si>
    <t>JIN, Hui/GNH-3547-2022</t>
  </si>
  <si>
    <t>MAY 15</t>
  </si>
  <si>
    <t>10.1016/j.jhazmat.2022.128415</t>
  </si>
  <si>
    <t>WOS:000762659800004</t>
  </si>
  <si>
    <t>Kim, K; Taylor, DJ</t>
  </si>
  <si>
    <t>Kim, Keonho; Taylor, Derek J.</t>
  </si>
  <si>
    <t>Thermal phenotypic plasticity of the second limb in Daphnia</t>
  </si>
  <si>
    <t>Taylor, Derek/HKE-2828-2023</t>
  </si>
  <si>
    <t>Taylor, Derek/0000-0002-2524-0559</t>
  </si>
  <si>
    <t>MAR 24</t>
  </si>
  <si>
    <t>10.1093/plankt/fbac003</t>
  </si>
  <si>
    <t>WOS:000792132500001</t>
  </si>
  <si>
    <t>Dao, TS; Nguyen, VT; Baduel, C; Bui, MH; Tran, VT; Pham, TL; Bui, BT; Dinh, KV</t>
  </si>
  <si>
    <t>Dao, Thanh-Son; Nguyen, Van-Tai; Baduel, Christine; Bui, Manh-Ha; Tran, Viet Tuan; Pham, Thanh-Luu; Bui, Ba-Trung; Dinh, Khuong V.</t>
  </si>
  <si>
    <t>Toxicity of di-2-ethylhexyl phthalate and tris (2-butoxyethyl) phosphate to a tropical micro-crustacean (Ceriodaphnia cornuta) is higher in Mekong River water than in standard laboratory medium</t>
  </si>
  <si>
    <t>10.1007/s11356-022-18993-7</t>
  </si>
  <si>
    <t>WOS:000750720700014</t>
  </si>
  <si>
    <t>Kakouei, K; Kraemer, BM; Adrian, R</t>
  </si>
  <si>
    <t>Kakouei, Karan; Kraemer, Benjamin M.; Adrian, Rita</t>
  </si>
  <si>
    <t>Variation in the predictability of lake plankton metric types</t>
  </si>
  <si>
    <t>Kraemer, Benjamin/AAV-9299-2021</t>
  </si>
  <si>
    <t>Kraemer, Benjamin/0000-0002-3390-9005</t>
  </si>
  <si>
    <t>10.1002/lno.12021</t>
  </si>
  <si>
    <t>WOS:000750023600001</t>
  </si>
  <si>
    <t>Matsuda, K; Sato, T; Miki, S; Fujimoto, K; Yamamoto, S</t>
  </si>
  <si>
    <t>Matsuda, Keishi; Sato, Toshiyuki; Miki, Shizuho; Fujimoto, Ken; Yamamoto, Shoichiro</t>
  </si>
  <si>
    <t>The determining factor of radiocesium contamination levels in smallmouth bass Micropterus dolomieu in Lake Hayama after the Fukushima fallout</t>
  </si>
  <si>
    <t>FISHERIES SCIENCE</t>
  </si>
  <si>
    <t>0919-9268</t>
  </si>
  <si>
    <t>1444-2906</t>
  </si>
  <si>
    <t>10.1007/s12562-022-01585-2</t>
  </si>
  <si>
    <t>WOS:000749952400001</t>
  </si>
  <si>
    <t>Grund, Y; Pan, YD; Rosenkranz, M; Foster, E</t>
  </si>
  <si>
    <t>Grund, Yuan; Pan, Yangdong; Rosenkranz, Mark; Foster, Eugene</t>
  </si>
  <si>
    <t>Long-term phosphorus reduction and phytoplankton responses in an urban lake (USA)</t>
  </si>
  <si>
    <t>WATER BIOLOGY AND SECURITY</t>
  </si>
  <si>
    <t>2772-7351</t>
  </si>
  <si>
    <t>10.1016/j.watbs.2022.100010</t>
  </si>
  <si>
    <t>WOS:001129880800001</t>
  </si>
  <si>
    <t>Mohanty, TR; Tiwari, NK; Kumari, S; Ray, A; Manna, RK; Bayen, S; Roy, S; Das Gupta, S; Ramteke, MH; Swain, HS; Bhor, M; Das, BK</t>
  </si>
  <si>
    <t>Mohanty, Trupti Rani; Tiwari, Nitish Kumar; Kumari, Suman; Ray, Archisman; Manna, Ranjan Kumar; Bayen, Supriti; Roy, Shreya; Das Gupta, Subhadeep; Ramteke, Mitesh Hiradas; Swain, Himanshu Sekhar; Bhor, Manisha; Das, Basanta Kumar</t>
  </si>
  <si>
    <t>Variation of Aulacoseira granulata as an eco-pollution indicator in subtropical large river Ganga in India: a multivariate analytical approach</t>
  </si>
  <si>
    <t>Ramteke, Mitesh/HTL-5109-2023; Kumari, Suman/HIR-2310-2022</t>
  </si>
  <si>
    <t>DAS, BASANTA/0000-0002-6629-8992</t>
  </si>
  <si>
    <t>10.1007/s11356-021-18096-9</t>
  </si>
  <si>
    <t>JAN 2022</t>
  </si>
  <si>
    <t>WOS:000745614100011</t>
  </si>
  <si>
    <t>Li, D; Huang, J; Zhou, QM; Gu, L; Sun, YF; Zhang, L; Yang, Z</t>
  </si>
  <si>
    <t>Li, Da; Huang, Jing; Zhou, Qiming; Gu, Lei; Sun, Yunfei; Zhang, Lu; Yang, Zhou</t>
  </si>
  <si>
    <t>Artificial Light Pollution with Different Wavelengths at Night Interferes with Development, Reproduction, and Antipredator Defenses of Daphnia magna</t>
  </si>
  <si>
    <t>FEB 1</t>
  </si>
  <si>
    <t>10.1021/acs.est.1c06286</t>
  </si>
  <si>
    <t>WOS:000743203600001</t>
  </si>
  <si>
    <t>Bomfim, FF; Melao, MGG; Gebara, RC; Lansac-Tôha, FA</t>
  </si>
  <si>
    <t>Bomfim, Francieli F.; Melao, Maria G. G.; Gebara, Renan C.; Lansac-Toha, Fabio A.</t>
  </si>
  <si>
    <t>Warming alters the metabolic rates and life-history parameters of Ceriodaphnia silvestrii (Cladocera)</t>
  </si>
  <si>
    <t>ANAIS DA ACADEMIA BRASILEIRA DE CIENCIAS</t>
  </si>
  <si>
    <t>Bomfim, Francieli de Fátima/AGR-1980-2022; Gebara, Renan Castelhano/K-5376-2014; Melao, Maria da Graca/H-4389-2012</t>
  </si>
  <si>
    <t>Bomfim, Francieli de Fátima/0000-0003-4630-3587; Gebara, Renan Castelhano/0000-0002-2309-6186; Lansac-Toha, Fabio/0000-0001-6746-8052; Melao, Maria da Graca/0000-0002-8411-5088</t>
  </si>
  <si>
    <t>0001-3765</t>
  </si>
  <si>
    <t>1678-2690</t>
  </si>
  <si>
    <t>e20200604</t>
  </si>
  <si>
    <t>10.1590/0001-3765202220200604</t>
  </si>
  <si>
    <t>WOS:000813411900001</t>
  </si>
  <si>
    <t>Titocci, J; Bon, M; Fink, P</t>
  </si>
  <si>
    <t>Titocci, Jessica; Bon, Melanie; Fink, Patrick</t>
  </si>
  <si>
    <t>Morpho-Functional Traits Reveal Differences in Size Fractionated Phytoplankton Communities but Do Not Significantly Affect Zooplankton Grazing</t>
  </si>
  <si>
    <t>MICROORGANISMS</t>
  </si>
  <si>
    <t>Fink, Patrick/0000-0002-5927-8977; Titocci, Jessica/0000-0001-9157-1578; Bon, Melanie/0000-0002-0558-4821</t>
  </si>
  <si>
    <t>2076-2607</t>
  </si>
  <si>
    <t>10.3390/microorganisms10010182</t>
  </si>
  <si>
    <t>WOS:000746245200001</t>
  </si>
  <si>
    <t>Akbar, S; Gu, L; Sun, YF; Zhang, L; Lyu, K; Huang, Y; Yang, Z</t>
  </si>
  <si>
    <t>Akbar, Siddiq; Gu, Lei; Sun, Yunfei; Zhang, Lu; Lyu, Kai; Huang, Yuan; Yang, Zhou</t>
  </si>
  <si>
    <t>Understanding host-microbiome-environment interactions: Insights from Daphnia as a model organism</t>
  </si>
  <si>
    <t>gu, leilei/AAS-4042-2020; yang, zhou/JKI-3744-2023; Akbar, Siddiq/AAK-8034-2020; XIONG, LIU/JOK-5886-2023; Huang, Yuan/JFS-2278-2023; Gu, Lei/GWQ-6785-2022</t>
  </si>
  <si>
    <t>Huang, Yuan/0000-0003-1751-9039;</t>
  </si>
  <si>
    <t>FEB 20</t>
  </si>
  <si>
    <t>10.1016/j.scitotenv.2021.152093</t>
  </si>
  <si>
    <t>DEC 2021</t>
  </si>
  <si>
    <t>WOS:000740209300018</t>
  </si>
  <si>
    <t>Smith, KA; Coulson, PG; Hesp, SA</t>
  </si>
  <si>
    <t>Smith, Kimberley A.; Coulson, Peter G.; Hesp, S. Alex</t>
  </si>
  <si>
    <t>Exceptional longevity in a lightly exploited, semi-anadromous clupeid (Perth herring Nematalosa vlaminghi) within a degraded estuarine environment</t>
  </si>
  <si>
    <t>Smith, Kimberley/0000-0002-0524-4181</t>
  </si>
  <si>
    <t>10.1111/jfb.14950</t>
  </si>
  <si>
    <t>WOS:000727346700001</t>
  </si>
  <si>
    <t>Gavrilko, DE; Shurganova, GV; Kudrin, IA; Yakimov, BN</t>
  </si>
  <si>
    <t>Gavrilko, D. E.; Shurganova, G., V; Kudrin, I. A.; Yakimov, B. N.</t>
  </si>
  <si>
    <t>Identification of Freshwater Zooplankton Functional Groups Based on the Functional Traits of Species</t>
  </si>
  <si>
    <t>BIOLOGY BULLETIN</t>
  </si>
  <si>
    <t>Kudrin, Ivan/0000-0003-2388-629X; Gavrilko, Dmitriy/0000-0002-7759-1625</t>
  </si>
  <si>
    <t>1062-3590</t>
  </si>
  <si>
    <t>1608-3059</t>
  </si>
  <si>
    <t>10.1134/S1062359021100095</t>
  </si>
  <si>
    <t>WOS:000743033700017</t>
  </si>
  <si>
    <t>Menconi, V; Tedesco, P; Pastorino, P; Confortini, I; Esposito, G; Tomasoni, M; Mugetti, D; Gustinelli, A; Dondo, A; Pizzul, E; Fioravanti, ML; Prearo, M</t>
  </si>
  <si>
    <t>Menconi, Vasco; Tedesco, Perla; Pastorino, Paolo; Confortini, Ivano; Esposito, Giuseppe; Tomasoni, Mattia; Mugetti, Davide; Gustinelli, Andrea; Dondo, Alessandro; Pizzul, Elisabetta; Fioravanti, Maria Letizia; Prearo, Marino</t>
  </si>
  <si>
    <t>Could Fish Feeding Behaviour and Size Explain Prevalence Differences of the Nematode Eustrongylides excisus among Species? The Case Study of Lake Garda</t>
  </si>
  <si>
    <t>10.3390/w13243581</t>
  </si>
  <si>
    <t>WOS:000778385700001</t>
  </si>
  <si>
    <t>Wijewardene, L; Wu, NA; Hormann, G; Messyasz, B; Riis, T; Hölzel, C; Ulrich, U; Fohrer, N</t>
  </si>
  <si>
    <t>Wijewardene, Lishani; Wu, Naicheng; Hormann, Georg; Messyasz, Beata; Riis, Tenna; Hoelzel, Christina; Ulrich, Uta; Fohrer, Nicola</t>
  </si>
  <si>
    <t>Effects of the herbicides metazachlor and flufenacet on phytoplankton communities - A microcosm assay</t>
  </si>
  <si>
    <t>Wijewardene, Lishani/AHE-1595-2022; Riis, Tenna/AAE-4115-2020; Fohrer, Dr., Nicola/C-6313-2011</t>
  </si>
  <si>
    <t>Riis, Tenna/0000-0003-2501-4444; Fohrer, Dr., Nicola/0000-0002-7456-6301; Holzel, Christina Susanne/0000-0001-8540-5928; Wijewardene, Lishani/0000-0001-5586-3928</t>
  </si>
  <si>
    <t>DEC 25</t>
  </si>
  <si>
    <t>10.1016/j.ecoenv.2021.113036</t>
  </si>
  <si>
    <t>NOV 2021</t>
  </si>
  <si>
    <t>WOS:000740121400005</t>
  </si>
  <si>
    <t>Moody, EK; Butts, TJ; Fleck, R; Jeyasingh, PD; Wilkinson, GM</t>
  </si>
  <si>
    <t>Moody, Eric K.; Butts, Tyler J.; Fleck, Rachel; Jeyasingh, Punidan D.; Wilkinson, Grace M.</t>
  </si>
  <si>
    <t>Eutrophication-driven eco-evolutionary dynamics indicated by differences in stoichiometric traits among populations of Daphnia pulicaria</t>
  </si>
  <si>
    <t>10.1111/fwb.13845</t>
  </si>
  <si>
    <t>WOS:000719862300001</t>
  </si>
  <si>
    <t>Polazzo, F; Roth, SK; Hermann, M; Mangold-Döring, A; Rico, A; Sobek, A; van den Brink, PJ; Jackson, MC</t>
  </si>
  <si>
    <t>Polazzo, Francesco; Roth, Sabrina K.; Hermann, Markus; Mangold-Doring, Annika; Rico, Andreu; Sobek, Anna; van den Brink, Paul J.; Jackson, Michelle C.</t>
  </si>
  <si>
    <t>Combined effects of heatwaves and micropollutants on freshwater ecosystems: Towards an integrated assessment of extreme events in multiple stressors research</t>
  </si>
  <si>
    <t>Mangold-Döring, Annika/AAE-7214-2022; van den brink, Paul/AAT-7144-2020; Rico, Andreu/G-1102-2016</t>
  </si>
  <si>
    <t>10.1111/gcb.15971</t>
  </si>
  <si>
    <t>WOS:000719064200001</t>
  </si>
  <si>
    <t>Machado, LD; Dorr, F; Dorr, FA; Frascareli, D; Melo, DS; Gontijo, ESJ; Friese, K; Pinto, E; Rosa, AH; Pompeo, MM; Moschini-Carlos, V</t>
  </si>
  <si>
    <t>Machado, Leila dos Santos; Dorr, Fabiane; Dorr, Felipe Augusto; Frascareli, Daniele; Melo, Darllene S.; Gontijo, Erik S. J.; Friese, Kurt; Pinto, Ernani; Rosa, Andre Henrique; Pompeo, Marcelo M.; Moschini-Carlos, Viviane</t>
  </si>
  <si>
    <t>Permanent occurrence of Raphidiopsis raciborskii and cyanotoxins in a subtropical reservoir polluted by domestic effluents (Itupararanga reservoir, Sao Paulo, Brazil)</t>
  </si>
  <si>
    <t>10.1007/s11356-021-16994-6</t>
  </si>
  <si>
    <t>OCT 2021</t>
  </si>
  <si>
    <t>WOS:000710859800009</t>
  </si>
  <si>
    <t>Schenone, L; Modenutti, B; Martyniuk, N; Navarro, MB; Laspoumaderes, C; Balseiro, E</t>
  </si>
  <si>
    <t>Schenone, Luca; Modenutti, Beatriz; Martyniuk, Nicolas; Bastidas Navarro, Marcela; Laspoumaderes, Cecilia; Balseiro, Esteban</t>
  </si>
  <si>
    <t>Modelling key variables for understanding the effects of grazing and nutrient recycling by zooplankton on the freshwater microbial loop</t>
  </si>
  <si>
    <t>10.1111/fwb.13835</t>
  </si>
  <si>
    <t>WOS:000706416100001</t>
  </si>
  <si>
    <t>Allgeier, JE</t>
  </si>
  <si>
    <t>Allgeier, Jacob E.</t>
  </si>
  <si>
    <t>Nutrient stoichiometry of fishes and invertebrates in coastal marine Caribbean ecosystems</t>
  </si>
  <si>
    <t>ECOLOGY</t>
  </si>
  <si>
    <t>0012-9658</t>
  </si>
  <si>
    <t>1939-9170</t>
  </si>
  <si>
    <t>e03533</t>
  </si>
  <si>
    <t>10.1002/ecy.3533</t>
  </si>
  <si>
    <t>WOS:000705989700001</t>
  </si>
  <si>
    <t>Rosa, J; Petsch, DK; Martens, K; Higuti, J</t>
  </si>
  <si>
    <t>Rosa, Jonathan; Petsch, Danielle K.; Martens, Koen; Higuti, Janet</t>
  </si>
  <si>
    <t>Species' traits and taxonomic distance can predict the hatching phenology of ostracod (Crustacea) resting eggs from tropical floodplain lakes</t>
  </si>
  <si>
    <t>INTERNATIONAL REVIEW OF HYDROBIOLOGY</t>
  </si>
  <si>
    <t>Petsch, Danielle/ABE-1084-2021</t>
  </si>
  <si>
    <t>Petsch, Danielle/0000-0003-4515-8285; Rosa, Jonathan/0000-0002-2407-6240; Martens, Koen/0000-0001-8680-973X</t>
  </si>
  <si>
    <t>1434-2944</t>
  </si>
  <si>
    <t>1522-2632</t>
  </si>
  <si>
    <t>5-6</t>
  </si>
  <si>
    <t>10.1002/iroh.202102105</t>
  </si>
  <si>
    <t>WOS:000703186600001</t>
  </si>
  <si>
    <t>Hulot, FD; Msiteli-Shumba, S; Iung, M; Noûs, C; Thébault, E</t>
  </si>
  <si>
    <t>Hulot, Florence D.; Msiteli-Shumba, S.; Iung, Mathias; Nous, Camille; Thebault, Elisa</t>
  </si>
  <si>
    <t>Spatiotemporal beta diversity of plankton species and their interactions in permanent and temporal waterholes in a semiarid savannah</t>
  </si>
  <si>
    <t>INLAND WATERS</t>
  </si>
  <si>
    <t>Hulot, Florence D./0000-0002-8897-3987</t>
  </si>
  <si>
    <t>2044-2041</t>
  </si>
  <si>
    <t>2044-205X</t>
  </si>
  <si>
    <t>OCT 2</t>
  </si>
  <si>
    <t>10.1080/20442041.2021.1935612</t>
  </si>
  <si>
    <t>SEP 2021</t>
  </si>
  <si>
    <t>WOS:000698285100001</t>
  </si>
  <si>
    <t>Alves, J; Pinheiro-Silva, L; Schuster, KF; Matthiensen, A; Petrucio, MM</t>
  </si>
  <si>
    <t>Alves, Jonatas; Pinheiro-Silva, Lorena; Schuster, Karling Fernanda; Matthiensen, Alexandre; Petrucio, Mauricio Mello</t>
  </si>
  <si>
    <t>Environmental conditions are more effective than nutrient availability and spatial processes on explaining microphytoplankton functional structure in a subtropical hypereutrophic reservoir</t>
  </si>
  <si>
    <t>AUSTRAL ECOLOGY</t>
  </si>
  <si>
    <t>1442-9985</t>
  </si>
  <si>
    <t>1442-9993</t>
  </si>
  <si>
    <t>10.1111/aec.13110</t>
  </si>
  <si>
    <t>WOS:000695558200001</t>
  </si>
  <si>
    <t>Stockenreiter, M; Navarro, JI; Buchberger, F; Stibor, H</t>
  </si>
  <si>
    <t>Stockenreiter, Maria; Navarro, Jana Isanta; Buchberger, Felicitas; Stibor, Herwig</t>
  </si>
  <si>
    <t>Community shifts from eukaryote to cyanobacteria dominated phytoplankton: The role of mixing depth and light quality</t>
  </si>
  <si>
    <t>Isanta-Navarro, Jana/HFC-5006-2022</t>
  </si>
  <si>
    <t>Isanta-Navarro, Jana/0000-0002-6168-4499; Stockenreiter, Maria/0000-0001-7380-071X; Stibor, Herwig/0000-0001-5918-6020</t>
  </si>
  <si>
    <t>10.1111/fwb.13822</t>
  </si>
  <si>
    <t>WOS:000695725100001</t>
  </si>
  <si>
    <t>Mancuso, JL; Weinke, AD; Stone, IP; Hamsher, SE; Woller-Skar, MM; Snyder, EB; Biddanda, BA</t>
  </si>
  <si>
    <t>Mancuso, Jasmine L.; Weinke, Anthony D.; Stone, Ian P.; Hamsher, Sarah E.; Woller-Skar, M. Megan; Snyder, Eric B.; Biddanda, Bopaiah A.</t>
  </si>
  <si>
    <t>Bloom and bust: Historical trends of harmful algal blooms in Muskegon Lake, Michigan, a Great Lakes estuary</t>
  </si>
  <si>
    <t>FRESHWATER SCIENCE</t>
  </si>
  <si>
    <t>Mancuso, Jasmine/JXL-4861-2024</t>
  </si>
  <si>
    <t>2161-9549</t>
  </si>
  <si>
    <t>2161-9565</t>
  </si>
  <si>
    <t>SEP 1</t>
  </si>
  <si>
    <t>10.1086/716236</t>
  </si>
  <si>
    <t>WOS:000685515500001</t>
  </si>
  <si>
    <t>Clegg, MR; Wacker, A; Spijkerman, E</t>
  </si>
  <si>
    <t>Clegg, Mark R.; Wacker, Alexander; Spijkerman, Elly</t>
  </si>
  <si>
    <t>Phenotypic Diversity and Plasticity of Photoresponse Across an Environmentally Contrasting Family of Phytoflagellates</t>
  </si>
  <si>
    <t>FRONTIERS IN PLANT SCIENCE</t>
  </si>
  <si>
    <t>Clegg, Mark/0000-0002-1683-1066</t>
  </si>
  <si>
    <t>1664-462X</t>
  </si>
  <si>
    <t>10.3389/fpls.2021.707541</t>
  </si>
  <si>
    <t>WOS:000698018800001</t>
  </si>
  <si>
    <t>Govaert, L; De Meester, L; Rousseaux, S; Declerck, SAJ; Pantel, JH</t>
  </si>
  <si>
    <t>Govaert, Lynn; De Meester, Luc; Rousseaux, Sarah; Declerck, Steven A. J.; Pantel, Jelena H.</t>
  </si>
  <si>
    <t>Measuring the contribution of evolution to community trait structure in freshwater zooplankton</t>
  </si>
  <si>
    <t>Declerck, Steven/E-4338-2010; De Meester, Luc/F-3832-2015</t>
  </si>
  <si>
    <t>Declerck, Steven/0000-0001-6179-667X; De Meester, Luc/0000-0001-5433-6843; Govaert, Lynn/0000-0001-8326-3591</t>
  </si>
  <si>
    <t>10.1111/oik.07885</t>
  </si>
  <si>
    <t>AUG 2021</t>
  </si>
  <si>
    <t>WOS:000687345900001</t>
  </si>
  <si>
    <t>Fey, SB; Kremer, CT; Layden, TJ; Vasseur, DA</t>
  </si>
  <si>
    <t>Fey, Samuel B.; Kremer, Colin T.; Layden, Tamara J.; Vasseur, David A.</t>
  </si>
  <si>
    <t>Resolving the consequences of gradual phenotypic plasticity for populations in variable environments</t>
  </si>
  <si>
    <t>Fey, Samuel/0000-0002-7471-3308; Layden, Tamara/0000-0002-2243-2619</t>
  </si>
  <si>
    <t>e01478</t>
  </si>
  <si>
    <t>10.1002/ecm.1478</t>
  </si>
  <si>
    <t>WOS:000686533300001</t>
  </si>
  <si>
    <t>Chen, XY; Guo, XY; Xiong, W; Zhan, AB</t>
  </si>
  <si>
    <t>Chen, Xingyu; Guo, Xiaoyu; Xiong, Wei; Zhan, Aibin</t>
  </si>
  <si>
    <t>Pollution-driven morphological plasticity in a running water ecosystem</t>
  </si>
  <si>
    <t>Guo, Xiaoyu/G-2635-2018; Zhan, Aibin/A-7240-2011</t>
  </si>
  <si>
    <t>10.1007/s11356-021-15802-5</t>
  </si>
  <si>
    <t>WOS:000683692400011</t>
  </si>
  <si>
    <t>Malashenkov, DV; Dashkova, V; Zhakupova, K; Vorobjev, IA; Barteneva, NS</t>
  </si>
  <si>
    <t>Malashenkov, Dmitry, V; Dashkova, Veronika; Zhakupova, Kymbat; Vorobjev, Ivan A.; Barteneva, Natasha S.</t>
  </si>
  <si>
    <t>Comparative analysis of freshwater phytoplankton communities in two lakes of Burabay National Park using morphological and molecular approaches</t>
  </si>
  <si>
    <t>Barteneva, Natalie/0000-0002-8109-1754; Malashenkov, Dmitry/0000-0002-3216-1680</t>
  </si>
  <si>
    <t>AUG 9</t>
  </si>
  <si>
    <t>10.1038/s41598-021-95223-z</t>
  </si>
  <si>
    <t>WOS:000683506200040</t>
  </si>
  <si>
    <t>Hamasaki, K; Kondo, S; Dan, S</t>
  </si>
  <si>
    <t>Hamasaki, Katsuyuki; Kondo, Shuji; Dan, Shigeki</t>
  </si>
  <si>
    <t>Larval Performance of Amphidromous and Landlocked Atyid Shrimp Species in the Genus Paratya Under Different Temperature and Salinity Conditions</t>
  </si>
  <si>
    <t>ZOOLOGICAL STUDIES</t>
  </si>
  <si>
    <t>1021-5506</t>
  </si>
  <si>
    <t>1810-522X</t>
  </si>
  <si>
    <t>AUG 6</t>
  </si>
  <si>
    <t>10.6620/ZS.2021.60-45</t>
  </si>
  <si>
    <t>WOS:000682917500001</t>
  </si>
  <si>
    <t>Park, S; Sin, Y</t>
  </si>
  <si>
    <t>Park, Sangjun; Sin, Yongsik</t>
  </si>
  <si>
    <t>Artificial Neural Network (ANN) Modeling Analysis of Algal Blooms in an Estuary with Episodic and Anthropogenic Freshwater Inputs</t>
  </si>
  <si>
    <t>APPLIED SCIENCES-BASEL</t>
  </si>
  <si>
    <t>Sin, Yongsik/AFH-4920-2022</t>
  </si>
  <si>
    <t>Sin, Yongsik/0000-0002-9986-4532; Park, Sangjun/0000-0002-8293-5007</t>
  </si>
  <si>
    <t>2076-3417</t>
  </si>
  <si>
    <t>10.3390/app11156921</t>
  </si>
  <si>
    <t>WOS:000681812100001</t>
  </si>
  <si>
    <t>Caputo, L; Fuentes, R; Woelfl, S; Castañeda, LE; Cárdenas, L</t>
  </si>
  <si>
    <t>Caputo, Luciano; Fuentes, Romina; Woelfl, Stefan; Castaneda, Luis E.; Cardenas, Leyla</t>
  </si>
  <si>
    <t>Phenotypic plasticity of clonal populations of the freshwater jellyfish Craspedacusta sowerbii (Lankester, 1880) in Southern Hemisphere lakes (Chile) and the potential role of the zooplankton diet</t>
  </si>
  <si>
    <t>Cardenas, Leyla/AAY-5671-2020; Castaneda, Luis E./G-5340-2011</t>
  </si>
  <si>
    <t>Cardenas, Leyla/0000-0003-0676-6704; Castaneda, Luis E./0000-0001-5484-4573; Woelfl, Stefan/0000-0001-5580-2383; Caputo, Luciano/0000-0001-7975-3192</t>
  </si>
  <si>
    <t>10.1111/aec.13087</t>
  </si>
  <si>
    <t>JUL 2021</t>
  </si>
  <si>
    <t>WOS:000675245800001</t>
  </si>
  <si>
    <t>Wang, K; Mou, XZ; Cao, HS; Struewing, I; Allen, J; Lu, JR</t>
  </si>
  <si>
    <t>Wang, Kai; Mou, Xiaozhen; Cao, Huansheng; Struewing, Ian; Allen, Joel; Lu, Jingrang</t>
  </si>
  <si>
    <t>Co-occurring microorganisms regulate the succession of cyanobacterial harmful algal blooms*</t>
  </si>
  <si>
    <t>Mou, Xiaozhen/AAG-2806-2020</t>
  </si>
  <si>
    <t>10.1016/j.envpol.2021.117682</t>
  </si>
  <si>
    <t>WOS:000696824200007</t>
  </si>
  <si>
    <t>Flöder, S; Yong, J; Klauschies, T; Gaedke, U; Poprick, T; Brinkhoff, T; Moorthi, S</t>
  </si>
  <si>
    <t>Floeder, Sabine; Yong, Joanne; Klauschies, Toni; Gaedke, Ursula; Poprick, Tobias; Brinkhoff, Thorsten; Moorthi, Stefanie</t>
  </si>
  <si>
    <t>Intraspecific trait variation alters the outcome of competition in freshwater ciliates</t>
  </si>
  <si>
    <t>Yong Ya-Lin, Joanne/HGE-9317-2022; Klauschies, Toni/ABB-4071-2021</t>
  </si>
  <si>
    <t>Yong Ya-Lin, Joanne/0000-0003-1843-2437;</t>
  </si>
  <si>
    <t>10.1002/ece3.7828</t>
  </si>
  <si>
    <t>JUN 2021</t>
  </si>
  <si>
    <t>WOS:000667626100001</t>
  </si>
  <si>
    <t>Garlapati, D; Munnooru, K; Vinjamuri, RR; Karri, R; Mallavarapu, VR</t>
  </si>
  <si>
    <t>Garlapati, Deviram; Munnooru, Kumaraswami; Vinjamuri, Ranga Rao; Karri, Ramu; Mallavarapu, Venkata Ramanamurthy</t>
  </si>
  <si>
    <t>Distribution patterns and seasonal variations in phytoplankton communities of the hypersaline Pulicat lagoon, India</t>
  </si>
  <si>
    <t>Munnooru, Kumaraswami/AAR-8108-2020</t>
  </si>
  <si>
    <t>Munnooru, Kumaraswami/0000-0001-5779-5842; Garlapati, Deviram/0000-0001-5674-594X</t>
  </si>
  <si>
    <t>10.1007/s11356-021-15086-9</t>
  </si>
  <si>
    <t>WOS:000666841800003</t>
  </si>
  <si>
    <t>da Cunha, RL; Sala, J; Machado, M; Boix, D; Madeira, C; Madeira, P; Cristo, M; da Fonseca, LC; Castilho, R</t>
  </si>
  <si>
    <t>da Cunha, Regina Lopes; Sala, Jordi; Machado, Margarida; Boix, Dani; Madeira, Celine; Madeira, Pedro; Cristo, Margarida; da Fonseca, Luis Cancela; Castilho, Rita</t>
  </si>
  <si>
    <t>Distinctive genetic signatures of two fairy shrimp species with overlapping ranges in Iberian temporary ponds</t>
  </si>
  <si>
    <t>10.1111/fwb.13782</t>
  </si>
  <si>
    <t>WOS:000663066600001</t>
  </si>
  <si>
    <t>Huang, J; Xu, XQ; Li, D; Sun, YF; Gu, L; Zhang, L; Lyu, K; Yang, Z</t>
  </si>
  <si>
    <t>Huang, Jing; Xu, Xiaoqing; Li, Da; Sun, Yunfei; Gu, Lei; Zhang, Lu; Lyu, Kai; Yang, Zhou</t>
  </si>
  <si>
    <t>Decreased calcium concentration interferes with life history defense strategies of Ceriodaphnia cornuta in response to fish kairomone</t>
  </si>
  <si>
    <t>10.1002/lno.11876</t>
  </si>
  <si>
    <t>WOS:000662728000001</t>
  </si>
  <si>
    <t>Klamt, AM; Qian, FM; Hu, K; Wang, JY; Huang, LP; Li, R; Chen, GJ</t>
  </si>
  <si>
    <t>Klamt, Anna-Marie; Qian, Fuming; Hu, Kui; Wang, Jiaoyuan; Huang, Linpei; Li, Rui; Chen, Guangjie</t>
  </si>
  <si>
    <t>The rise and fall of primary producers and consumers in a multiply-stressed shallow lake (Lake Qilu, China) over the last 200 years</t>
  </si>
  <si>
    <t>10.1016/j.ecolind.2021.107891</t>
  </si>
  <si>
    <t>WOS:000685000000004</t>
  </si>
  <si>
    <t>Drapes, S; Hall, MD; Phillips, B</t>
  </si>
  <si>
    <t>Drapes, Sally; Hall, Matthew D.; Phillips, Ben L.</t>
  </si>
  <si>
    <t>Effect of habitat permanence on life-history: extending the Daphnia model into new climate spaces</t>
  </si>
  <si>
    <t>EVOLUTIONARY ECOLOGY</t>
  </si>
  <si>
    <t>0269-7653</t>
  </si>
  <si>
    <t>1573-8477</t>
  </si>
  <si>
    <t>10.1007/s10682-021-10119-8</t>
  </si>
  <si>
    <t>WOS:000658982700001</t>
  </si>
  <si>
    <t>Garcia, SL; Mehrshad, M; Buck, M; Tsuji, JM; Neufeld, JD; McMahon, KD; Bertilsson, S; Greening, C; Peura, S</t>
  </si>
  <si>
    <t>Garcia, Sarahi L.; Mehrshad, Maliheh; Buck, Moritz; Tsuji, Jackson M.; Neufeld, Josh D.; McMahon, Katherine D.; Bertilsson, Stefan; Greening, Chris; Peura, Sari</t>
  </si>
  <si>
    <t>Freshwater Chlorobia Exhibit Metabolic Specialization among Cosmopolitan and Endemic Populations</t>
  </si>
  <si>
    <t>MSYSTEMS</t>
  </si>
  <si>
    <t>2379-5077</t>
  </si>
  <si>
    <t>e01196-20</t>
  </si>
  <si>
    <t>10.1128/mSystems.01196-20</t>
  </si>
  <si>
    <t>WOS:000709811800011</t>
  </si>
  <si>
    <t>Pulsifer, J; Laws, E</t>
  </si>
  <si>
    <t>Pulsifer, Jennifer; Laws, Edward</t>
  </si>
  <si>
    <t>Temperature Dependence of Freshwater Phytoplankton Growth Rates and Zooplankton Grazing Rates</t>
  </si>
  <si>
    <t>Laws, Edward/0000-0002-4893-9311</t>
  </si>
  <si>
    <t>10.3390/w13111591</t>
  </si>
  <si>
    <t>WOS:000660816500001</t>
  </si>
  <si>
    <t>Souissi, S; Souissi, A</t>
  </si>
  <si>
    <t>Souissi, Sami; Souissi, Anissa</t>
  </si>
  <si>
    <t>Promotion of the Development of Sentinel Species in the Water Column: Example Using Body Size and Fecundity of the Egg-Bearing Calanoid Copepod Eurytemora affinis</t>
  </si>
  <si>
    <t>10.3390/w13111442</t>
  </si>
  <si>
    <t>WOS:000660840900001</t>
  </si>
  <si>
    <t>Su, HJ; Feng, YH; Chen, JF; Chen, J; Ma, SH; Fang, JY; Xie, P</t>
  </si>
  <si>
    <t>Su, Haojie; Feng, Yuhao; Chen, Jianfeng; Chen, Jun; Ma, Suhui; Fang, Jingyun; Xie, Ping</t>
  </si>
  <si>
    <t>Determinants of trophic cascade strength in freshwater ecosystems: a global analysis</t>
  </si>
  <si>
    <t>e03370</t>
  </si>
  <si>
    <t>10.1002/ecy.3370</t>
  </si>
  <si>
    <t>WOS:000656432900001</t>
  </si>
  <si>
    <t>Bomfim, FD; Melao, MDG; Gebara, RC; Lansac-Tôha, FA</t>
  </si>
  <si>
    <t>Bomfim, Francieli de Fatima; Gama Melao, Maria da Graca; Gebara, Renan Castelhano; Lansac-Toha, Fabio Amodeo</t>
  </si>
  <si>
    <t>Warming and predator drive functional responses of three subtropical cladocerans</t>
  </si>
  <si>
    <t>10.1007/s10452-021-09870-5</t>
  </si>
  <si>
    <t>MAY 2021</t>
  </si>
  <si>
    <t>WOS:000651664400001</t>
  </si>
  <si>
    <t>Münzner, K; Gollnisch, R; Rengefors, K; Koreiviene, J; Lindström, ES</t>
  </si>
  <si>
    <t>Munzner, Karla; Gollnisch, Raphael; Rengefors, Karin; Koreiviene, Judita; Lindstrom, Eva S.</t>
  </si>
  <si>
    <t>High Iron Requirements for Growth in the Nuisance Alga Gonyostomum semen (Raphidophyceae)</t>
  </si>
  <si>
    <t>JOURNAL OF PHYCOLOGY</t>
  </si>
  <si>
    <t>0022-3646</t>
  </si>
  <si>
    <t>1529-8817</t>
  </si>
  <si>
    <t>10.1111/jpy.13170</t>
  </si>
  <si>
    <t>WOS:000650458000001</t>
  </si>
  <si>
    <t>Ficsór, M; Csabai, Z</t>
  </si>
  <si>
    <t>Ficsor, Mark; Csabai, Zoltan</t>
  </si>
  <si>
    <t>Longitudinal zonation of larval Hydropsyche (Trichoptera: Hydropsychidae): abiotic environmental factors and biotic interactions behind the downstream sequence of Central European species</t>
  </si>
  <si>
    <t>Csabai, Zoltan/E-8696-2012</t>
  </si>
  <si>
    <t>Ficsor, Mark/0000-0002-9536-1858; Csabai, Zoltan/0000-0003-1700-2574</t>
  </si>
  <si>
    <t>10.1007/s10750-021-04602-0</t>
  </si>
  <si>
    <t>WOS:000650076600001</t>
  </si>
  <si>
    <t>Fettweis, A; Bergen, B; Hansul, S; De Schamphelaere, K; Smolders, E</t>
  </si>
  <si>
    <t>Fettweis, Andreas; Bergen, Benoit; Hansul, Simon; De Schamphelaere, Karel; Smolders, Erik</t>
  </si>
  <si>
    <t>Correlated Ni, Cu, and Zn Sensitivities of 8 Freshwater Algal Species and Consequences for Low-Level Metal Mixture Effects</t>
  </si>
  <si>
    <t>Smolders, Erik/AAR-8675-2020; De Schamphelaere, Karel/A-1600-2008</t>
  </si>
  <si>
    <t>10.1002/etc.5034</t>
  </si>
  <si>
    <t>WOS:000648346800001</t>
  </si>
  <si>
    <t>Choi, JY; Kim, SK</t>
  </si>
  <si>
    <t>Choi, Jong-Yun; Kim, Seong-Ki</t>
  </si>
  <si>
    <t>The Use of Winter Water Temperature and Food Composition by the Copepod Cyclops vicinus (Uljanin, 1875) to Provide a Temporal Refuge from Fish Predation</t>
  </si>
  <si>
    <t>BIOLOGY-BASEL</t>
  </si>
  <si>
    <t>CHOI, Jong-Yun/AAT-6338-2020</t>
  </si>
  <si>
    <t>CHOI, Jong-Yun/0000-0003-3237-8334</t>
  </si>
  <si>
    <t>2079-7737</t>
  </si>
  <si>
    <t>10.3390/biology10050393</t>
  </si>
  <si>
    <t>WOS:000653459300001</t>
  </si>
  <si>
    <t>Broccoli, A; Anselmi, S; Cavallo, A; Ferrari, V; Prevedelli, D; Pastorino, P; Renzi, M</t>
  </si>
  <si>
    <t>Broccoli, Andrea; Anselmi, Serena; Cavallo, Andrea; Ferrari, Vittoria; Prevedelli, Daniela; Pastorino, Paolo; Renzi, Monia</t>
  </si>
  <si>
    <t>Ecotoxicological effects of new generation pollutants (nanoparticles, amoxicillin and white musk) on freshwater and marine phytoplankton species</t>
  </si>
  <si>
    <t>Pastorino, Paolo/T-5288-2019</t>
  </si>
  <si>
    <t>Pastorino, Paolo/0000-0002-0585-1168</t>
  </si>
  <si>
    <t>10.1016/j.chemosphere.2021.130623</t>
  </si>
  <si>
    <t>APR 2021</t>
  </si>
  <si>
    <t>WOS:000659971200116</t>
  </si>
  <si>
    <t>Lyu, K; Cao, C; Li, D; Akbar, S; Yang, Z</t>
  </si>
  <si>
    <t>Lyu, Kai; Cao, Cheng; Li, Da; Akbar, Siddiq; Yang, Zhou</t>
  </si>
  <si>
    <t>The thermal regime modifies the response of aquatic keystone species Daphnia to microplastics: Evidence from population fitness, accumulation, histopathological analysis and candidate gene expression</t>
  </si>
  <si>
    <t>Akbar, Siddiq/0000-0003-1582-1744</t>
  </si>
  <si>
    <t>10.1016/j.scitotenv.2021.147154</t>
  </si>
  <si>
    <t>WOS:000656997900002</t>
  </si>
  <si>
    <t>Izaguirre, I; Unrein, F; Schiaffino, MR; Lara, E; Singer, D; Balagué, V; Gasol, JM; Massana, R</t>
  </si>
  <si>
    <t>Izaguirre, Irina; Unrein, Fernando; Romina Schiaffino, M.; Lara, Enrique; Singer, David; Balague, Vanessa; Gasol, Josep M.; Massana, Ramon</t>
  </si>
  <si>
    <t>Phylogenetic diversity and dominant ecological traits of freshwater Antarctic Chrysophyceae</t>
  </si>
  <si>
    <t>POLAR BIOLOGY</t>
  </si>
  <si>
    <t>Singer, David/B-6889-2016; Massana, Ramon/F-4205-2016; Lara, Enrique/N-3679-2017; Gasol, Josep M/B-1709-2008</t>
  </si>
  <si>
    <t>0722-4060</t>
  </si>
  <si>
    <t>1432-2056</t>
  </si>
  <si>
    <t>10.1007/s00300-021-02850-3</t>
  </si>
  <si>
    <t>WOS:000638492700001</t>
  </si>
  <si>
    <t>Wilson, SM; Buehrens, TW; Fisher, JL; Wilson, KL; Moore, JW</t>
  </si>
  <si>
    <t>Wilson, Samantha M.; Buehrens, Thomas W.; Fisher, Jennifer L.; Wilson, Kyle L.; Moore, Jonathan W.</t>
  </si>
  <si>
    <t>Phenological mismatch, carryover effects, and marine survival in a wild steelhead trout Oncorhynchus mykiss population</t>
  </si>
  <si>
    <t>Wilson, Kyle Logan/0000-0002-0870-0509; Wilson, Samantha Mary/0000-0001-9093-4971</t>
  </si>
  <si>
    <t>APR-MAY</t>
  </si>
  <si>
    <t>10.1016/j.pocean.2021.102533</t>
  </si>
  <si>
    <t>WOS:000647734500005</t>
  </si>
  <si>
    <t>Facey, JA; Rogers, TA; Apte, SC; Mitrovic, SM</t>
  </si>
  <si>
    <t>Facey, Jordan A.; Rogers, Terence A.; Apte, Simon C.; Mitrovic, Simon M.</t>
  </si>
  <si>
    <t>Micronutrients as growth limiting factors in cyanobacterial blooms; a survey of freshwaters in South East Australia</t>
  </si>
  <si>
    <t>10.1007/s00027-021-00783-x</t>
  </si>
  <si>
    <t>WOS:000619816400001</t>
  </si>
  <si>
    <t>Rodríguez-Miguel, A; Hernández-Zamora, M; Martínez-Jerónimo, L; Martínez-Jerónimo, F</t>
  </si>
  <si>
    <t>Rodriguez-Miguel, Alma; Hernandez-Zamora, Miriam; Martinez-Jeronimo, Laura; Martinez-Jeronimo, Fernando</t>
  </si>
  <si>
    <t>Exposure to sublethal concentrations of the glyphosate-based herbicide Faena® increases sensitivity in the progeny of the American cladoceran Daphnia exilis (Herrick, 1895)</t>
  </si>
  <si>
    <t>Hernández-Zamora, Miriam/GRY-1115-2022</t>
  </si>
  <si>
    <t>Hernández-Zamora, Miriam/0000-0003-4419-9405; Martinez-Jeronimo, Fernando/0000-0003-1484-9817</t>
  </si>
  <si>
    <t>10.1007/s11356-021-13259-0</t>
  </si>
  <si>
    <t>MAR 2021</t>
  </si>
  <si>
    <t>WOS:000629549300012</t>
  </si>
  <si>
    <t>Oda, Y; Nakamura, H; Tokishita, S; Mano, H; Chang, KH; Sakamoto, M</t>
  </si>
  <si>
    <t>Oda, Yusuke; Nakamura, Hitomi; Tokishita, Shinichi; Mano, Hiroyuki; Chang, Kwang-Hyeon; Sakamoto, Masaki</t>
  </si>
  <si>
    <t>Phenotypic changes in Daphnia pulex under oxygen deficiency, resource limitation and predation risk</t>
  </si>
  <si>
    <t>ECOLOGICAL RESEARCH</t>
  </si>
  <si>
    <t>Mano, Hiroyuki/M-2892-2018</t>
  </si>
  <si>
    <t>0912-3814</t>
  </si>
  <si>
    <t>1440-1703</t>
  </si>
  <si>
    <t>10.1111/1440-1703.12216</t>
  </si>
  <si>
    <t>WOS:000625468900001</t>
  </si>
  <si>
    <t>Tseng, M; Di Filippo, CM; Fung, M; Kim, JO; Forster, IP; Zhou, YL</t>
  </si>
  <si>
    <t>Tseng, Michelle; Di Filippo, Carla M.; Fung, Madeline; Kim, Jihyun O.; Forster, Ian P.; Zhou, Yilin</t>
  </si>
  <si>
    <t>Cascading effects of algal warming in a freshwater community</t>
  </si>
  <si>
    <t>10.1111/1365-2435.13752</t>
  </si>
  <si>
    <t>WOS:000624341300001</t>
  </si>
  <si>
    <t>García-Quismondo, M; Hintz, WD; Schuler, MS; Relyea, RA</t>
  </si>
  <si>
    <t>Garcia-Quismondo, Manuel; Hintz, William D.; Schuler, Matthew S.; Relyea, Rick A.</t>
  </si>
  <si>
    <t>Modeling diel vertical migration with membrane computing</t>
  </si>
  <si>
    <t>JOURNAL OF MEMBRANE COMPUTING</t>
  </si>
  <si>
    <t>Schuler, Matthew/0000-0002-4258-3000; Garcia-Quismondo, Manuel/0000-0003-3808-517X</t>
  </si>
  <si>
    <t>2523-8906</t>
  </si>
  <si>
    <t>2523-8914</t>
  </si>
  <si>
    <t>10.1007/s41965-020-00038-y</t>
  </si>
  <si>
    <t>WOS:000672025000004</t>
  </si>
  <si>
    <t>Vagnon, C; Cattanéo, F; Goulon, C; Grimardias, D; Guillard, J; Frossard, V</t>
  </si>
  <si>
    <t>Vagnon, Chloe; Cattaneo, Franck; Goulon, Chloe; Grimardias, David; Guillard, Jean; Frossard, Victor</t>
  </si>
  <si>
    <t>An allometric niche model for species interactions in temperate freshwater ecosystems</t>
  </si>
  <si>
    <t>e03420</t>
  </si>
  <si>
    <t>10.1002/ecs2.3420</t>
  </si>
  <si>
    <t>WOS:000636318200013</t>
  </si>
  <si>
    <t>Borics, G; Lerf, V; T-Krasznai, E; Stankovic, I; Pickó, L; Béres, V; Várbíró, G</t>
  </si>
  <si>
    <t>Borics, Gabor; Lerf, Verona; T-Krasznai, Eniko; Stankovic, Igor; Picko, Levente; Beres, Viktoria; Varbiro, Gabor</t>
  </si>
  <si>
    <t>Biovolume and surface area calculations for microalgae, using realistic 3D models</t>
  </si>
  <si>
    <t>10.1016/j.scitotenv.2021.145538</t>
  </si>
  <si>
    <t>FEB 2021</t>
  </si>
  <si>
    <t>WOS:000635207100074</t>
  </si>
  <si>
    <t>Woods, T; Kaz, A; Giam, X</t>
  </si>
  <si>
    <t>Woods, Taylor; Kaz, Anna; Giam, Xingli</t>
  </si>
  <si>
    <t>Phenology in freshwaters: a review and recommendations for future research</t>
  </si>
  <si>
    <t>ECOGRAPHY</t>
  </si>
  <si>
    <t>0906-7590</t>
  </si>
  <si>
    <t>1600-0587</t>
  </si>
  <si>
    <t>10.1111/ecog.05564</t>
  </si>
  <si>
    <t>WOS:000617296700001</t>
  </si>
  <si>
    <t>Cira, EK; Palmer, TA; Wetz, MS</t>
  </si>
  <si>
    <t>Cira, Emily K.; Palmer, Terence A.; Wetz, Michael S.</t>
  </si>
  <si>
    <t>Phytoplankton Dynamics in a Low-Inflow Estuary (Baffin Bay, TX) During Drought and High-Rainfall Conditions Associated with an El Nino Event</t>
  </si>
  <si>
    <t>ESTUARIES AND COASTS</t>
  </si>
  <si>
    <t>Cira, Emily/0000-0002-4148-1133</t>
  </si>
  <si>
    <t>1559-2723</t>
  </si>
  <si>
    <t>1559-2731</t>
  </si>
  <si>
    <t>10.1007/s12237-021-00904-7</t>
  </si>
  <si>
    <t>WOS:000616453200001</t>
  </si>
  <si>
    <t>Kruk, C; Martínez, A; de la Escalera, GM; Trinchin, R; Manta, G; Segura, AM; Piccini, C; Brena, B; Yannicelli, B; Fabiano, G; Calliari, D</t>
  </si>
  <si>
    <t>Kruk, Carla; Martinez, Ana; Martinez de la Escalera, Gabriela; Trinchin, Romina; Manta, Gaston; Segura, Angel M.; Piccini, Claudia; Brena, Beatriz; Yannicelli, Beatriz; Fabiano, Graciela; Calliari, Danilo</t>
  </si>
  <si>
    <t>Rapid freshwater discharge on the coastal ocean as a mean of long distance spreading of an unprecedented toxic cyanobacteria bloom</t>
  </si>
  <si>
    <t>10.1016/j.scitotenv.2020.142362</t>
  </si>
  <si>
    <t>WOS:000593907600015</t>
  </si>
  <si>
    <t>Joachim, S; Beaudouin, R; Daniele, G; Geffard, A; Bado-Nilles, A; Tebby, C; Palluel, O; Dedourge-Geffard, O; Fieu, M; Bonnard, M; Palos-Ladeiro, M; Turiès, C; Vulliet, E; David, ; Baudoin, P; James, A; Andres, S; Porcher, JM</t>
  </si>
  <si>
    <t>Joachim, S.; Beaudouin, R.; Daniele, G.; Geffard, A.; Bado-Nilles, A.; Tebby, C.; Palluel, O.; Dedourge-Geffard, O.; Fieu, M.; Bonnard, M.; Palos-Ladeiro, M.; Turies, C.; Vulliet, E.; David, V; Baudoin, P.; James, A.; Andres, S.; Porcher, J. M.</t>
  </si>
  <si>
    <t>Effects of diclofenac on sentinel species and aquatic communities in semi-natural conditions</t>
  </si>
  <si>
    <t>MAR 15</t>
  </si>
  <si>
    <t>10.1016/j.ecoenv.2020.111812</t>
  </si>
  <si>
    <t>JAN 2021</t>
  </si>
  <si>
    <t>WOS:000617779000001</t>
  </si>
  <si>
    <t>Loewen, CJG; Vinebrooke, RD; Zurawell, RW</t>
  </si>
  <si>
    <t>Loewen, Charlie J. G.; Vinebrooke, Rolf D.; Zurawell, Ron W.</t>
  </si>
  <si>
    <t>Quantifying seasonal succession of phytoplankton trait-environment associations in human-altered landscapes</t>
  </si>
  <si>
    <t>Loewen, Charlie JG/N-1352-2016; Vinebrooke, Rolf/A-3766-2014</t>
  </si>
  <si>
    <t>10.1002/lno.11694</t>
  </si>
  <si>
    <t>WOS:000606839900001</t>
  </si>
  <si>
    <t>Kazama, T; Urabe, J; Yamamichi, M; Tokita, K; Yin, XW; Katano, I; Doi, H; Yoshida, T; Hairston, NG</t>
  </si>
  <si>
    <t>Kazama, Takehiro; Urabe, Jotaro; Yamamichi, Masato; Tokita, Kotaro; Yin, Xuwang; Katano, Izumi; Doi, Hideyuki; Yoshida, Takehito; Hairston, Nelson G., Jr.</t>
  </si>
  <si>
    <t>A unified framework for herbivore-to-producer biomass ratio reveals the relative influence of four ecological factors</t>
  </si>
  <si>
    <t>COMMUNICATIONS BIOLOGY</t>
  </si>
  <si>
    <t>2399-3642</t>
  </si>
  <si>
    <t>JAN 8</t>
  </si>
  <si>
    <t>10.1038/s42003-020-01587-9</t>
  </si>
  <si>
    <t>WOS:000608285700007</t>
  </si>
  <si>
    <t>Moza, MI; Postolache, C; Benedek, AM; Moldoveanu, M; Spaak, P</t>
  </si>
  <si>
    <t>Moza, Maria Iasmina; Postolache, Carmen; Benedek, Ana Maria; Moldoveanu, Mirela; Spaak, Piet</t>
  </si>
  <si>
    <t>Geographical and temporal patterns of cyanobacterial assemblages in the Danube Delta lake complexes</t>
  </si>
  <si>
    <t>Postolache, Carmen I/A-4057-2010; Moldoveanu, Mirela/AAG-3690-2021</t>
  </si>
  <si>
    <t>Moldoveanu, Mirela/0000-0002-6123-3786</t>
  </si>
  <si>
    <t>10.1007/s10750-020-04466-w</t>
  </si>
  <si>
    <t>WOS:000604160800002</t>
  </si>
  <si>
    <t>Amaral, DC; Dunck, B; Braghin, LSM; Fernandes, UL; Bomfim, FF; Bonecker, CC; Lansac-Tôha, FA</t>
  </si>
  <si>
    <t>Amaral, Diogo C.; Dunck, Barbara; Braghin, Louizi S. M.; Fernandes, Ubirajara L.; Bomfim, Francieli F.; Bonecker, Claudia C.; Lansac-Toha, Fabio A.</t>
  </si>
  <si>
    <t>Predation by an omnivorous fish and food availability alter zooplankton functional diversity: a microcosm approach</t>
  </si>
  <si>
    <t>e20200778</t>
  </si>
  <si>
    <t>10.1590/0001-3765202120200778</t>
  </si>
  <si>
    <t>WOS:000691751200001</t>
  </si>
  <si>
    <t>Chaktraborty, S; Karmaker, D; Rahman, MA; Bali, SC; Das, SK; Hossen, R</t>
  </si>
  <si>
    <t>Chaktraborty, Shaswati; Karmaker, Dipalok; Rahman, Md Alimur; Bali, Sukanto Chandra; Das, Subroto K.; Hossen, Riyad</t>
  </si>
  <si>
    <t>Impacts of pH and salinity on community composition, growth and cell morphology of three freshwater phytoplankton</t>
  </si>
  <si>
    <t>PLANT SCIENCE TODAY</t>
  </si>
  <si>
    <t>2348-1900</t>
  </si>
  <si>
    <t>10.14719/pst.2021.8.3.1190</t>
  </si>
  <si>
    <t>WOS:000669503900030</t>
  </si>
  <si>
    <t>Gu, Y; Cai, QH; Tan, L; Li, B; Ju, SS; Ye, L</t>
  </si>
  <si>
    <t>Gu, Yuan; Cai, Qinghua; Tan, Lu; Li, Bin; Ju, Shanshan; Ye, Lin</t>
  </si>
  <si>
    <t>TAXONOMIC AND FUNCTIONAL DIVERSITY OF PLANKTONIC ROTIFERS ALONG A PHOSPHORUS GRADIENT IN THE THREE GORGES RESERVOIR, CHINA</t>
  </si>
  <si>
    <t>FRESENIUS ENVIRONMENTAL BULLETIN</t>
  </si>
  <si>
    <t>Cai, Qinghua/F-8176-2015; haibin, tang/JVO-0925-2024</t>
  </si>
  <si>
    <t>Cai, Qinghua/0000-0002-0224-7256</t>
  </si>
  <si>
    <t>1018-4619</t>
  </si>
  <si>
    <t>1610-2304</t>
  </si>
  <si>
    <t>2A</t>
  </si>
  <si>
    <t>WOS:000626629800013</t>
  </si>
  <si>
    <t>Kuzenkov, O; Morozov, A; Kuzenkova, G</t>
  </si>
  <si>
    <t>Kuzenkov, Oleg; Morozov, Andrew; Kuzenkova, Galina</t>
  </si>
  <si>
    <t>Exploring Evolutionary Fitness in Biological Systems Using Machine Learning Methods</t>
  </si>
  <si>
    <t>ENTROPY</t>
  </si>
  <si>
    <t>1099-4300</t>
  </si>
  <si>
    <t>10.3390/e23010035</t>
  </si>
  <si>
    <t>WOS:000610121900001</t>
  </si>
  <si>
    <t>Macêdo, RL; Franco, ACS; Corrêa, RF; Costa, KD; Pereira, LG; de Oliveira, FDM; Klippel, G; Cordeiro, BD; Thiago, MGR; Rocha, MID; Huszar, VLM; dos Santos, LN; Branco, CWC</t>
  </si>
  <si>
    <t>Macedo, Rafael Lacerda; Sampaio Franco, Ana Clara; Correa, Raphael Ferreira; Costa, Karen do Nascimento; Pereira, Laryssa Goncalves; Maniero de Oliveira, Fernando Daniela; Klippel, Gabriel; Cordeiro, Bruno Damasceno; Ribeiro Thiago, Mariana Guedes; Rocha, Maria Isabel de A.; Huszar, Vera L. M.; dos Santos, Luciano Neves; Castelo Branco, Christina Wyss</t>
  </si>
  <si>
    <t>Spreading of the invasive dinoflagellate Ceratium furcoides (Levander) Langhans throughout the Paraiba do Sul ecoregion, South America, Brazil</t>
  </si>
  <si>
    <t>LIMNETICA</t>
  </si>
  <si>
    <t>0213-8409</t>
  </si>
  <si>
    <t>1989-1806</t>
  </si>
  <si>
    <t>10.23818/limn.40.16</t>
  </si>
  <si>
    <t>WOS:000659952800001</t>
  </si>
  <si>
    <t>Salmi, P; Mäki, A; Mikkonen, A; Puupponen, VM; Vuorio, K; Tiirola, M</t>
  </si>
  <si>
    <t>Salmi, Pauliina; Maki, Anita; Mikkonen, Anu; Puupponen, Veli-Mikko; Vuorio, Kristiina; Tiirola, Made</t>
  </si>
  <si>
    <t>Comparison of epifluorescence microscopy and flow cytometry in counting freshwater picophytoplankton</t>
  </si>
  <si>
    <t>BOREAL ENVIRONMENT RESEARCH</t>
  </si>
  <si>
    <t>1239-6095</t>
  </si>
  <si>
    <t>1797-2469</t>
  </si>
  <si>
    <t>10.17011/jyx/dataset/66278</t>
  </si>
  <si>
    <t>WOS:000641306800002</t>
  </si>
  <si>
    <t>Lu, XT; Gao, YY; Weisse, T</t>
  </si>
  <si>
    <t>Lu, Xiaoteng; Gao, Yunyi; Weisse, Thomas</t>
  </si>
  <si>
    <t>Functional Ecology of Two Contrasting Freshwater Ciliated Protists in Relation to Temperature</t>
  </si>
  <si>
    <t>JOURNAL OF EUKARYOTIC MICROBIOLOGY</t>
  </si>
  <si>
    <t>1066-5234</t>
  </si>
  <si>
    <t>1550-7408</t>
  </si>
  <si>
    <t>10.1111/jeu.12823</t>
  </si>
  <si>
    <t>DEC 2020</t>
  </si>
  <si>
    <t>WOS:000602507000001</t>
  </si>
  <si>
    <t>Lines, T; Orr, P; Beardall, J</t>
  </si>
  <si>
    <t>Lines, Thomas; Orr, Philip; Beardall, John</t>
  </si>
  <si>
    <t>Elevated co2 has Differential Effects on Five Species of Microalgae from a Subtropical Freshwater Lake: Possible Implications for Phytoplankton Species Composition1</t>
  </si>
  <si>
    <t>Beardall, John/L-5262-2019; Orr, Philip/I-2301-2017</t>
  </si>
  <si>
    <t>10.1111/jpy.13104</t>
  </si>
  <si>
    <t>WOS:000601000600001</t>
  </si>
  <si>
    <t>Hamasaki, K; Okada, M; Nishimoto, S; Dan, S</t>
  </si>
  <si>
    <t>Hamasaki, Katsuyuki; Okada, Masakazu; Nishimoto, Sota; Dan, Shigeki</t>
  </si>
  <si>
    <t>Larval Performance of Amphidromous and Landlocked Atyid Shrimp Species in the Genus Paratya under Different Feeding Conditions</t>
  </si>
  <si>
    <t>DEC 15</t>
  </si>
  <si>
    <t>10.6620/ZS.2020.59-70</t>
  </si>
  <si>
    <t>WOS:000600195000001</t>
  </si>
  <si>
    <t>Mucko, M; Bosak, S; Mann, DG; Trobajo, R; Wetzel, CE; Stefanic, PP; Ljubesic, Z</t>
  </si>
  <si>
    <t>Mucko, Maja; Bosak, Suncica; Mann, David G.; Trobajo, Rosa; Wetzel, Carlos E.; Peharec Stefanic, Petra; Ljubesic, Zrinka</t>
  </si>
  <si>
    <t>A polyphasic approach to the study of the genus Nitzschia (Bacillariophyta): three new planktonic species from the Adriatic Sea</t>
  </si>
  <si>
    <t>Mann, David G/I-9018-2014; Trobajo, Rosa/B-2900-2013; Wetzel, Carlos Eduardo/A-2839-2015; Bosak, Suncica/L-7149-2015</t>
  </si>
  <si>
    <t>Mann, David G/0000-0003-0522-6802; Wetzel, Carlos Eduardo/0000-0001-5330-0494; Bosak, Suncica/0000-0002-4604-2324</t>
  </si>
  <si>
    <t>10.1111/jpy.13085</t>
  </si>
  <si>
    <t>WOS:000598774300001</t>
  </si>
  <si>
    <t>Obertegger, U; Pindo, M; Flaim, G</t>
  </si>
  <si>
    <t>Obertegger, Ulrike; Pindo, Massimo; Flaim, Giovanna</t>
  </si>
  <si>
    <t>Do inferences about freshwater phytoplankton communities change when based on microscopy or high-throughput sequencing data?</t>
  </si>
  <si>
    <t>; Obertegger, Ulrike/A-8254-2010</t>
  </si>
  <si>
    <t>Pindo, Massimo/0000-0002-8516-9010; Obertegger, Ulrike/0000-0002-4057-9366</t>
  </si>
  <si>
    <t>10.1111/fwb.13667</t>
  </si>
  <si>
    <t>WOS:000598289200001</t>
  </si>
  <si>
    <t>David, GM; Moreira, D; Reboul, G; Annenkova, NV; Galindo, LJ; Bertolino, P; López-Archilla, AI; Jardillier, L; López-García, P</t>
  </si>
  <si>
    <t>David, Gwendoline M.; Moreira, David; Reboul, Guillaume; Annenkova, Nataliia V.; Galindo, Luis J.; Bertolino, Paola; Lopez-Archilla, Ana I.; Jardillier, Ludwig; Lopez-Garcia, Purificacion</t>
  </si>
  <si>
    <t>Environmental drivers of plankton protist communities along latitudinal and vertical gradients in the oldest and deepest freshwater lake</t>
  </si>
  <si>
    <t>10.1111/1462-2920.15346</t>
  </si>
  <si>
    <t>WOS:000598083800001</t>
  </si>
  <si>
    <t>Medina-Gómez, I; Cahuich-López, M; Aguilar-Trujillo, A; Cruz-Trejo, G; Juárez, M; Mariño-Tapia, I; Herrera-Silveira, J; Enriquez, C</t>
  </si>
  <si>
    <t>Medina-Gomez, Israel; Cahuich-Lopez, Miguel; Aguilar-Trujillo, Ana; Cruz-Trejo, Giuliana; Juarez, Miryam; Marino-Tapia, Ismael; Herrera-Silveira, Jorge; Enriquez, Cecilia</t>
  </si>
  <si>
    <t>Spatio-temporal patterns of Chlorophyll-a in a wide and low-relief shelf sea of the Gulf of Mexico: Insights of interannual climatic patterns on the phytoplankton biomass varying behavior</t>
  </si>
  <si>
    <t>Cahuich-Lopez, Miguel/0000-0003-3093-8908; Herrera Silveira, Jorge Alfredo/0000-0001-7742-0183</t>
  </si>
  <si>
    <t>DEC 10</t>
  </si>
  <si>
    <t>10.1016/j.csr.2020.104174</t>
  </si>
  <si>
    <t>WOS:000564498800001</t>
  </si>
  <si>
    <t>Gutierrez, MF; Simoes, NR; Frau, D; Saigo, M; Licursi, M</t>
  </si>
  <si>
    <t>Florencia Gutierrez, Maria; Simoes, Nadson R.; Frau, Diego; Saigo, Miguel; Licursi, Magdalena</t>
  </si>
  <si>
    <t>Responses of stream zooplankton diversity metrics to eutrophication and temporal environmental variability in agricultural catchments</t>
  </si>
  <si>
    <t>ENVIRONMENTAL MONITORING AND ASSESSMENT</t>
  </si>
  <si>
    <t>0167-6369</t>
  </si>
  <si>
    <t>1573-2959</t>
  </si>
  <si>
    <t>10.1007/s10661-020-08766-5</t>
  </si>
  <si>
    <t>WOS:000595751100003</t>
  </si>
  <si>
    <t>Iskin, U; Filiz, N; Cao, Y; Neif, ÉM; Öglü, B; Lauridsen, TL; Davidson, TA; Sondergaard, M; Tavsanoglu, UN; Beklioglu, M; Jeppesen, E</t>
  </si>
  <si>
    <t>Iskin, Ugur; Filiz, Nur; Cao, Yu; Neif, Erika M.; Oglu, Burak; Lauridsen, Torben L.; Davidson, Thomas A.; Sondergaard, Martin; Tavsanoglu, Ulku Nihan; Beklioglu, Meryem; Jeppesen, Erik</t>
  </si>
  <si>
    <t>Impact of Nutrients, Temperatures, and a Heat Wave on Zooplankton Community Structure: An Experimental Approach</t>
  </si>
  <si>
    <t>10.3390/w12123416</t>
  </si>
  <si>
    <t>WOS:000603019000001</t>
  </si>
  <si>
    <t>Li, YR; Zhu, YY; Ma, LL; Huang, J; Sun, YF; Zhang, L; Lyu, K; Yang, Z</t>
  </si>
  <si>
    <t>Li, Yurou; Zhu, Yuying; Ma, Lili; Huang, Jing; Sun, Yunfei; Zhang, Lu; Lyu, Kai; Yang, Zhou</t>
  </si>
  <si>
    <t>Toxic microcystis reduces tolerance of daphnia to increased chloride, and low chloride alleviates the harm of toxic microcystis to daphnia</t>
  </si>
  <si>
    <t>yang, zhou/JKI-3744-2023</t>
  </si>
  <si>
    <t>10.1016/j.chemosphere.2020.127594</t>
  </si>
  <si>
    <t>WOS:000575197000072</t>
  </si>
  <si>
    <t>Su, HJ; Wang, R; Feng, YH; Li, YL; Li, Y; Chen, J; Xu, C; Wang, SP; Fang, JY; Xie, P</t>
  </si>
  <si>
    <t>Su, Haojie; Wang, Rong; Feng, Yuhao; Li, Yanling; Li, Yun; Chen, Jun; Xu, Chi; Wang, Shaopeng; Fang, Jingyun; Xie, Ping</t>
  </si>
  <si>
    <t>Long-term empirical evidence, early warning signals and multiple drivers of regime shifts in a lake ecosystem</t>
  </si>
  <si>
    <t>10.1111/1365-2745.13544</t>
  </si>
  <si>
    <t>NOV 2020</t>
  </si>
  <si>
    <t>WOS:000593644800001</t>
  </si>
  <si>
    <t>Mnisi, P; Dippenaar, SM</t>
  </si>
  <si>
    <t>Mnisi, Peral; Dippenaar, Susan M.</t>
  </si>
  <si>
    <t>Late postnaupliar development of the freshwater copepods Lovenula falicifera and Metadiaptomus colonialis (Calanoida: Diaptomidae) from South Africa</t>
  </si>
  <si>
    <t>ZOOTAXA</t>
  </si>
  <si>
    <t>Dippenaar, Susan/O-1700-2015</t>
  </si>
  <si>
    <t>Dippenaar, Susan/0000-0002-1780-5548</t>
  </si>
  <si>
    <t>1175-5326</t>
  </si>
  <si>
    <t>1175-5334</t>
  </si>
  <si>
    <t>NOV 11</t>
  </si>
  <si>
    <t>10.11646/zootaxa.4877.3.5</t>
  </si>
  <si>
    <t>WOS:000589411500005</t>
  </si>
  <si>
    <t>Braghin, LDM; Dias, JD; Simoes, NR; Bonecker, CC</t>
  </si>
  <si>
    <t>Magalhaes Braghin, Louizi de Souza; Dias, Juliana Deo; Simoes, Nadson Ressye; Bonecker, Claudia Costa</t>
  </si>
  <si>
    <t>Food availability, depth, and turbidity drive zooplankton functional diversity over time in a Neotropical floodplain</t>
  </si>
  <si>
    <t>Simões, Nadson Ressyé/0000-0002-4577-9033; Dias, Juliana/0000-0003-2881-3751</t>
  </si>
  <si>
    <t>NOV 6</t>
  </si>
  <si>
    <t>10.1007/s00027-020-00763-7</t>
  </si>
  <si>
    <t>WOS:000590055500002</t>
  </si>
  <si>
    <t>Diaz-de-Quijano, D; Stratmann, CN; Berger, SA</t>
  </si>
  <si>
    <t>Diaz-de-Quijano, Daniel; Stratmann, Cleo N.; Berger, Stella A.</t>
  </si>
  <si>
    <t>DIY enzyme labelled fluorescence alcohol (ELFA) standard production protocol to quantify single-cell phosphatase activity (SCPA) of microplankton</t>
  </si>
  <si>
    <t>HELIYON</t>
  </si>
  <si>
    <t>Diaz-de-Quijano, Daniel/AAD-1634-2022; Diaz-de-Quijano, Daniel/AAC-2814-2021</t>
  </si>
  <si>
    <t>Diaz-de-Quijano, Daniel/0000-0002-2231-5957; Stratmann, Cleo/0000-0003-2323-1146</t>
  </si>
  <si>
    <t>2405-8440</t>
  </si>
  <si>
    <t>e05582</t>
  </si>
  <si>
    <t>10.1016/j.heliyon.2020.e05582</t>
  </si>
  <si>
    <t>WOS:000649388700146</t>
  </si>
  <si>
    <t>Burfeid-Castellanos, AM; Kloster, M; Cambra, J; Beszteri, B</t>
  </si>
  <si>
    <t>Burfeid-Castellanos, Andrea M.; Kloster, Michael; Cambra, Jaume; Beszteri, Bank</t>
  </si>
  <si>
    <t>Both hydrology and physicochemistry influence diatom morphometry</t>
  </si>
  <si>
    <t>DIATOM RESEARCH</t>
  </si>
  <si>
    <t>Beszteri, Bank/D-1961-2010</t>
  </si>
  <si>
    <t>0269-249X</t>
  </si>
  <si>
    <t>2159-8347</t>
  </si>
  <si>
    <t>10.1080/0269249X.2020.1828175</t>
  </si>
  <si>
    <t>OCT 2020</t>
  </si>
  <si>
    <t>WOS:000580516300001</t>
  </si>
  <si>
    <t>Gaskill, JA; Harris, TD; North, RL</t>
  </si>
  <si>
    <t>Gaskill, Jacob A.; Harris, Ted D.; North, Rebecca L.</t>
  </si>
  <si>
    <t>Phytoplankton Community Response to Changes in Light: Can Glacial Rock Flour Be Used to Control Cyanobacterial Blooms?</t>
  </si>
  <si>
    <t>OCT 9</t>
  </si>
  <si>
    <t>10.3389/fenvs.2020.540607</t>
  </si>
  <si>
    <t>WOS:000583415600001</t>
  </si>
  <si>
    <t>Schuler, MS; Hintz, WD; Jones, DK; Mattes, BM; Stoler, AB; Relyea, RA</t>
  </si>
  <si>
    <t>Schuler, Matthew S.; Hintz, William D.; Jones, Devin K.; Mattes, Brian M.; Stoler, Aaron B.; Relyea, Rick A.</t>
  </si>
  <si>
    <t>The effects of nutrient enrichment and invasive mollusks on freshwater environments</t>
  </si>
  <si>
    <t>e03196</t>
  </si>
  <si>
    <t>10.1002/ecs2.3196</t>
  </si>
  <si>
    <t>WOS:000588068600015</t>
  </si>
  <si>
    <t>Ilic, M; Cordellier, M; Fink, P</t>
  </si>
  <si>
    <t>Ilic, Maja; Cordellier, Mathilde; Fink, Patrick</t>
  </si>
  <si>
    <t>Intrapopulation variability in a functional trait: Susceptibility ofDaphniato limitation by dietary fatty acids</t>
  </si>
  <si>
    <t>10.1111/fwb.13623</t>
  </si>
  <si>
    <t>SEP 2020</t>
  </si>
  <si>
    <t>WOS:000573518300001</t>
  </si>
  <si>
    <t>Nashima, FP; Strydom, NA; Connan, M; Lamberth, SJ</t>
  </si>
  <si>
    <t>Nashima, Festus P.; Strydom, Nadine A.; Connan, Maelle; Lamberth, Stephen J.</t>
  </si>
  <si>
    <t>Stable isotopes reveal trophic linkages among fish species utilizing the Orange River Estuary Continuum</t>
  </si>
  <si>
    <t>FOOD WEBS</t>
  </si>
  <si>
    <t>Connan, Maelle/A-8468-2008</t>
  </si>
  <si>
    <t>2352-2496</t>
  </si>
  <si>
    <t>e00145</t>
  </si>
  <si>
    <t>10.1016/j.fooweb.2020.e00145</t>
  </si>
  <si>
    <t>WOS:000646860800002</t>
  </si>
  <si>
    <t>Samat, NA; Yusoff, FM; Chong, CM; Karim, M</t>
  </si>
  <si>
    <t>Samat, N. A.; Yusoff, F. Md.; Chong, C. M.; Karim, M.</t>
  </si>
  <si>
    <t>Enrichment of freshwater zooplankton Moina micrura with probiotics isolated from microalgae</t>
  </si>
  <si>
    <t>JOURNAL OF ENVIRONMENTAL BIOLOGY</t>
  </si>
  <si>
    <t>; Yusoff, Fatimah/N-7065-2018</t>
  </si>
  <si>
    <t>0254-8704</t>
  </si>
  <si>
    <t>2394-0379</t>
  </si>
  <si>
    <t>10.22438/jeb/41/5(SI)/MS_13</t>
  </si>
  <si>
    <t>WOS:000582918100014</t>
  </si>
  <si>
    <t>Sha, YC; Tesson, SVM; Hansson, LA</t>
  </si>
  <si>
    <t>Sha, Yongcui; Tesson, Sylvie V. M.; Hansson, Lars-Anders</t>
  </si>
  <si>
    <t>Diverging responses to threats across generations in zooplankton</t>
  </si>
  <si>
    <t>10.1002/ecy.3145</t>
  </si>
  <si>
    <t>AUG 2020</t>
  </si>
  <si>
    <t>WOS:000567662000001</t>
  </si>
  <si>
    <t>Malone, TC; Newton, A</t>
  </si>
  <si>
    <t>Malone, Thomas C.; Newton, Alice</t>
  </si>
  <si>
    <t>The Globalization of Cultural Eutrophication in the Coastal Ocean: Causes and Consequences</t>
  </si>
  <si>
    <t>Newton, Alice/AAL-7152-2021</t>
  </si>
  <si>
    <t>Newton, Alice/0000-0001-9286-5914</t>
  </si>
  <si>
    <t>AUG 17</t>
  </si>
  <si>
    <t>10.3389/fmars.2020.00670</t>
  </si>
  <si>
    <t>WOS:000563824200001</t>
  </si>
  <si>
    <t>Krzton, W; Kosiba, J</t>
  </si>
  <si>
    <t>Krzton, Wojciech; Kosiba, Joanna</t>
  </si>
  <si>
    <t>Variations in zooplankton functional groups density in freshwater ecosystems exposed to cyanobacterial blooms</t>
  </si>
  <si>
    <t>Kosiba, Joanna/0000-0002-9238-1159; Krzton, Wojciech/0000-0003-2224-2599</t>
  </si>
  <si>
    <t>10.1016/j.scitotenv.2020.139044</t>
  </si>
  <si>
    <t>WOS:000537447300012</t>
  </si>
  <si>
    <t>López-Blanco, C; Tasevska, O; Kostoski, G; Wagner, B; Wilke, T</t>
  </si>
  <si>
    <t>Lopez-Blanco, C.; Tasevska, O.; Kostoski, G.; Wagner, B.; Wilke, T.</t>
  </si>
  <si>
    <t>Ancient civilizations already had an impact on cladoceran assemblages in Europe's oldest lake</t>
  </si>
  <si>
    <t>PALAEOGEOGRAPHY PALAEOCLIMATOLOGY PALAEOECOLOGY</t>
  </si>
  <si>
    <t>Wagner, Bernd/J-4682-2012; López-Blanco, Charo/AAA-6188-2021; Wilke, Thomas/G-1517-2012</t>
  </si>
  <si>
    <t>Wagner, Bernd/0000-0002-1369-7893; López-Blanco, Charo/0000-0002-4638-3401; Wilke, Thomas/0000-0001-8263-7758</t>
  </si>
  <si>
    <t>0031-0182</t>
  </si>
  <si>
    <t>1872-616X</t>
  </si>
  <si>
    <t>10.1016/j.palaeo.2020.109734</t>
  </si>
  <si>
    <t>WOS:000538140400003</t>
  </si>
  <si>
    <t>Sampognaro, L; Eirín, K; de la Escalera, GM; Piccini, C; Segura, A; Kruk, C</t>
  </si>
  <si>
    <t>Sampognaro, L.; Eirin, K.; Martinez de la Escalera, G.; Piccini, C.; Segura, A.; Kruk, C.</t>
  </si>
  <si>
    <t>Experimental evidence on the effects of temperature and salinity in morphological traits of the Microcystis aeruginosa complex</t>
  </si>
  <si>
    <t>JOURNAL OF MICROBIOLOGICAL METHODS</t>
  </si>
  <si>
    <t>0167-7012</t>
  </si>
  <si>
    <t>1872-8359</t>
  </si>
  <si>
    <t>10.1016/j.mimet.2020.105971</t>
  </si>
  <si>
    <t>WOS:000555699100004</t>
  </si>
  <si>
    <t>Yang, Y; Pan, JY; Han, BP; Naselli-Flores, L</t>
  </si>
  <si>
    <t>Yang, Yang; Pan, Jingyun; Han, Bo-Ping; Naselli-Flores, Luigi</t>
  </si>
  <si>
    <t>The effects of absolute and relative nutrient concentrations (N/P) on phytoplankton in a subtropical reservoir</t>
  </si>
  <si>
    <t>10.1016/j.ecolind.2020.106466</t>
  </si>
  <si>
    <t>WOS:000561438700037</t>
  </si>
  <si>
    <t>Kruk, C; Devercelli, M; Huszar, VL</t>
  </si>
  <si>
    <t>Kruk, Carla; Devercelli, Melina; Huszar, Vera L.</t>
  </si>
  <si>
    <t>Reynolds Functional Groups: a trait-based pathway from patterns to predictions</t>
  </si>
  <si>
    <t>10.1007/s10750-020-04340-9</t>
  </si>
  <si>
    <t>JUL 2020</t>
  </si>
  <si>
    <t>WOS:000547349600001</t>
  </si>
  <si>
    <t>Borics, G; Abonyi, A; Salmaso, N; Ptacnik, R</t>
  </si>
  <si>
    <t>Borics, Gabor; Abonyi, Andras; Salmaso, Nico; Ptacnik, Robert</t>
  </si>
  <si>
    <t>Freshwater phytoplankton diversity: models, drivers and implications for ecosystem properties</t>
  </si>
  <si>
    <t>10.1007/s10750-020-04332-9</t>
  </si>
  <si>
    <t>WOS:000545306000001</t>
  </si>
  <si>
    <t>Holubová, M; Blabolil, P; Cech, M; Vasek, M; Peterka, J</t>
  </si>
  <si>
    <t>Holubova, Michaela; Blabolil, Petr; Cech, Martin; Vasek, Mojmir; Peterka, Jiri</t>
  </si>
  <si>
    <t>Species-specific schooling behaviour of fish in the freshwater pelagic habitat: an observational study</t>
  </si>
  <si>
    <t>10.1111/jfb.14326</t>
  </si>
  <si>
    <t>WOS:000549533100007</t>
  </si>
  <si>
    <t>Ma, XL; Ni, YJ; Wang, XY; Hu, W; Yin, MB</t>
  </si>
  <si>
    <t>Ma, Xiaolin; Ni, Yijun; Wang, Xiaoyu; Hu, Wei; Yin, Mingbo</t>
  </si>
  <si>
    <t>Lineage diversity, morphological and genetic divergence in Daphnia magna (Crustacea) among Chinese lakes at different altitudes</t>
  </si>
  <si>
    <t>CONTRIBUTIONS TO ZOOLOGY</t>
  </si>
  <si>
    <t>Yin, Mingbo/E-3677-2017</t>
  </si>
  <si>
    <t>1383-4517</t>
  </si>
  <si>
    <t>1875-9866</t>
  </si>
  <si>
    <t>10.1163/18759866-bja10011</t>
  </si>
  <si>
    <t>WOS:000549773700006</t>
  </si>
  <si>
    <t>Nagano, M; Yoshida, T</t>
  </si>
  <si>
    <t>Nagano, Mariko; Yoshida, Takehito</t>
  </si>
  <si>
    <t>Size-selective predation accounts for intra- and inter-specific variation of inducible morphological defense ofDaphnia</t>
  </si>
  <si>
    <t>Yoshida, Takehito/ABB-2490-2020; Yoshida, Takehito/O-9983-2014; Nagano, Mariko/ADZ-6539-2022</t>
  </si>
  <si>
    <t>Yoshida, Takehito/0000-0001-9178-3634; Nagano, Mariko/0000-0001-5277-0929</t>
  </si>
  <si>
    <t>e03192</t>
  </si>
  <si>
    <t>10.1002/ecs2.3192</t>
  </si>
  <si>
    <t>WOS:000567408500023</t>
  </si>
  <si>
    <t>Adamczuk, M</t>
  </si>
  <si>
    <t>Adamczuk, Malgorzata</t>
  </si>
  <si>
    <t>Population dynamics and life history traits of Daphnia magna across thermal regimes of environments</t>
  </si>
  <si>
    <t>Adamczuk, Malgorzata/0000-0003-3599-2006</t>
  </si>
  <si>
    <t>JUN 25</t>
  </si>
  <si>
    <t>10.1016/j.scitotenv.2020.137963</t>
  </si>
  <si>
    <t>WOS:000535465200006</t>
  </si>
  <si>
    <t>Fantón, N; Bacchetta, C; Rossi, A; Gutierrez, MF</t>
  </si>
  <si>
    <t>Fanton, Noelia; Bacchetta, Carla; Rossi, Andrea; Florencia Gutierrez, Maria</t>
  </si>
  <si>
    <t>Effects of a glyphosate-based herbicide on the development and biochemical biomarkers of the freshwater copepod Notodiaptomus carteri (Lowndes, 1934)</t>
  </si>
  <si>
    <t>Gutierrez, Maria Florencia/0000-0003-2644-3339</t>
  </si>
  <si>
    <t>10.1016/j.ecoenv.2020.110501</t>
  </si>
  <si>
    <t>WOS:000525763800020</t>
  </si>
  <si>
    <t>Zou, W; Zhu, GW; Cai, YJ; Xu, H; Zhu, MY; Gong, ZJ; Zhang, YL; Qin, BQ</t>
  </si>
  <si>
    <t>Zou, Wei; Zhu, Guangwei; Cai, Yongjiu; Xu, Hai; Zhu, Mengyuan; Gong, Zhijun; Zhang, Yunlin; Qin, Boqiang</t>
  </si>
  <si>
    <t>Quantifying the dependence of cyanobacterial growth to nutrient for the eutrophication management of temperate-subtropical shallow lakes</t>
  </si>
  <si>
    <t>Zhang, Zhentao/JQV-7389-2023; xu, hai/JEP-5422-2023; Zhang, Yunlin/N-5464-2014</t>
  </si>
  <si>
    <t>10.1016/j.watres.2020.115806</t>
  </si>
  <si>
    <t>WOS:000530241100030</t>
  </si>
  <si>
    <t>Huang, J; Li, YR; Zhou, QM; Sun, YF; Zhang, L; Gu, L; Lyu, K; Huang, Y; Chen, YF; Yang, Z</t>
  </si>
  <si>
    <t>Huang, Jing; Li, Yurou; Zhou, Qiming; Sun, Yunfei; Zhang, Lu; Gu, Lei; Lyu, Kai; Huang, Yuan; Chen, Yafen; Yang, Zhou</t>
  </si>
  <si>
    <t>Non-toxic and toxic Microcystis aeruginosa reduce the tolerance of Daphnia pulex to low calcium in different degrees: Based on the changes in the key life-history traits</t>
  </si>
  <si>
    <t>Lu, Zhang/0000-0002-2056-3041; Huang, Yuan/0000-0003-1751-9039</t>
  </si>
  <si>
    <t>10.1016/j.chemosphere.2020.126101</t>
  </si>
  <si>
    <t>WOS:000527930600116</t>
  </si>
  <si>
    <t>Macedo, RL; Franco, ACS; Klippel, G; Oliveira, EF; Silva, LHS; dos Santos, LN; Branco, CWC</t>
  </si>
  <si>
    <t>Macedo, Rafael Lacerda; Franco, Ana Clara S.; Klippel, Gabriel; Oliveira, Ewerton F.; Silva, Lucia Helena S.; dos Santos, Luciano Neves; Branco, Christina W. C.</t>
  </si>
  <si>
    <t>Small in size but rather pervasive: the spread of the North American rotifer Kellicottia bostoniensis (Rousselet, 1908) through Neotropical basins</t>
  </si>
  <si>
    <t>BIOINVASIONS RECORDS</t>
  </si>
  <si>
    <t>Sampaio Franco, Ana Clara/0000-0002-1572-3645; Silva, Lúcia Sampaio/0000-0002-9533-3603; Macedo, Rafael/0000-0001-5086-0170; Castelo Branco, Christina W/0000-0002-0509-171X; Klippel, Gabriel/0000-0002-5558-2357; Santos, Luciano/0000-0002-5279-5672</t>
  </si>
  <si>
    <t>2242-1300</t>
  </si>
  <si>
    <t>10.3391/bir.2020.9.2.14</t>
  </si>
  <si>
    <t>WOS:000531866100014</t>
  </si>
  <si>
    <t>Pinheiro-Silva, L; Gianuca, AT; Silveira, MH; Petrucio, MM</t>
  </si>
  <si>
    <t>Pinheiro-Silva, Lorena; Gianuca, Andros Tarouco; Silveira, Monica Hessel; Petrucio, Mauricio Mello</t>
  </si>
  <si>
    <t>Grazing efficiency asymmetry drives zooplankton top-down control on phytoplankton in a subtropical lake dominated by non-toxic cyanobacteria</t>
  </si>
  <si>
    <t>10.1007/s10750-020-04255-5</t>
  </si>
  <si>
    <t>WOS:000531813500008</t>
  </si>
  <si>
    <t>Vezhnavets, VV; Litvinova, AG</t>
  </si>
  <si>
    <t>Vezhnavets, Vasil V.; Litvinova, Anastasiya G.</t>
  </si>
  <si>
    <t>REPRESENTATIVES OF THE GENUS EURYTEMORA GIESBRECHT, 1881 (CALANOIDA, TEMORIDAE) IN AQUATIC ECOSYSTEMS OF BELARUS</t>
  </si>
  <si>
    <t>CRUSTACEANA</t>
  </si>
  <si>
    <t>Eurytemora International Conference</t>
  </si>
  <si>
    <t>MAY 13-17, 2019</t>
  </si>
  <si>
    <t>St Petersburg, RUSSIA</t>
  </si>
  <si>
    <t>Vezhnavets, Vasil/0000-0001-9878-5448</t>
  </si>
  <si>
    <t>0011-216X</t>
  </si>
  <si>
    <t>1568-5403</t>
  </si>
  <si>
    <t>3-5</t>
  </si>
  <si>
    <t>10.1163/15685403-00004008</t>
  </si>
  <si>
    <t>WOS:000540781400005</t>
  </si>
  <si>
    <t>Braz, JEM; Dias, JD; Bonecker, CC; Simoes, NR</t>
  </si>
  <si>
    <t>Braz, Joyce Ernestina Monteiro; Dias, Juliana Deo; Bonecker, Claudia Costa; Simoes, Nadson Ressye</t>
  </si>
  <si>
    <t>Oligotrophication affects the size structure and potential ecological interactions of planktonic microcrustaceans</t>
  </si>
  <si>
    <t>MAY 25</t>
  </si>
  <si>
    <t>10.1007/s00027-020-00733-z</t>
  </si>
  <si>
    <t>WOS:000544099800001</t>
  </si>
  <si>
    <t>Lei, LM; Huang, HT; Peng, L; Yang, Y; Xiao, LJ; Han, BP</t>
  </si>
  <si>
    <t>Lei, Lamei; Huang, Haitang; Peng, Liang; Yang, Yang; Xiao, Lijuan; Han, Bo-Ping</t>
  </si>
  <si>
    <t>Life-history responses of Daphnia sinensis simultaneously exposed to Microcystis aeruginosa and Cylindrospermopsis raciborskii</t>
  </si>
  <si>
    <t>ECOTOXICOLOGY</t>
  </si>
  <si>
    <t>0963-9292</t>
  </si>
  <si>
    <t>1573-3017</t>
  </si>
  <si>
    <t>10.1007/s10646-020-02220-5</t>
  </si>
  <si>
    <t>MAY 2020</t>
  </si>
  <si>
    <t>WOS:000531129300001</t>
  </si>
  <si>
    <t>Wentzky, VC; Tittel, J; Jäger, CG; Bruggeman, J; Rinke, K</t>
  </si>
  <si>
    <t>Wentzky, Valerie Carolin; Tittel, Joerg; Jaeger, Christoph Gerald; Bruggeman, Jorn; Rinke, Karsten</t>
  </si>
  <si>
    <t>Seasonal succession of functional traits in phytoplankton communities and their interaction with trophic state</t>
  </si>
  <si>
    <t>10.1111/1365-2745.13395</t>
  </si>
  <si>
    <t>APR 2020</t>
  </si>
  <si>
    <t>WOS:000529015900001</t>
  </si>
  <si>
    <t>Ritschar, S; Rabus, M; Laforsch, C</t>
  </si>
  <si>
    <t>Ritschar, Sven; Rabus, Max; Laforsch, Christian</t>
  </si>
  <si>
    <t>Predator-specific inducible morphological defenses of a water flea against two freshwater predators</t>
  </si>
  <si>
    <t>JOURNAL OF MORPHOLOGY</t>
  </si>
  <si>
    <t>Laforsch, Christian/JOZ-3270-2023</t>
  </si>
  <si>
    <t>Laforsch, Christian/0000-0002-5889-4647; Ritschar, Sven/0000-0002-5585-0729</t>
  </si>
  <si>
    <t>0362-2525</t>
  </si>
  <si>
    <t>1097-4687</t>
  </si>
  <si>
    <t>10.1002/jmor.21131</t>
  </si>
  <si>
    <t>WOS:000528334400001</t>
  </si>
  <si>
    <t>Wolinski, L; Modenutti, B; Balseiro, E</t>
  </si>
  <si>
    <t>Wolinski, Laura; Modenutti, Beatriz; Balseiro, Esteban</t>
  </si>
  <si>
    <t>Melanin and antipredatory defenses in Daphnia dadayana under UVR exposure</t>
  </si>
  <si>
    <t>Modenutti, Beatriz/0000-0002-8683-5679; Balseiro, Esteban/0000-0002-5052-0587; Wolinski, Laura/0000-0002-8461-2578</t>
  </si>
  <si>
    <t>10.1002/iroh.201902033</t>
  </si>
  <si>
    <t>WOS:000527078900001</t>
  </si>
  <si>
    <t>Crawford, JW; Schrader, M; Hall, SR; Cáceres, CE</t>
  </si>
  <si>
    <t>Crawford, John W.; Schrader, Matthew; Hall, Spencer R.; Caceres, Carla E.</t>
  </si>
  <si>
    <t>Intraspecific variation in resource use is not explained by population persistence or seasonality</t>
  </si>
  <si>
    <t>Schrader, Matthew/0000-0001-5432-6696</t>
  </si>
  <si>
    <t>10.1007/s00442-020-04651-7</t>
  </si>
  <si>
    <t>WOS:000527493100001</t>
  </si>
  <si>
    <t>Zohary, T; Flaim, G; Sommer, U</t>
  </si>
  <si>
    <t>Zohary, Tamar; Flaim, Giovanna; Sommer, Ulrich</t>
  </si>
  <si>
    <t>Temperature and the size of freshwater phytoplankton</t>
  </si>
  <si>
    <t>10.1007/s10750-020-04246-6</t>
  </si>
  <si>
    <t>WOS:000527483600001</t>
  </si>
  <si>
    <t>Cabezudo, MM; Ribeiro, KF; Schneck, F; Werner, VR; Lima, MS; Bohnenberger, JE; Crossetti, LO</t>
  </si>
  <si>
    <t>Cabezudo, Marie Mello; Ribeiro, Karine Felix; Schneck, Fabiana; Werner, Vera Regina; Lima, Marla Sonaira; Bohnenberger, Juliana Elisa; Crossetti, Luciane Oliveira</t>
  </si>
  <si>
    <t>Ecological factors shaping cyanobacterial assemblages in a coastal lake system</t>
  </si>
  <si>
    <t>Schneck, Fabiana/I-4112-2012; Crossetti, Luciane O/K-5218-2012; Cabezudo, Marie Mello/AAQ-2375-2020</t>
  </si>
  <si>
    <t>Schneck, Fabiana/0000-0002-0018-444X; Cabezudo, Marie Mello/0000-0002-8708-941X; Bohnenberger, Juliana/0000-0003-4895-1131</t>
  </si>
  <si>
    <t>10.1007/s10750-020-04250-w</t>
  </si>
  <si>
    <t>WOS:000526238700002</t>
  </si>
  <si>
    <t>Vidal, N; Trochine, C; Amsinck, SL; Barmuta, LA; Christoffersen, KS; Ventura, M; Buchaca, T; Landkildehus, F; Hardie, SA; Meerhoff, M; Jeppesen, E</t>
  </si>
  <si>
    <t>Vidal, Nicolas; Trochine, Carolina; Amsinck, Susanne L.; Barmuta, Leon A.; Christoffersen, Kirsten S.; Ventura, Marc; Buchaca, Teresa; Landkildehus, Frank; Hardie, Scott A.; Meerhoff, Mariana; Jeppesen, Erik</t>
  </si>
  <si>
    <t>Interaction between non-native predatory fishes and native galaxiids (Pisces: Galaxiidae) shapes food web structure in Tasmanian lakes</t>
  </si>
  <si>
    <t>10.1080/20442041.2020.1724047</t>
  </si>
  <si>
    <t>WOS:000525133100001</t>
  </si>
  <si>
    <t>Simoes, NR; Braghin, LSM; Duré, GAV; Santos, JS; Sonoda, SL; Bonecker, CC</t>
  </si>
  <si>
    <t>Simoes, Nadson R.; Braghin, Louizi S. M.; Dure, Gustavo A. V.; Santos, Josiane S.; Sonoda, Sergio L.; Bonecker, Claudia C.</t>
  </si>
  <si>
    <t>Changing taxonomic and functional β-diversity of cladoceran communities in Northeastern and South Brazil</t>
  </si>
  <si>
    <t>10.1007/s10750-020-04234-w</t>
  </si>
  <si>
    <t>WOS:000523103900001</t>
  </si>
  <si>
    <t>Bojadzija Savic, G; Bormans, M; Edwards, C; Lawton, L; Briand, E; Wiegand, C</t>
  </si>
  <si>
    <t>Bojadzija Savic, Gorenka; Bormans, Myriam; Edwards, Christine; Lawton, Linda; Briand, Enora; Wiegand, Claudia</t>
  </si>
  <si>
    <t>Cross talk: Two way allelopathic interactions between toxic Microcystis and Daphnia</t>
  </si>
  <si>
    <t>10.1016/j.hal.2020.101803</t>
  </si>
  <si>
    <t>WOS:000532817900003</t>
  </si>
  <si>
    <t>Diel, P; Kiene, M; Martin-Creuzburg, D; Laforsch, C</t>
  </si>
  <si>
    <t>Diel, Patricia; Kiene, Marvin; Martin-Creuzburg, Dominik; Laforsch, Christian</t>
  </si>
  <si>
    <t>Knowing the Enemy: Inducible Defences in Freshwater Zooplankton</t>
  </si>
  <si>
    <t>10.3390/d12040147</t>
  </si>
  <si>
    <t>WOS:000533906300011</t>
  </si>
  <si>
    <t>Ho, PC; Chang, CW; Shiah, FK; Wang, PL; Hsieh, CH; Andersen, KH</t>
  </si>
  <si>
    <t>Ho, Pei-Chi; Chang, Chun-Wei; Shiah, Fuh-Kwo; Wang, Pei-Ling; Hsieh, Chih-Hao; Andersen, Ken H.</t>
  </si>
  <si>
    <t>Body Size, Light Intensity, and Nutrient Supply Determine Plankton Stoichiometry in Mixotrophic Plankton Food Webs</t>
  </si>
  <si>
    <t>AMERICAN NATURALIST</t>
  </si>
  <si>
    <t>0003-0147</t>
  </si>
  <si>
    <t>1537-5323</t>
  </si>
  <si>
    <t>E100</t>
  </si>
  <si>
    <t>E111</t>
  </si>
  <si>
    <t>10.1086/707394</t>
  </si>
  <si>
    <t>WOS:000536127600001</t>
  </si>
  <si>
    <t>Ramos-Rodríguez, E; Moreno, E; Conde-Porcuna, JM</t>
  </si>
  <si>
    <t>Ramos-Rodriguez, Eloisa; Moreno, Emilio; Maria Conde-Porcuna, Jose</t>
  </si>
  <si>
    <t>Intraspecific variation in sensitivity to food availability and temperature-induced phenotypic plasticity in the rotifer Keratella cochlearis</t>
  </si>
  <si>
    <t>JOURNAL OF EXPERIMENTAL BIOLOGY</t>
  </si>
  <si>
    <t>0022-0949</t>
  </si>
  <si>
    <t>1477-9145</t>
  </si>
  <si>
    <t>jeb209676</t>
  </si>
  <si>
    <t>10.1242/jeb.209676</t>
  </si>
  <si>
    <t>WOS:000541832400004</t>
  </si>
  <si>
    <t>Zhou, QM; Lu, N; Gu, L; Sun, YF; Zhang, L; Huang, Y; Chen, YF; Yang, Z</t>
  </si>
  <si>
    <t>Zhou, Qiming; Lu, Na; Gu, Lei; Sun, Yunfei; Zhang, Lu; Huang, Yuan; Chen, Yafen; Yang, Zhou</t>
  </si>
  <si>
    <t>Daphnia enhances relative reproductive allocation in response to toxic microcystis: Changes in the performance of parthenogenetic and sexual reproduction</t>
  </si>
  <si>
    <t>Lu, Zhang/0000-0002-2056-3041; Huang, Yuan/0000-0003-1751-9039;</t>
  </si>
  <si>
    <t>10.1016/j.envpol.2019.113890</t>
  </si>
  <si>
    <t>WOS:000528534600050</t>
  </si>
  <si>
    <t>Colchen, T; Dias, A; Gisbert, E; Teletchea, F; Fontaine, P; Pasquet, A</t>
  </si>
  <si>
    <t>Colchen, Tatiana; Dias, Andrea; Gisbert, Enric; Teletchea, Fabrice; Fontaine, Pascal; Pasquet, Alain</t>
  </si>
  <si>
    <t>The onset of piscivory in a freshwater fish species: analysis of behavioural and physiological traits</t>
  </si>
  <si>
    <t>Gisbert, Enric/I-7224-2019</t>
  </si>
  <si>
    <t>Gisbert, Enric/0000-0002-7457-8468; Colchen, Tatiana/0000-0001-9532-251X</t>
  </si>
  <si>
    <t>10.1111/jfb.14322</t>
  </si>
  <si>
    <t>MAR 2020</t>
  </si>
  <si>
    <t>WOS:000521605500001</t>
  </si>
  <si>
    <t>David, V; Tortajada, S; Philippine, O; Bréret, M; Barnett, A; Agogué, H; Robin, FX; Dupuy, C</t>
  </si>
  <si>
    <t>David, Valerie; Tortajada, Sebastien; Philippine, Olivier; Breret, Martine; Barnett, Alexandre; Agogue, Helene; Robin, Francois-Xavier; Dupuy, Christine</t>
  </si>
  <si>
    <t>Ecological succession and resilience of plankton recovering from an acute disturbance in freshwater marshes</t>
  </si>
  <si>
    <t>David, Valerie/A-8770-2017; Agogue, Helene/O-4122-2014</t>
  </si>
  <si>
    <t>Dupuy, Christine/0000-0002-5634-1336; Agogue, Helene/0000-0002-1078-0130</t>
  </si>
  <si>
    <t>MAR 20</t>
  </si>
  <si>
    <t>10.1016/j.scitotenv.2019.135997</t>
  </si>
  <si>
    <t>WOS:000512281700042</t>
  </si>
  <si>
    <t>Kuefner, W; Ossyssek, S; Geist, J; Raeder, U</t>
  </si>
  <si>
    <t>Kuefner, Wolfgang; Ossyssek, Stefan; Geist, Juergen; Raeder, Uta</t>
  </si>
  <si>
    <t>The silicification value: a novel diatom-based indicator to assess climate change in freshwater habitats</t>
  </si>
  <si>
    <t>Geist, Juergen/C-4933-2008; Küfner, Wolfgang/AAX-8850-2020</t>
  </si>
  <si>
    <t>10.1080/0269249X.2020.1722246</t>
  </si>
  <si>
    <t>WOS:000518525100001</t>
  </si>
  <si>
    <t>Bouraï, L; Logez, M; Laplace-Treyture, C; Argillier, C</t>
  </si>
  <si>
    <t>Bourai, Liess; Logez, Maxime; Laplace-Treyture, Christophe; Argillier, Christine</t>
  </si>
  <si>
    <t>How Do Eutrophication and Temperature Interact to Shape the Community Structures of Phytoplankton and Fish in Lakes?</t>
  </si>
  <si>
    <t>Logez, Maxime/0000-0001-9843-0495; LAPLACE-TREYTURE, Christophe/0000-0002-0833-473X</t>
  </si>
  <si>
    <t>10.3390/w12030779</t>
  </si>
  <si>
    <t>WOS:000529249500164</t>
  </si>
  <si>
    <t>Chirico, N; Antonio, DC; Pozzoli, L; Marinov, D; Malagó, A; Sanseverino, I; Beghi, A; Genoni, P; Dobricic, S; Lettieri, T</t>
  </si>
  <si>
    <t>Chirico, Nicola; Antonio, Diana C.; Pozzoli, Luca; Marinov, Dimitar; Malago, Anna; Sanseverino, Isabella; Beghi, Andrea; Genoni, Pietro; Dobricic, Srdan; Lettieri, Teresa</t>
  </si>
  <si>
    <t>Cyanobacterial Blooms in Lake Varese: Analysis and Characterization over Ten Years of Observations</t>
  </si>
  <si>
    <t>Pozzoli, Luca/A-3094-2013</t>
  </si>
  <si>
    <t>10.3390/w12030675</t>
  </si>
  <si>
    <t>WOS:000529249500060</t>
  </si>
  <si>
    <t>Karpowicz, M; Ejsmont-Karabin, J; Kozlowska, J; Feniova, I; Dzialowski, AR</t>
  </si>
  <si>
    <t>Karpowicz, Maciej; Ejsmont-Karabin, Jolanta; Kozlowska, Joanna; Feniova, Irina; Dzialowski, Andrew R.</t>
  </si>
  <si>
    <t>Zooplankton Community Responses to Oxygen Stress</t>
  </si>
  <si>
    <t>10.3390/w12030706</t>
  </si>
  <si>
    <t>WOS:000529249500091</t>
  </si>
  <si>
    <t>Yin, XW; Yin, HY; Wang, JJ; Xu, XY; Ruan, YJ</t>
  </si>
  <si>
    <t>Yin, Xuwang; Yin, Haoyu; Wang, Jiajia; Xu, Xiangyang; Ruan, Yunjie</t>
  </si>
  <si>
    <t>Joint effects of predation risk and food nutrient on sexual and asexual reproductions, and morphological defenses of freshwater rotifer Brachionus calyciflorus</t>
  </si>
  <si>
    <t>10.1007/s10452-019-09724-1</t>
  </si>
  <si>
    <t>WOS:000511625400003</t>
  </si>
  <si>
    <t>Luimstra, VM; Verspagen, JMH; Xu, TS; Schuurmans, JM; Huisman, J</t>
  </si>
  <si>
    <t>Luimstra, Veerle M.; Verspagen, Jolanda M. H.; Xu, Tianshuo; Schuurmans, J. Merijn; Huisman, Jef</t>
  </si>
  <si>
    <t>Changes in water color shift competition between phytoplankton species with contrasting light-harvesting strategies</t>
  </si>
  <si>
    <t>Huisman, Jef/A-1089-2013; Xu, Tianshuo/GWZ-8021-2022</t>
  </si>
  <si>
    <t>e02951</t>
  </si>
  <si>
    <t>10.1002/ecy.2951</t>
  </si>
  <si>
    <t>FEB 2020</t>
  </si>
  <si>
    <t>WOS:000510577700001</t>
  </si>
  <si>
    <t>Makino, W; Machida, RJ; Okitsu, J; Usio, N</t>
  </si>
  <si>
    <t>Makino, Wataru; Machida, Ryuji J.; Okitsu, Jiro; Usio, Nisikawa</t>
  </si>
  <si>
    <t>Underestimated species diversity and hidden habitat preference in Moina (Crustacea, Cladocera) revealed by integrative taxonomy</t>
  </si>
  <si>
    <t>Usio, Nisikawa/G-3778-2010</t>
  </si>
  <si>
    <t>10.1007/s10750-019-04147-3</t>
  </si>
  <si>
    <t>WOS:000512108400014</t>
  </si>
  <si>
    <t>Karnan, C; Jyothibabu, R; Arunpandi, N; Albin, KJ; Parthasarathi, S; Krishnan, SS</t>
  </si>
  <si>
    <t>Karnan, C.; Jyothibabu, R.; Arunpandi, N.; Albin, K. Jose; Parthasarathi, S.; Krishnan, S. Santhi</t>
  </si>
  <si>
    <t>Response of microplankton size structure to summer stratification, freshwater influx and coastal upwelling in the Southeastern Arabian Sea</t>
  </si>
  <si>
    <t>K Jose, Albin/0000-0003-2198-8436; Sobha, Santhi Krishnan/0000-0002-5486-8863</t>
  </si>
  <si>
    <t>JAN 15</t>
  </si>
  <si>
    <t>10.1016/j.csr.2019.104038</t>
  </si>
  <si>
    <t>WOS:000513290600008</t>
  </si>
  <si>
    <t>Arunpandi, N; Jyothibabu, R; Jagadeesan, L; Albin, KJ; Savitha, KMM; Parthasarathi, S</t>
  </si>
  <si>
    <t>Arunpandi, N.; Jyothibabu, R.; Jagadeesan, L.; Albin, K. J.; Savitha, K. M. M.; Parthasarathi, S.</t>
  </si>
  <si>
    <t>Impact of salinity on the grazing rate of a cladocera (Latonopsis australis) in a large tropical estuarine system</t>
  </si>
  <si>
    <t>Loganathan, Jagadeesan/0000-0002-8250-0935; K Jose, Albin/0000-0003-2198-8436</t>
  </si>
  <si>
    <t>JAN 11</t>
  </si>
  <si>
    <t>10.1007/s10661-020-8068-x</t>
  </si>
  <si>
    <t>WOS:000521105000001</t>
  </si>
  <si>
    <t>Liu, X; Ban, SH; Beyrend, D; Dur, G; Kuwae, M; Makino, W; Urabe, J</t>
  </si>
  <si>
    <t>Liu, Xin; Ban, Syuhei; Beyrend, Delphine; Dur, Gael; Kuwae, Michinobu; Makino, Wataru; Urabe, Jotaro</t>
  </si>
  <si>
    <t>Resting eggs of the perennial copepod Eodiaptomus japonicus in Lake Biwa (Japan)</t>
  </si>
  <si>
    <t>Urabe, Jotaro/ABI-7692-2020; Liu, Xin/AAE-9053-2021; Kuwae, Michinobu/AAG-3846-2020</t>
  </si>
  <si>
    <t>Urabe, Jotaro/0000-0001-5111-687X; Liu, Xin/0000-0002-6660-4486; Makino, Wataru/0000-0003-3240-3763; Ban, Syuhei/0000-0002-7168-5583; Kuwae, Michinobu/0000-0002-7747-5421; Beyrend, Delphine/0000-0003-1118-8056</t>
  </si>
  <si>
    <t>10.1080/20442041.2019.1671766</t>
  </si>
  <si>
    <t>JAN 2020</t>
  </si>
  <si>
    <t>WOS:000506604300001</t>
  </si>
  <si>
    <t>Almeida, R; Formigo, NE; Sousa-Pinto, I; Antunes, SC</t>
  </si>
  <si>
    <t>Almeida, Rafaela; Formigo, Nuno E.; Sousa-Pinto, Isabel; Antunes, Sara C.</t>
  </si>
  <si>
    <t>Contribution of zooplankton as a biological element in the assessment of reservoir water quality</t>
  </si>
  <si>
    <t>19th Congress of the Iberian-Association-of-Limnology (AIL)</t>
  </si>
  <si>
    <t>JUN 24-29, 2018</t>
  </si>
  <si>
    <t>Coimbra, PORTUGAL</t>
  </si>
  <si>
    <t>Iberian Assoc Limnol,Marine &amp; Environm Sci Ctr,Univ Coimbra,Associacao Promocao Conhecimento Ecologia Aquqtica</t>
  </si>
  <si>
    <t>Antunes, Sara Cristina FM/0000-0002-6686-9919; Formigo, Nuno/0000-0003-4290-5003; Sousa Pinto, Isabel/0000-0002-9231-0553; Almeida, Rafaela/0000-0002-5228-9091</t>
  </si>
  <si>
    <t>10.23818/limn.39.16</t>
  </si>
  <si>
    <t>WOS:000509685900017</t>
  </si>
  <si>
    <t>Braga, GG; Becker, V</t>
  </si>
  <si>
    <t>Braga, Gustavo G.; Becker, Vanessa</t>
  </si>
  <si>
    <t>Influence of water volume reduction on the phytoplankton dynamics in a semi-arid man-made lake: A comparison of two morphofunctional approaches</t>
  </si>
  <si>
    <t>Becker, Vanessa/G-6189-2015</t>
  </si>
  <si>
    <t>Becker, Vanessa/0000-0002-7326-4328; Girao Braga, Gustavo/0000-0002-3395-4148</t>
  </si>
  <si>
    <t>e20181102</t>
  </si>
  <si>
    <t>10.1590/0001-3765202020181102</t>
  </si>
  <si>
    <t>WOS:000521169600001</t>
  </si>
  <si>
    <t>C</t>
  </si>
  <si>
    <t>Gustomi, A; Akhrianti, I</t>
  </si>
  <si>
    <t>IOP</t>
  </si>
  <si>
    <t>Gustomi, A.; Akhrianti, I</t>
  </si>
  <si>
    <t>The study of natural food composition for tempuring fish (puntius gemellus) in Bangka Island</t>
  </si>
  <si>
    <t>2ND INTERNATIONAL CONFERENCE ON GREEN ENERGY AND ENVIRONMENT (ICOGEE 2020)</t>
  </si>
  <si>
    <t>IOP Conference Series-Earth and Environmental Science</t>
  </si>
  <si>
    <t>2nd International Conference on Green Energy and Environment (ICoGEE)</t>
  </si>
  <si>
    <t>OCT 08, 2020</t>
  </si>
  <si>
    <t>ELECTR NETWORK</t>
  </si>
  <si>
    <t>Univ Bangka Belitung, Fac Engn,Univ Gadjah Mada, Dept Civil &amp; Environm Engn,Univ Indonesia, Dept Civil Engn,Asian Federat Biotechnol</t>
  </si>
  <si>
    <t>Akhrianti, Irma/IAN-3113-2023</t>
  </si>
  <si>
    <t>Akhrianti, Irma/0000-0001-8212-3247</t>
  </si>
  <si>
    <t>1755-1307</t>
  </si>
  <si>
    <t>10.1088/1755-1315/599/1/012052</t>
  </si>
  <si>
    <t>WOS:000657253200052</t>
  </si>
  <si>
    <t>Powers, MJ; Wilson, AE; Heine, KB; Hill, GE</t>
  </si>
  <si>
    <t>Powers, Matthew J.; Wilson, Alan E.; Heine, Kyle B.; Hill, Geoffrey E.</t>
  </si>
  <si>
    <t>The relative importance of various mating criteria in copepods</t>
  </si>
  <si>
    <t>Powers, Matthew/AAN-6721-2020</t>
  </si>
  <si>
    <t>10.1093/plankt/fbz075</t>
  </si>
  <si>
    <t>WOS:000518532300003</t>
  </si>
  <si>
    <t>Stenger-Kovács, C; Lengyel, E; Buczkó, K; Padisák, J; Korponai, J</t>
  </si>
  <si>
    <t>Stenger-Kovacs, Csilla; Lengyel, Edina; Buczko, Krisztina; Padisak, Judit; Korponai, Janos</t>
  </si>
  <si>
    <t>Trait-based diatom functional diversity as an appropriate tool for understanding the effects of environmental changes in soda pans</t>
  </si>
  <si>
    <t>Stenger-Kovács, Csilla/G-5192-2014; Buczkó, Krisztina/AAO-3762-2020; Korponai, Janos/AAD-8657-2020</t>
  </si>
  <si>
    <t>Stenger-Kovács, Csilla/0000-0001-6175-4904; Buczkó, Krisztina/0000-0001-9377-8847; Korponai, Janos/0000-0003-0211-192X</t>
  </si>
  <si>
    <t>10.1002/ece3.5897</t>
  </si>
  <si>
    <t>DEC 2019</t>
  </si>
  <si>
    <t>WOS:000501661800001</t>
  </si>
  <si>
    <t>Kovalenko, KE; Reavie, ED; Bramburger, AJ; Cotter, A; Sierszen, ME</t>
  </si>
  <si>
    <t>Kovalenko, Katya E.; Reavie, Euan D.; Bramburger, Andrew J.; Cotter, Anne; Sierszen, Michael E.</t>
  </si>
  <si>
    <t>Nearshore-offshore trends in Lake Superior phytoplankton</t>
  </si>
  <si>
    <t>JOURNAL OF GREAT LAKES RESEARCH</t>
  </si>
  <si>
    <t>0380-1330</t>
  </si>
  <si>
    <t>10.1016/j.jglr.2019.09.016</t>
  </si>
  <si>
    <t>WOS:000504780900016</t>
  </si>
  <si>
    <t>Rizo, EZ; Xu, SL; Tang, QH; Papa, RDS; Dumont, HJ; Qian, SS; Han, BP</t>
  </si>
  <si>
    <t>Rizo, Eric Zeus; Xu, Shaolin; Tang, Quehui; Papa, Rey Donne S.; Dumont, Henri J.; Qian, Song S.; Han, Bo-Ping</t>
  </si>
  <si>
    <t>A global analysis of cladoceran body size and its variation linking to habitat, distribution and taxonomy</t>
  </si>
  <si>
    <t>ZOOLOGICAL JOURNAL OF THE LINNEAN SOCIETY</t>
  </si>
  <si>
    <t>0024-4082</t>
  </si>
  <si>
    <t>1096-3642</t>
  </si>
  <si>
    <t>10.1093/zoolinnean/zlz053</t>
  </si>
  <si>
    <t>WOS:000501739500006</t>
  </si>
  <si>
    <t>Hrycik, AR; Shambaugh, A; Stockwell, JD</t>
  </si>
  <si>
    <t>Hrycik, Allison R.; Shambaugh, Angela; Stockwell, Jason D.</t>
  </si>
  <si>
    <t>Comparison of FlowCAM and microscope biovolume measurements for a diverse freshwater phytoplankton community</t>
  </si>
  <si>
    <t>Hrycik, Allison/0000-0002-0870-3398</t>
  </si>
  <si>
    <t>10.1093/plankt/fbz056</t>
  </si>
  <si>
    <t>WOS:000508115500004</t>
  </si>
  <si>
    <t>Owens, S; Ignoffo, TR; Frantzich, J; Slaughter, A; Kimmerer, W</t>
  </si>
  <si>
    <t>Owens, Stephanie; Ignoffo, Toni R.; Frantzich, Jared; Slaughter, Anne; Kimmerer, Wim</t>
  </si>
  <si>
    <t>High growth rates of a dominant calanoid copepod in the northern San Francisco Estuary</t>
  </si>
  <si>
    <t>10.1093/plankt/fbz064</t>
  </si>
  <si>
    <t>WOS:000508115500011</t>
  </si>
  <si>
    <t>Stephan, LR; Beisner, BE; Oliveira, SGM; Castilho-Noll, MSM</t>
  </si>
  <si>
    <t>Stephan, Ligia R.; Beisner, Beatrix E.; Oliveira, Samuel G. M.; Castilho-Noll, Maria Stela M.</t>
  </si>
  <si>
    <t>Influence of Eichhornia crassipes (Mart) Solms on a Tropical Microcrustacean Community Based on Taxonomic and Functional Trait Diversity</t>
  </si>
  <si>
    <t>Noll, Maria Stela M Castilho/C-9774-2012; Beisner, Beatrix/ABG-7855-2020</t>
  </si>
  <si>
    <t>Beisner, Beatrix/0000-0001-6972-6887; Castilho Noll, Maria Stela Maioli/0000-0002-1839-0751</t>
  </si>
  <si>
    <t>10.3390/w11112423</t>
  </si>
  <si>
    <t>WOS:000502264500225</t>
  </si>
  <si>
    <t>Hofmann, P; Chatzinotas, A; Harpole, WS; Dunker, S</t>
  </si>
  <si>
    <t>Hofmann, Peter; Chatzinotas, Antonis; Harpole, W. Stanley; Dunker, Susanne</t>
  </si>
  <si>
    <t>Temperature and stoichiometric dependence of phytoplankton traits</t>
  </si>
  <si>
    <t>Chatzinotas, Antonis/D-6232-2013; Harpole, W Stanley/C-2814-2013</t>
  </si>
  <si>
    <t>Chatzinotas, Antonis/0000-0002-0387-9802; Hofmann, Peter/0000-0002-8404-2544; Harpole, W Stanley/0000-0002-3404-9174; Dunker, Susanne/0000-0001-7276-776X</t>
  </si>
  <si>
    <t>10.1002/ecy.2875</t>
  </si>
  <si>
    <t>OCT 2019</t>
  </si>
  <si>
    <t>WOS:000491684700001</t>
  </si>
  <si>
    <t>Ruggeri, P; Pasternak, E; Okamura, B</t>
  </si>
  <si>
    <t>Ruggeri, Paolo; Pasternak, Ellen; Okamura, Beth</t>
  </si>
  <si>
    <t>To remain or leave: Dispersal variation and its genetic consequences in benthic freshwater invertebrates</t>
  </si>
  <si>
    <t>Ruggeri, Paolo/0000-0002-5433-508X; Okamura, Beth/0000-0001-7279-715X</t>
  </si>
  <si>
    <t>10.1002/ece3.5656</t>
  </si>
  <si>
    <t>WOS:000490909500001</t>
  </si>
  <si>
    <t>Allgeier, S; Friedrich, A; Brühl, CA</t>
  </si>
  <si>
    <t>Allgeier, Stefanie; Friedrich, Anna; Bruehl, Carsten A.</t>
  </si>
  <si>
    <t>Mosquito control based on Bacillus thuringiensis israelensis (Bti) interrupts artificial wetland food chains</t>
  </si>
  <si>
    <t>Bruhl, Carsten A/F-3385-2012</t>
  </si>
  <si>
    <t>Bruhl, Carsten A./0000-0003-1332-535X</t>
  </si>
  <si>
    <t>OCT 10</t>
  </si>
  <si>
    <t>10.1016/j.scitotenv.2019.05.358</t>
  </si>
  <si>
    <t>WOS:000479029700106</t>
  </si>
  <si>
    <t>Cartuche, A; Guan, ZY; Ibelings, BW; Venail, P</t>
  </si>
  <si>
    <t>Cartuche, Alonso; Guan, Ziyu; Ibelings, Bastiaan W.; Venail, Patrick</t>
  </si>
  <si>
    <t>Phytoplankton Diversity Relates Negatively with Productivity in Tropical High-Altitude Lakes from Southern Ecuador</t>
  </si>
  <si>
    <t>; Venail, Patrick/D-2968-2018</t>
  </si>
  <si>
    <t>Cartuche, Victor Alonso/0000-0001-5317-6497; Venail, Patrick/0000-0003-1126-280X</t>
  </si>
  <si>
    <t>10.3390/su11195235</t>
  </si>
  <si>
    <t>WOS:000493525500094</t>
  </si>
  <si>
    <t>Shin, HR; Kneitel, JM</t>
  </si>
  <si>
    <t>Shin, Hiroshi R.; Kneitel, Jamie M.</t>
  </si>
  <si>
    <t>Warming interacts with inundation timing to influence the species composition of California vernal pool communities</t>
  </si>
  <si>
    <t>Shin, Hiroshi/0000-0003-1214-2244; Kneitel, Jamie/0000-0002-7841-1198</t>
  </si>
  <si>
    <t>10.1007/s10750-019-04040-z</t>
  </si>
  <si>
    <t>WOS:000492039700007</t>
  </si>
  <si>
    <t>Rossberg, AG; Gaedke, U; Kratina, P</t>
  </si>
  <si>
    <t>Rossberg, Axel G.; Gaedke, Ursula; Kratina, Pavel</t>
  </si>
  <si>
    <t>Dome patterns in pelagic size spectra reveal strong trophic cascades</t>
  </si>
  <si>
    <t>SEP 27</t>
  </si>
  <si>
    <t>10.1038/s41467-019-12289-0</t>
  </si>
  <si>
    <t>WOS:000488232600004</t>
  </si>
  <si>
    <t>Beecraft, L; Watson, SB; Smith, REH</t>
  </si>
  <si>
    <t>Beecraft, Laura; Watson, Susan B.; Smith, Ralph E. H.</t>
  </si>
  <si>
    <t>Innate resistance of PSII efficiency to sunlight stress is not an advantage for cyanobacteria compared to eukaryotic phytoplankton</t>
  </si>
  <si>
    <t>Beecraft, Laura/0000-0001-5668-6687</t>
  </si>
  <si>
    <t>10.1007/s10452-019-09694-4</t>
  </si>
  <si>
    <t>WOS:000479119600004</t>
  </si>
  <si>
    <t>Jeyasingh, PD; Pulkkinen, K</t>
  </si>
  <si>
    <t>Jeyasingh, Punidan D.; Pulkkinen, Katja</t>
  </si>
  <si>
    <t>Does differential iron supply to algae affect Daphnia life history? An ionome-wide study</t>
  </si>
  <si>
    <t>Jeyasingh, Puni/0000-0002-5323-3217</t>
  </si>
  <si>
    <t>10.1007/s00442-019-04482-1</t>
  </si>
  <si>
    <t>WOS:000484956600005</t>
  </si>
  <si>
    <t>Reynolds, A; Giltrap, M; Chambers, G</t>
  </si>
  <si>
    <t>Reynolds, A.; Giltrap, M.; Chambers, G.</t>
  </si>
  <si>
    <t>Evaluation of non-invasive toxicological analysis of nano-polystyrene in relative in vivo conditions to D. magna</t>
  </si>
  <si>
    <t>ENVIRONMENTAL SCIENCE-NANO</t>
  </si>
  <si>
    <t>Chambers, Gordon/0009-0004-5572-8741; Reynolds, Andrew/0000-0002-3771-0431</t>
  </si>
  <si>
    <t>2051-8153</t>
  </si>
  <si>
    <t>2051-8161</t>
  </si>
  <si>
    <t>10.1039/c9en00434c</t>
  </si>
  <si>
    <t>WOS:000486118600010</t>
  </si>
  <si>
    <t>Sodré, ED; Bozelli, RL</t>
  </si>
  <si>
    <t>Sodre, Elder de Oliveira; Bozelli, Reinaldo Luiz</t>
  </si>
  <si>
    <t>How planktonic microcrustaceans respond to environment and affect ecosystem: a functional trait perspective</t>
  </si>
  <si>
    <t>INTERNATIONAL AQUATIC RESEARCH</t>
  </si>
  <si>
    <t>de Oliveira Sodré, Elder/J-5439-2019</t>
  </si>
  <si>
    <t>de Oliveira Sodré, Elder/0000-0001-6741-7191</t>
  </si>
  <si>
    <t>2008-4935</t>
  </si>
  <si>
    <t>2008-6970</t>
  </si>
  <si>
    <t>10.1007/s40071-019-0233-x</t>
  </si>
  <si>
    <t>WOS:000487058400001</t>
  </si>
  <si>
    <t>Zaoli, S; Giometto, A; Marañón, E; Escrig, S; Meibom, A; Ahluwalia, A; Stocker, R; Maritan, A; Rinaldo, A</t>
  </si>
  <si>
    <t>Zaoli, Silvia; Giometto, Andrea; Maranon, Emilio; Escrig, Stephane; Meibom, Anders; Ahluwalia, Arti; Stocker, Roman; Maritan, Amos; Rinaldo, Andrea</t>
  </si>
  <si>
    <t>Generalized size scaling of metabolic rates based on single-cell measurements with freshwater phytoplankton</t>
  </si>
  <si>
    <t>PROCEEDINGS OF THE NATIONAL ACADEMY OF SCIENCES OF THE UNITED STATES OF AMERICA</t>
  </si>
  <si>
    <t>0027-8424</t>
  </si>
  <si>
    <t>AUG 27</t>
  </si>
  <si>
    <t>10.1073/pnas.1906762116</t>
  </si>
  <si>
    <t>WOS:000483396800032</t>
  </si>
  <si>
    <t>Adamczuk, M; Mieczan, T</t>
  </si>
  <si>
    <t>Adamczuk, Malgorzata; Mieczan, Tomasz</t>
  </si>
  <si>
    <t>Within-species phenotypic diversity enhances resistance to stress - A case study using the polymorphic species Bosmina longirostris</t>
  </si>
  <si>
    <t>Adamczuk, Malgorzata/0000-0003-3599-2006; Mieczan, Tomasz/0000-0003-2839-1798</t>
  </si>
  <si>
    <t>10.1002/iroh.201901985</t>
  </si>
  <si>
    <t>AUG 2019</t>
  </si>
  <si>
    <t>WOS:000481942000001</t>
  </si>
  <si>
    <t>Barrow, JL; Beisner, BE; Giles, R; Giani, A; Domaizon, I; Gregory-Eaves, I</t>
  </si>
  <si>
    <t>Barrow, Jennifer L.; Beisner, Beatrix E.; Giles, Rachel; Giani, Alessandra; Domaizon, Isabelle; Gregory-Eaves, Irene</t>
  </si>
  <si>
    <t>Macrophytes moderate the taxonomic and functional composition of phytoplankton assemblages during a nutrient loading experiment</t>
  </si>
  <si>
    <t>10.1111/fwb.13311</t>
  </si>
  <si>
    <t>WOS:000474661800002</t>
  </si>
  <si>
    <t>Betini, GS; Avgar, T; McCann, KS; Fryxell, JM</t>
  </si>
  <si>
    <t>Betini, Gustavo S.; Avgar, Tal; McCann, Kevin S.; Fryxell, John M.</t>
  </si>
  <si>
    <t>Temperature triggers a non-linear response in resource-consumer interaction strength</t>
  </si>
  <si>
    <t>e02787</t>
  </si>
  <si>
    <t>10.1002/ecs2.2787</t>
  </si>
  <si>
    <t>WOS:000483832300005</t>
  </si>
  <si>
    <t>Colomer, J; Müller, MF; Barcelona, A; Serra, T</t>
  </si>
  <si>
    <t>Colomer, Jordi; Muller, Mara F.; Barcelona, Aina; Serra, Teresa</t>
  </si>
  <si>
    <t>Mediated food and hydrodynamics on the ingestion of microplastics by Daphnia magna</t>
  </si>
  <si>
    <t>Müller, Mara F./HHZ-4279-2022; Colomer, Jordi/Y-5386-2018; Serra, Teresa/L-9279-2014</t>
  </si>
  <si>
    <t>Müller, Mara F./0000-0001-6547-1004; Colomer, Jordi/0000-0002-9330-0269; Serra, Teresa/0000-0002-6075-5849; Barcelona, Aina/0000-0001-7847-3447</t>
  </si>
  <si>
    <t>10.1016/j.envpol.2019.05.034</t>
  </si>
  <si>
    <t>WOS:000474329700048</t>
  </si>
  <si>
    <t>Darki, BZ; Krakhmalnyi, AF</t>
  </si>
  <si>
    <t>Darki, Behrouz Zarei; Krakhmalnyi, Alexandr F.</t>
  </si>
  <si>
    <t>Biotic and Abiotic Factors Affecting the Population Dynamics of Ceratium hirundinella, Peridinium cinctum, and Peridiniopsis elpatiewskyi</t>
  </si>
  <si>
    <t>Krakhmalnyi, Aleksandr/AAD-7984-2020</t>
  </si>
  <si>
    <t>Krakhmalnyi, Aleksandr/0000-0003-2068-8669; Zarei Darki, Behrouz/0000-0003-4308-8367</t>
  </si>
  <si>
    <t>10.3390/d11080137</t>
  </si>
  <si>
    <t>WOS:000482961700004</t>
  </si>
  <si>
    <t>Tseng, M; Bernhardt, JR; Chila, AE</t>
  </si>
  <si>
    <t>Tseng, M.; Bernhardt, Joey R.; Chila, Alexander E.</t>
  </si>
  <si>
    <t>Species interactions mediate thermal evolution</t>
  </si>
  <si>
    <t>EVOLUTIONARY APPLICATIONS</t>
  </si>
  <si>
    <t>Bernhardt, Joey/ABG-5168-2021</t>
  </si>
  <si>
    <t>Bernhardt, Joey/0000-0003-1824-2801</t>
  </si>
  <si>
    <t>1752-4571</t>
  </si>
  <si>
    <t>10.1111/eva.12805</t>
  </si>
  <si>
    <t>WOS:000480580300017</t>
  </si>
  <si>
    <t>Seefeldt, L; Ebert, D</t>
  </si>
  <si>
    <t>Seefeldt, Leonie; Ebert, Dieter</t>
  </si>
  <si>
    <t>Temperature-versus precipitation-limitation shape local temperature tolerance in a Holarctic freshwater crustacean</t>
  </si>
  <si>
    <t>Ebert, Dieter/B-5502-2009</t>
  </si>
  <si>
    <t>Ebert, Dieter/0000-0003-2653-3772</t>
  </si>
  <si>
    <t>JUL 24</t>
  </si>
  <si>
    <t>10.1098/rspb.2019.0929</t>
  </si>
  <si>
    <t>WOS:000477953500014</t>
  </si>
  <si>
    <t>Heinrich, K; Leslie, DJ; Morlock, M; Bertilsson, S; Jonas, K</t>
  </si>
  <si>
    <t>Heinrich, Kristina; Leslie, David J.; Morlock, Michaela; Bertilsson, Stefan; Jonas, Kristina</t>
  </si>
  <si>
    <t>Molecular Basis and Ecological Relevance of Caulobacter Cell Filamentation in Freshwater Habitats</t>
  </si>
  <si>
    <t>MBIO</t>
  </si>
  <si>
    <t>2150-7511</t>
  </si>
  <si>
    <t>JUL-AUG</t>
  </si>
  <si>
    <t>e01557-19</t>
  </si>
  <si>
    <t>10.1128/mBio.01557-19</t>
  </si>
  <si>
    <t>WOS:000493912200004</t>
  </si>
  <si>
    <t>Karpowicz, M; Feniova, I; Gladyshev, MI; Ejsmont-Karabin, J; Górniak, A; Zielinski, P; Dawidowicz, P; Kolmakova, AA; Dzialowski, AR</t>
  </si>
  <si>
    <t>Karpowicz, Maciej; Feniova, Irina; Gladyshev, Michail, I; Ejsmont-Karabin, Jolanta; Gorniak, Andrzej; Zielinski, Piotr; Dawidowicz, Piotr; Kolmakova, Anzhelika A.; Dzialowski, Andrew R.</t>
  </si>
  <si>
    <t>The stoichiometric ratios (C:N:P) in a pelagic food web under experimental conditions</t>
  </si>
  <si>
    <t>10.1016/j.limno.2019.125690</t>
  </si>
  <si>
    <t>WOS:000485794700009</t>
  </si>
  <si>
    <t>Garzke, J; Connor, SJ; Sommer, U; O'Connor, MI</t>
  </si>
  <si>
    <t>Garzke, Jessica; Connor, Stephanie J.; Sommer, Ulrich; O'Connor, Mary, I</t>
  </si>
  <si>
    <t>Trophic interactions modify the temperature dependence of community biomass and ecosystem function</t>
  </si>
  <si>
    <t>PLOS BIOLOGY</t>
  </si>
  <si>
    <t>O'Connor, Mary I/F-2275-2010</t>
  </si>
  <si>
    <t>O'Connor, Mary I/0000-0001-9583-1592</t>
  </si>
  <si>
    <t>1544-9173</t>
  </si>
  <si>
    <t>1545-7885</t>
  </si>
  <si>
    <t>e2006806</t>
  </si>
  <si>
    <t>10.1371/journal.pbio.2006806</t>
  </si>
  <si>
    <t>WOS:000473675900006</t>
  </si>
  <si>
    <t>Jordan, MP; Stewart, AR; Eagles-Smith, CA; Strecker, AL</t>
  </si>
  <si>
    <t>Jordan, Meredith P.; Stewart, A. Robin; Eagles-Smith, Collin A.; Strecker, Angela L.</t>
  </si>
  <si>
    <t>Nutrients mediate the effects of temperature on methylmercury concentrations in freshwater zooplankton</t>
  </si>
  <si>
    <t>Strecker, Angela/0000-0001-9387-1654; Eagles-Smith, Collin/0000-0003-1329-5285; Stewart, Robin/0000-0003-2918-546X</t>
  </si>
  <si>
    <t>JUN 1</t>
  </si>
  <si>
    <t>10.1016/j.scitotenv.2019.02.259</t>
  </si>
  <si>
    <t>WOS:000461676600063</t>
  </si>
  <si>
    <t>Qu, YM; Wu, NC; Guse, B; Makareviciute, K; Sun, XM; Fohrer, N</t>
  </si>
  <si>
    <t>Qu, Yueming; Wu, Naicheng; Guse, Bjoern; Makareviciute, Kriste; Sun, Xiuming; Fohrer, Nicola</t>
  </si>
  <si>
    <t>Riverine phytoplankton functional groups response to multiple stressors variously depending on hydrological periods</t>
  </si>
  <si>
    <t>; Fohrer, Dr., Nicola/C-6313-2011</t>
  </si>
  <si>
    <t>Wu, Naicheng/0000-0002-5652-3631; Qu, Yueming/0000-0002-3742-8233; Fohrer, Dr., Nicola/0000-0002-7456-6301</t>
  </si>
  <si>
    <t>10.1016/j.ecolind.2018.12.049</t>
  </si>
  <si>
    <t>WOS:000470963300005</t>
  </si>
  <si>
    <t>Giesecke, R; Höfer, J; Vallejos, T; González, HE</t>
  </si>
  <si>
    <t>Giesecke, R.; Hofer, J.; Vallejos, T.; Gonzalez, H. E.</t>
  </si>
  <si>
    <t>Death in southern Patagonian fjords: Copepod community structure and mortality in land- and marine-terminating glacier-fjord systems</t>
  </si>
  <si>
    <t>González, Humberto E./A-4039-2008</t>
  </si>
  <si>
    <t>Giesecke, Ricardo/0000-0002-8805-6089; Hofer, Juan/0000-0002-5887-4929</t>
  </si>
  <si>
    <t>MAY-JUN</t>
  </si>
  <si>
    <t>10.1016/j.pocean.2018.10.011</t>
  </si>
  <si>
    <t>WOS:000471364200016</t>
  </si>
  <si>
    <t>Morse, JC; Frandsen, PB; Graf, W; Thomas, JA</t>
  </si>
  <si>
    <t>Morse, John C.; Frandsen, Paul B.; Graf, Wolfram; Thomas, Jessica A.</t>
  </si>
  <si>
    <t>Diversity and Ecosystem Services of Trichoptera</t>
  </si>
  <si>
    <t>INSECTS</t>
  </si>
  <si>
    <t>Thomas, Jessica A/B-1153-2010; Morse, John C./E-2852-2010</t>
  </si>
  <si>
    <t>2075-4450</t>
  </si>
  <si>
    <t>10.3390/insects10050125</t>
  </si>
  <si>
    <t>WOS:000476846800007</t>
  </si>
  <si>
    <t>Schälicke, S; Sobisch, LY; Martin-Creuzburg, D; Wacker, A</t>
  </si>
  <si>
    <t>Schaelicke, Svenja; Sobisch, Lydia-Yasmin; Martin-Creuzburg, Dominik; Wacker, Alexander</t>
  </si>
  <si>
    <t>Food quantity-quality co-limitation: Interactive effects of dietary carbon and essential lipid supply on population growth of a freshwater rotifer</t>
  </si>
  <si>
    <t>Wacker, Alexander/I-8277-2012; Martin-Creuzburg, Dominik/C-6361-2011</t>
  </si>
  <si>
    <t>10.1111/fwb.13272</t>
  </si>
  <si>
    <t>WOS:000466805700007</t>
  </si>
  <si>
    <t>Adolf, JE; Burns, J; Walker, JK; Gamiao, S</t>
  </si>
  <si>
    <t>Adolf, Jason E.; Burns, John; Walker, Judy K.; Gamiao, Sydney</t>
  </si>
  <si>
    <t>Near shore distributions of phytoplankton and bacteria in relation to submarine groundwater discharge-fed fishponds, Kona coast, Hawai'i, USA</t>
  </si>
  <si>
    <t>APR 5</t>
  </si>
  <si>
    <t>10.1016/j.ecss.2019.01.021</t>
  </si>
  <si>
    <t>WOS:000462100000033</t>
  </si>
  <si>
    <t>Cuevas, LA; Tapia, FJ; Iriarte, JL; González, HE; Silva, N; Vargas, CA</t>
  </si>
  <si>
    <t>Antonio Cuevas, L.; Tapia, Fabian J.; Luis Iriarte, Jose; Gonzalez, Humberto E.; Silva, Nelson; Vargas, Cristian A.</t>
  </si>
  <si>
    <t>Interplay between freshwater discharge and oceanic waters modulates phytoplankton size-structure in fjords and channel systems of the Chilean Patagonia</t>
  </si>
  <si>
    <t>10.1016/j.pocean.2019.02.012</t>
  </si>
  <si>
    <t>WOS:000471739000009</t>
  </si>
  <si>
    <t>Fletcher, CM; Collins, SF; Nannini, MA; Wahl, DH</t>
  </si>
  <si>
    <t>Fletcher, Cameron M.; Collins, Scott F.; Nannini, Michael A.; Wahl, David H.</t>
  </si>
  <si>
    <t>Competition during early ontogeny: Effects of native and invasive planktivores on the growth, survival, and habitat use of bluegill</t>
  </si>
  <si>
    <t>Collins, Scott/0000-0002-9405-1495</t>
  </si>
  <si>
    <t>10.1111/fwb.13255</t>
  </si>
  <si>
    <t>WOS:000461212700007</t>
  </si>
  <si>
    <t>Wirth, C; Limberger, R; Weisse, T</t>
  </si>
  <si>
    <t>Wirth, Christina; Limberger, Romana; Weisse, Thomas</t>
  </si>
  <si>
    <t>Temperature x light interaction and tolerance of high water temperature in the planktonic freshwater flagellates Cryptomonas (Cryptophyceae) and Dinobryon (Chrysophyceae)</t>
  </si>
  <si>
    <t>Weisse, Thomas/0000-0001-6103-6558; Limberger, Romana/0000-0002-9421-7520</t>
  </si>
  <si>
    <t>10.1111/jpy.12826</t>
  </si>
  <si>
    <t>WOS:000465097000013</t>
  </si>
  <si>
    <t>Costa, MRA; Menezes, RF; Sarmento, H; Attayde, JL; Sternberg, LDL; Becker, V</t>
  </si>
  <si>
    <t>Costa, Mariana R. A.; Menezes, Rosemberg F.; Sarmento, Hugo; Attayde, Jose L.; Sternberg, Leonel da S. L.; Becker, Vanessa</t>
  </si>
  <si>
    <t>Extreme drought favors potential mixotrophic organisms in tropical semi-arid reservoirs</t>
  </si>
  <si>
    <t>Menezes, Rosemberg Fernandes/V-1695-2017; Becker, Vanessa/G-6189-2015; Sarmento, Hugo/W-3805-2019; Attayde, José L/C-4009-2015; Sarmento, Hugo/A-7655-2008</t>
  </si>
  <si>
    <t>Menezes, Rosemberg Fernandes/0000-0001-9949-8221; Becker, Vanessa/0000-0002-7326-4328; Sarmento, Hugo/0000-0001-5220-7992; Sarmento, Hugo/0000-0001-5220-7992; Attayde, Jose/0000-0002-8372-4172</t>
  </si>
  <si>
    <t>10.1007/s10750-018-3583-2</t>
  </si>
  <si>
    <t>WOS:000458372800005</t>
  </si>
  <si>
    <t>Grebner, W; Berglund, EC; Berggren, F; Eklund, J; Haroadóttir, S; Andersson, MX; Selander, E</t>
  </si>
  <si>
    <t>Grebner, Wiebke; Berglund, E. Carina; Berggren, Fredrik; Eklund, Johan; Haroadottir, Sara; Andersson, Mats X.; Selander, Erik</t>
  </si>
  <si>
    <t>Induction of defensive traits in marine plankton-new copepodamide structures</t>
  </si>
  <si>
    <t>Hardardottir, Sara/N-8000-2019; Andersson, Mats/E-7958-2010</t>
  </si>
  <si>
    <t>Hardardottir, Sara/0000-0001-6213-6657; Andersson, Mats/0000-0003-4279-6572; Selander, Erik/0000-0002-2579-0841</t>
  </si>
  <si>
    <t>10.1002/lno.11077</t>
  </si>
  <si>
    <t>WOS:000461865500027</t>
  </si>
  <si>
    <t>Josué, IIP; Cardoso, SJ; Miranda, M; Mucci, M; Ger, KA; Roland, F; Marinho, MM</t>
  </si>
  <si>
    <t>Josue, Iollanda I. P.; Cardoso, Simone J.; Miranda, Marcela; Mucci, Maira; Ger, Kemal Ali; Roland, Fabio; Marinho, Marcelo Manzi</t>
  </si>
  <si>
    <t>Cyanobacteria dominance drives zooplankton functional dispersion</t>
  </si>
  <si>
    <t>10.1007/s10750-018-3710-0</t>
  </si>
  <si>
    <t>WOS:000458372800013</t>
  </si>
  <si>
    <t>Weithoff, G; Beisner, BE</t>
  </si>
  <si>
    <t>Weithoff, Guntram; Beisner, Beatrix E.</t>
  </si>
  <si>
    <t>Measures and Approaches in Trait-Based Phytoplankton Community Ecology - From Freshwater to Marine Ecosystems</t>
  </si>
  <si>
    <t>Beisner, Beatrix/ABG-7855-2020</t>
  </si>
  <si>
    <t>Beisner, Beatrix/0000-0001-6972-6887</t>
  </si>
  <si>
    <t>FEB 12</t>
  </si>
  <si>
    <t>10.3389/fmars.2019.00040</t>
  </si>
  <si>
    <t>WOS:000462667000002</t>
  </si>
  <si>
    <t>Raveh, S; Langen, K; Bakker, TCM; Josephs, C; Frommen, JG</t>
  </si>
  <si>
    <t>Raveh, Shirley; Langen, Kathrin; Bakker, Theo C. M.; Josephs, Christian; Frommen, Joachim G.</t>
  </si>
  <si>
    <t>Oddity, predation risk and social decisions in aquatic invertebrates</t>
  </si>
  <si>
    <t>ETHOLOGY</t>
  </si>
  <si>
    <t>0179-1613</t>
  </si>
  <si>
    <t>1439-0310</t>
  </si>
  <si>
    <t>10.1111/eth.12835</t>
  </si>
  <si>
    <t>WOS:000455963400005</t>
  </si>
  <si>
    <t>Wilkinson, AA; Hondzo, M; Guala, M</t>
  </si>
  <si>
    <t>Wilkinson, A. A.; Hondzo, M.; Guala, M.</t>
  </si>
  <si>
    <t>Investigating Abiotic Drivers for Vertical and Temporal Heterogeneities of Cyanobacteria Concentrations in Lakes Using a Seasonal In Situ Monitoring Station</t>
  </si>
  <si>
    <t>WATER RESOURCES RESEARCH</t>
  </si>
  <si>
    <t>Wilkinson, Anne/0000-0002-6791-5825; guala, michele/0000-0002-9788-8119</t>
  </si>
  <si>
    <t>0043-1397</t>
  </si>
  <si>
    <t>1944-7973</t>
  </si>
  <si>
    <t>10.1029/2018WR024228</t>
  </si>
  <si>
    <t>WOS:000461858900006</t>
  </si>
  <si>
    <t>Beaver, JR; Arp, CD; Tausz, CE; Jones, BM; Whitman, MS; Renicker, TR; Samples, EE; Ordosch, DM; Scotese, KC</t>
  </si>
  <si>
    <t>Beaver, John R.; Arp, Christopher D.; Tausz, Claudia E.; Jones, Benjamin M.; Whitman, Matthew S.; Renicker, Thomas R.; Samples, Erin E.; Ordosch, David M.; Scotese, Kyle C.</t>
  </si>
  <si>
    <t>Potential shifts in zooplankton community structure in response to changing ice regimes and hydrologic connectivity</t>
  </si>
  <si>
    <t>ARCTIC ANTARCTIC AND ALPINE RESEARCH</t>
  </si>
  <si>
    <t>1523-0430</t>
  </si>
  <si>
    <t>1938-4246</t>
  </si>
  <si>
    <t>10.1080/15230430.2019.1643210</t>
  </si>
  <si>
    <t>WOS:000486105800024</t>
  </si>
  <si>
    <t>B</t>
  </si>
  <si>
    <t>Harper, DM; Pacini, N</t>
  </si>
  <si>
    <t>Hughes, JMR</t>
  </si>
  <si>
    <t>Harper, David M.; Pacini, Nic</t>
  </si>
  <si>
    <t>Freshwater Populations, Interactions, and Networks</t>
  </si>
  <si>
    <t>FRESHWATER ECOLOGY AND CONSERVATION: APPROACHES AND TECHNIQUES</t>
  </si>
  <si>
    <t>Techniques in Ecology and Conservation Series</t>
  </si>
  <si>
    <t>Pacini, Nic/A-4878-2019; Harper, David M/A-1765-2011</t>
  </si>
  <si>
    <t>Pacini, Nic/0000-0002-9717-0449;</t>
  </si>
  <si>
    <t>978-0-19-876642-1; 978-0-19-107912-2; 978-0-19-876638-4</t>
  </si>
  <si>
    <t>10.1093/oso/9780198766384.003.0012</t>
  </si>
  <si>
    <t>10.1093/oso/9780198766384.001.0001</t>
  </si>
  <si>
    <t>WOS:000482748800013</t>
  </si>
  <si>
    <t>Lyu, K; Gu, L; Wang, H; Zhu, XX; Zhang, L; Sun, YF; Huang, Y; Yang, Z</t>
  </si>
  <si>
    <t>Lyu, Kai; Gu, Lei; Wang, Hui; Zhu, Xuexia; Zhang, Lu; Sun, Yunfei; Huang, Yuan; Yang, Zhou</t>
  </si>
  <si>
    <t>Transcriptomic analysis dissects the mechanistic insight into the Daphnia clonal variation in tolerance to toxic Microcystis</t>
  </si>
  <si>
    <t>10.1002/lno.11038</t>
  </si>
  <si>
    <t>WOS:000456720900019</t>
  </si>
  <si>
    <t>Mironova, E; Gopko, M; Pasternak, A; Mikheev, V; Taskinen, J</t>
  </si>
  <si>
    <t>Mironova, Ekaterina; Gopko, Mikhail; Pasternak, Anna; Mikheev, Viktor; Taskinen, Jouni</t>
  </si>
  <si>
    <t>Trematode cercariae as prey for zooplankton: effect on fitness traits of predators</t>
  </si>
  <si>
    <t>PARASITOLOGY</t>
  </si>
  <si>
    <t>Gopko, Mikhail/J-3372-2019; Mironova, Ekaterina/AAC-3252-2022; Taskinen, Jouni/AAK-5979-2020</t>
  </si>
  <si>
    <t>Gopko, Mikhail/0000-0002-1525-6557; Mironova, Ekaterina/0000-0002-9557-6031; Taskinen, Jouni/0000-0003-0098-9560</t>
  </si>
  <si>
    <t>0031-1820</t>
  </si>
  <si>
    <t>1469-8161</t>
  </si>
  <si>
    <t>10.1017/S0031182018000963</t>
  </si>
  <si>
    <t>WOS:000455203800009</t>
  </si>
  <si>
    <t>Paseka, RE; Grunberg, RL</t>
  </si>
  <si>
    <t>Paseka, Rachel E.; Grunberg, Rita L.</t>
  </si>
  <si>
    <t>Allometric and trait-based patterns in parasite stoichiometry</t>
  </si>
  <si>
    <t>Grunberg, Rita/T-7804-2019</t>
  </si>
  <si>
    <t>Grunberg, Rita/0000-0001-9926-4978; Paseka, Rachel/0000-0003-3656-9496</t>
  </si>
  <si>
    <t>10.1111/oik.05339</t>
  </si>
  <si>
    <t>WOS:000454822500010</t>
  </si>
  <si>
    <t>Sahuquillo, M; Miracle, MR</t>
  </si>
  <si>
    <t>Sahuquillo, Maria; Rosa Miracle, Maria</t>
  </si>
  <si>
    <t>Rotifer communities in Mediterranean ponds in eastern Iberian Peninsula: abiotic and biotic factors defining pond types</t>
  </si>
  <si>
    <t>10.23818/limn.38.14</t>
  </si>
  <si>
    <t>WOS:000457181700007</t>
  </si>
  <si>
    <t>Therry, L; Cote, J; Cucherousset, J; Finn, F; Buoro, Y; Blanchet, S</t>
  </si>
  <si>
    <t>Therry, Lieven; Cote, Julien; Cucherousset, Julien; Finn, Fia; Buoro, Yoann; Blanchet, Simon</t>
  </si>
  <si>
    <t>Genetic and environmental contributions to the impact of a range-expanding predator on aquatic ecosystems</t>
  </si>
  <si>
    <t>JOURNAL OF ANIMAL ECOLOGY</t>
  </si>
  <si>
    <t>Blanchet, Simon/AAA-5871-2019; Cote, Julien/B-7809-2011</t>
  </si>
  <si>
    <t>Blanchet, Simon/0000-0002-3843-589X; Cote, Julien/0000-0002-4453-5969</t>
  </si>
  <si>
    <t>0021-8790</t>
  </si>
  <si>
    <t>1365-2656</t>
  </si>
  <si>
    <t>10.1111/1365-2656.12938</t>
  </si>
  <si>
    <t>WOS:000456690800005</t>
  </si>
  <si>
    <t>Weinbauer, MG; Suominen, S; Jezbera, J; Kerros, ME; Marro, S; Dolan, JR; Simek, K</t>
  </si>
  <si>
    <t>Weinbauer, Markus G.; Suominen, Saara; Jezbera, Jan; Kerros, Marie-Emanuelle; Marro, Sophie; Dolan, John R.; Simek, Karel</t>
  </si>
  <si>
    <t>Shifts in cell size and community composition of bacterioplankton due to grazing by heterotrophic flagellates: evidence from a marine system</t>
  </si>
  <si>
    <t>AQUATIC MICROBIAL ECOLOGY</t>
  </si>
  <si>
    <t>Jezbera, Jan/B-5657-2015; Dolan, John R/A-4513-2009; Simek, Karel/F-8930-2014; Šimek, Karel/AAB-1956-2021; Dolan, John/GON-7388-2022</t>
  </si>
  <si>
    <t>Šimek, Karel/0000-0002-7058-9063; Dolan, John/0000-0002-9454-1355</t>
  </si>
  <si>
    <t>0948-3055</t>
  </si>
  <si>
    <t>1616-1564</t>
  </si>
  <si>
    <t>10.3354/ame01919</t>
  </si>
  <si>
    <t>WOS:000522814600008</t>
  </si>
  <si>
    <t>Boel, M; Brodersen, J; Koed, A; Baktoft, H; Post, DM</t>
  </si>
  <si>
    <t>Boel, Mikkel; Brodersen, Jakob; Koed, Anders; Baktoft, Henrik; Post, David M.</t>
  </si>
  <si>
    <t>Incidence and phenotypic variation in alewife alter the ontogenetic trajectory of young-of-the-year largemouth bass</t>
  </si>
  <si>
    <t>Post, David M/0000-0003-1434-7729; Baktoft, Henrik/0000-0002-3644-4960; Koed, Anders/0000-0002-2163-0955</t>
  </si>
  <si>
    <t>10.1111/oik.05556</t>
  </si>
  <si>
    <t>WOS:000451851200009</t>
  </si>
  <si>
    <t>Mandal, S; Wilkins, RA; Shurin, JB</t>
  </si>
  <si>
    <t>Mandal, Shovon; Wilkins, Rachel Abbott; Shurin, Jonathan B.</t>
  </si>
  <si>
    <t>Compensatory grazing by Daphnia generates a trade-off between top-down and bottom-up effects across phytoplankton taxa</t>
  </si>
  <si>
    <t>MANDAL, SHOVON/0000-0002-8511-7763</t>
  </si>
  <si>
    <t>e02537</t>
  </si>
  <si>
    <t>10.1002/ecs2.2537</t>
  </si>
  <si>
    <t>WOS:000454308600014</t>
  </si>
  <si>
    <t>Shuryak, I</t>
  </si>
  <si>
    <t>Shuryak, Igor</t>
  </si>
  <si>
    <t>Modeling species richness and abundance of phytoplankton and zooplankton in radioactively contaminated water bodies</t>
  </si>
  <si>
    <t>JOURNAL OF ENVIRONMENTAL RADIOACTIVITY</t>
  </si>
  <si>
    <t>0265-931X</t>
  </si>
  <si>
    <t>1879-1700</t>
  </si>
  <si>
    <t>10.1016/j.jenvrad.2018.05.016</t>
  </si>
  <si>
    <t>WOS:000446289100003</t>
  </si>
  <si>
    <t>Dao, TS; Vo, TMC; Wiegand, C; Bui, BT; Dinh, KV</t>
  </si>
  <si>
    <t>Thanh-Son Dao; Thi-My-Chi Vo; Wiegand, Claudia; Bui, Ba-Trung; Dinh, Khuong, V</t>
  </si>
  <si>
    <t>Transgenerational effects of cyanobacterial toxins on a tropical micro-crustacean Daphnia lumholtzi across three generations</t>
  </si>
  <si>
    <t>Khuong, Dinh/K-4017-2013</t>
  </si>
  <si>
    <t>Khuong, Dinh/0000-0003-0766-9148; Bui, Trung/0000-0002-4234-3912</t>
  </si>
  <si>
    <t>10.1016/j.envpol.2018.09.055</t>
  </si>
  <si>
    <t>WOS:000449892700001</t>
  </si>
  <si>
    <t>Boonmak, P; Liu, X; Ban, S; Sanoamuang, L</t>
  </si>
  <si>
    <t>Boonmak, Phuttaphannee; Liu, Xin; Ban, Syuhei; Sanoamuang, La-Orsri</t>
  </si>
  <si>
    <t>Effects of different algal diets and carbon supplies on larval development, growth and survival in the freshwater copepod Mongolodiaptomurs aaindosinensis (Copepoda: Calanoida)</t>
  </si>
  <si>
    <t>Boonmak, Phuttaphannee/GOK-0718-2022; Liu, Xin/AAE-9053-2021</t>
  </si>
  <si>
    <t>Boonmak, Phuttaphannee/0000-0003-4827-5532; Liu, Xin/0000-0002-6660-4486; Ban, Syuhei/0000-0002-7168-5583</t>
  </si>
  <si>
    <t>10.3800/pbr.13.163</t>
  </si>
  <si>
    <t>WOS:000452935300003</t>
  </si>
  <si>
    <t>Sun, XM; Wu, NC; Faber, C; Fohrer, N</t>
  </si>
  <si>
    <t>Sun, Xiuming; Wu, Naicheng; Faber, Claas; Fohrer, Nicola</t>
  </si>
  <si>
    <t>Effects of hydrological variables on structuring morphological trait (cell size) of diatom community in a lowland river</t>
  </si>
  <si>
    <t>Fohrer, Dr., Nicola/C-6313-2011</t>
  </si>
  <si>
    <t>10.1016/j.ecolind.2018.06.044</t>
  </si>
  <si>
    <t>WOS:000452692500020</t>
  </si>
  <si>
    <t>Iriarte, JL; Cuevas, LA; Cornejo, F; Silva, N; González, HE; Castro, L; Montero, P; Vargas, CA; Daneri, G</t>
  </si>
  <si>
    <t>Luis Iriarte, Jose; Antonio Cuevas, Luis; Cornejo, Fernanda; Silva, Nelson; Gonzalez, Humberto E.; Castro, Leonardo; Montero, Paulina; Vargas, Cristian A.; Daneri, Giovanni</t>
  </si>
  <si>
    <t>Low spring primary production and microplankton carbon biomass in Sub-Antarctic Patagonian channels and fjords (50-53°S)</t>
  </si>
  <si>
    <t>Vargas, Cristian A./0000-0002-1486-3611</t>
  </si>
  <si>
    <t>e1525186</t>
  </si>
  <si>
    <t>10.1080/15230430.2018.1525186</t>
  </si>
  <si>
    <t>WOS:000448920100001</t>
  </si>
  <si>
    <t>Talaber, I; Francé, J; Flander-Putrle, V; Mozetic, P</t>
  </si>
  <si>
    <t>Talaber, Iva; France, Janja; Flander-Putrle, Vesna; Mozetic, Patricija</t>
  </si>
  <si>
    <t>Primary production and community structure of coastal phytoplankton in the Adriatic Sea: insights on taxon-specific productivity</t>
  </si>
  <si>
    <t>MARINE ECOLOGY PROGRESS SERIES</t>
  </si>
  <si>
    <t>0171-8630</t>
  </si>
  <si>
    <t>1616-1599</t>
  </si>
  <si>
    <t>OCT 4</t>
  </si>
  <si>
    <t>10.3354/meps12721</t>
  </si>
  <si>
    <t>WOS:000446470100005</t>
  </si>
  <si>
    <t>Mehrshad, M; Salcher, MM; Okazaki, Y; Nakano, S; Simek, K; Andrei, AS; Ghai, R</t>
  </si>
  <si>
    <t>Mehrshad, Maliheh; Salcher, Michaela M.; Okazaki, Yusuke; Nakano, Shin-ichi; Simek, Karel; Andrei, Adrian-Stefan; Ghai, Rohit</t>
  </si>
  <si>
    <t>Hidden in plain sight-highly abundant and diverse planktonic freshwater Chloroflexi</t>
  </si>
  <si>
    <t>MICROBIOME</t>
  </si>
  <si>
    <t>2049-2618</t>
  </si>
  <si>
    <t>10.1186/s40168-018-0563-8</t>
  </si>
  <si>
    <t>WOS:000446308400001</t>
  </si>
  <si>
    <t>Gattás, F; De Stefano, LG; Vinocur, A; Bordet, F; Espinosa, MS; Pizarro, H; Cataldo, D</t>
  </si>
  <si>
    <t>Gattas, Florencia; Gabriela De Stefano, Lucia; Vinocur, Alicia; Bordet, Facundo; Soledad Espinosa, Mariela; Pizarro, Haydee; Cataldo, Daniel</t>
  </si>
  <si>
    <t>Impact of interaction between Limnoperna fortunei and Roundup Max® on freshwater phytoplankton: An in situ approach in Salto Grande reservoir (Argentina)</t>
  </si>
  <si>
    <t>CATALDO, DANIEL/0000-0002-3643-0809; Bordet, Facundo/0000-0003-3650-8642</t>
  </si>
  <si>
    <t>10.1016/j.chemosphere.2018.06.129</t>
  </si>
  <si>
    <t>WOS:000442714400081</t>
  </si>
  <si>
    <t>Graham, MD; Cook, J; Graydon, J; Kinniburgh, D; Nelson, H; Pilieci, S; Vinebrooke, RD</t>
  </si>
  <si>
    <t>Graham, M. D.; Cook, J.; Graydon, J.; Kinniburgh, D.; Nelson, H.; Pilieci, S.; Vinebrooke, R. D.</t>
  </si>
  <si>
    <t>High-resolution imaging particle analysis of freshwater cyanobacterial blooms</t>
  </si>
  <si>
    <t>LIMNOLOGY AND OCEANOGRAPHY-METHODS</t>
  </si>
  <si>
    <t>Vinebrooke, Rolf/A-3766-2014; Graydon, Jennifer A/G-6853-2011; Cook, Jenna/C-5682-2019</t>
  </si>
  <si>
    <t>Cook, Jenna/0000-0002-2065-3442</t>
  </si>
  <si>
    <t>1541-5856</t>
  </si>
  <si>
    <t>10.1002/lom3.10274</t>
  </si>
  <si>
    <t>WOS:000447207700005</t>
  </si>
  <si>
    <t>Lines, T; Beardall, J</t>
  </si>
  <si>
    <t>Lines, Thomas; Beardall, John</t>
  </si>
  <si>
    <t>CARBON ACQUISITION CHARACTERISTICS OF SIX MICROALGAL SPECIES ISOLATED FROM A SUBTROPICAL RESERVOIR: POTENTIAL IMPLICATIONS FOR SPECIES SUCCESSION</t>
  </si>
  <si>
    <t>Beardall, John/L-5262-2019</t>
  </si>
  <si>
    <t>Beardall, John/0000-0001-7684-446X; Lines, Thomas/0000-0002-6802-7694</t>
  </si>
  <si>
    <t>10.1111/jpy.12770</t>
  </si>
  <si>
    <t>WOS:000446171600002</t>
  </si>
  <si>
    <t>Zhang, H; Urrutia-Cordero, P; He, L; Geng, H; Chaguaceda, F; Xu, J; Hansson, LA</t>
  </si>
  <si>
    <t>Zhang, Huan; Urrutia-Cordero, Pablo; He, Liang; Geng, Hong; Chaguaceda, Fernando; Xu, Jun; Hansson, Lars-Anders</t>
  </si>
  <si>
    <t>Life-history traits buffer against heat wave effects on predator-prey dynamics in zooplankton</t>
  </si>
  <si>
    <t>10.1111/gcb.14371</t>
  </si>
  <si>
    <t>WOS:000445728800023</t>
  </si>
  <si>
    <t>Cox, AR; Arnott, SE; Riessen, HP</t>
  </si>
  <si>
    <t>Cox, Amelia R.; Arnott, Shelley E.; Riessen, Howard P.</t>
  </si>
  <si>
    <t>Nonlinear effects of aqueous calcium concentration on antipredator response in Daphnia</t>
  </si>
  <si>
    <t>Cox, Amelia/AAH-5701-2021</t>
  </si>
  <si>
    <t>10.1007/s10750-018-3640-x</t>
  </si>
  <si>
    <t>WOS:000437439300005</t>
  </si>
  <si>
    <t>de Lucca, GM; Freitas, EC; Melao, MDG</t>
  </si>
  <si>
    <t>de Lucca, Gisele Maria; Freitas, Emanuela Cristina; Gama Melao, Maria da Graca</t>
  </si>
  <si>
    <t>Effects of TiO2 Nanoparticles on the Neotropical Cladoceran Ceriodaphnia silvestrii by Waterborne and Dietary Routes</t>
  </si>
  <si>
    <t>WATER AIR AND SOIL POLLUTION</t>
  </si>
  <si>
    <t>Melao, Maria da Graca/H-4389-2012</t>
  </si>
  <si>
    <t>Melao, Maria da Graca/0000-0002-8411-5088</t>
  </si>
  <si>
    <t>0049-6979</t>
  </si>
  <si>
    <t>1573-2932</t>
  </si>
  <si>
    <t>10.1007/s11270-018-3964-1</t>
  </si>
  <si>
    <t>WOS:000443057700003</t>
  </si>
  <si>
    <t>Karatayev, AY; Karatayev, VA; Burlakova, LE; Rowe, MD; Mehler, K; Clapsadl, MD</t>
  </si>
  <si>
    <t>Karatayev, Alexander Y.; Karatayev, Vadim A.; Burlakova, Lyubov E.; Rowe, Mark D.; Mehler, Knut; Clapsadl, Mark D.</t>
  </si>
  <si>
    <t>Food depletion regulates the demography of invasive dreissenid mussels in a stratified lake</t>
  </si>
  <si>
    <t>Burlakova, Lyubov/0000-0002-2995-919X; Rowe, Mark/0000-0002-0852-3346; Karatayev, Vadim/0000-0001-7112-8069</t>
  </si>
  <si>
    <t>10.1002/lno.10924</t>
  </si>
  <si>
    <t>WOS:000449045600014</t>
  </si>
  <si>
    <t>Van Regenmortel, T; Van de Perre, D; Janssen, CR; De Schamphelaere, KAC</t>
  </si>
  <si>
    <t>Van Regenmortel, Tina; Van de Perre, Dimitri; Janssen, Colin R.; De Schamphelaere, Karel A. C.</t>
  </si>
  <si>
    <t>The effects of a mixture of copper, nickel, and zinc on the structure and function of a freshwater planktonic community</t>
  </si>
  <si>
    <t>Janssen, Colin R./H-3122-2015; De Schamphelaere, Karel/A-1600-2008</t>
  </si>
  <si>
    <t>Janssen, Colin/0000-0002-7781-6679; De Schamphelaere, Karel/0000-0002-5063-922X</t>
  </si>
  <si>
    <t>10.1002/etc.4185</t>
  </si>
  <si>
    <t>WOS:000442697800011</t>
  </si>
  <si>
    <t>Lavoie, M; Duval, JFL; Raven, JA; Maps, F; Béjaoui, B; Kieber, DJ; Vincent, WF</t>
  </si>
  <si>
    <t>Lavoie, Michel; Duval, Jerome F. L.; Raven, John A.; Maps, Frederic; Bejaoui, Bechir; Kieber, David J.; Vincent, Warwick F.</t>
  </si>
  <si>
    <t>Carbonate Disequilibrium in the External Boundary Layer of Freshwater Chrysophytes: Implications for Contaminant Uptake</t>
  </si>
  <si>
    <t>AUG 21</t>
  </si>
  <si>
    <t>10.1021/acs.est.8b00843</t>
  </si>
  <si>
    <t>WOS:000442706700043</t>
  </si>
  <si>
    <t>Alcantara, I; Piccini, CB; Segura, AM; Deus, S; González, C; de la Escalera, GM; Kruk, C</t>
  </si>
  <si>
    <t>Alcantara, I; Piccini, C. B.; Segura, A. M.; Deus, S.; Gonzalez, C.; de la Escalera, Martinez G.; Kruk, C.</t>
  </si>
  <si>
    <t>Improved biovolume estimation of Microcystis aeruginosa colonies: A statistical approach</t>
  </si>
  <si>
    <t>Piccini, Claudia/P-3840-2019</t>
  </si>
  <si>
    <t>Piccini, Claudia/0000-0002-2762-1953; Alcantara, Ignacio/0000-0003-2387-8644; Kruk, Carla/0000-0003-0760-1186</t>
  </si>
  <si>
    <t>10.1016/j.mimet.2018.05.021</t>
  </si>
  <si>
    <t>WOS:000440119500004</t>
  </si>
  <si>
    <t>Annenkova, NV; Ahrén, D; Logares, R; Kremp, A; Rengefors, K</t>
  </si>
  <si>
    <t>Annenkova, Nataliia V.; Ahren, Dag; Logares, Ramiro; Kremp, Anke; Rengefors, Karin</t>
  </si>
  <si>
    <t>Delineating closely related dinoflagellate lineages using phylotranscriptomics</t>
  </si>
  <si>
    <t>Rengefors, Karin/K-5873-2019; Annenkova, Nataliia V/E-2061-2011; Logares, Ramiro/AAI-2306-2019; Logares, Ramiro/D-5920-2011</t>
  </si>
  <si>
    <t>10.1111/jpy.12748</t>
  </si>
  <si>
    <t>WOS:000441860300014</t>
  </si>
  <si>
    <t>Huisman, J; Codd, GA; Paerl, HW; Ibelings, BW; Verspagen, JMH; Visser, PM</t>
  </si>
  <si>
    <t>Huisman, Jef; Codd, Geoffrey A.; Paerl, Hans W.; Ibelings, Bas W.; Verspagen, Jolanda M. H.; Visser, Petra M.</t>
  </si>
  <si>
    <t>Cyanobacterial blooms</t>
  </si>
  <si>
    <t>NATURE REVIEWS MICROBIOLOGY</t>
  </si>
  <si>
    <t>Ibelings, Bas W/B-4237-2011; Huisman, Jef/A-1089-2013</t>
  </si>
  <si>
    <t>Huisman, Jef/0000-0001-9598-3211</t>
  </si>
  <si>
    <t>1740-1526</t>
  </si>
  <si>
    <t>1740-1534</t>
  </si>
  <si>
    <t>10.1038/s41579-018-0040-1</t>
  </si>
  <si>
    <t>WOS:000439188500006</t>
  </si>
  <si>
    <t>Ingram, T; Burns, ZD</t>
  </si>
  <si>
    <t>Ingram, Travis; Burns, Zuri D.</t>
  </si>
  <si>
    <t>Top-down control by an aquatic invertebrate predator increases with temperature but does not depend on individual behavioral type</t>
  </si>
  <si>
    <t>Ingram, Travis/HCI-1116-2022</t>
  </si>
  <si>
    <t>Ingram, Travis/0000-0003-0709-5260</t>
  </si>
  <si>
    <t>10.1002/ece3.4367</t>
  </si>
  <si>
    <t>WOS:000444946300042</t>
  </si>
  <si>
    <t>Piwosz, K; Calkiewicz, J; Golebiewski, M; Creer, S</t>
  </si>
  <si>
    <t>Piwosz, Kasia; Calkiewicz, Joanna; Golebiewski, Marcin; Creer, Simon</t>
  </si>
  <si>
    <t>Diversity and community composition of pico- and nanoplanktonic protists in the Vistula River estuary (Gulf of Gdansk, Baltic Sea)</t>
  </si>
  <si>
    <t>Golebiewski, Marcin/G-4579-2014; Piwosz, Kasia/B-1131-2010</t>
  </si>
  <si>
    <t>Golebiewski, Marcin/0000-0003-2039-8733; Piwosz, Kasia/0000-0002-3248-3364; Calkiewicz, Joanna/0000-0003-2123-1660</t>
  </si>
  <si>
    <t>JUL 31</t>
  </si>
  <si>
    <t>10.1016/j.ecss.2018.04.013</t>
  </si>
  <si>
    <t>WOS:000440265300025</t>
  </si>
  <si>
    <t>Fontes, MLS; Berri, A; Carvalho, M; Fonseca, ALO; Antonio, RV; Freire, AS</t>
  </si>
  <si>
    <t>Fontes, Maria Luiza S.; Berri, Alexandre; Carvalho, Melissa; Fonseca, Alessandra L. O.; Antonio, Regina, V; Freire, Andrea S.</t>
  </si>
  <si>
    <t>Bacterioplankton abundance and biomass stimulated by water masses intrusions over the Southern Brazilian Shelf (between 25°57′S and 29°24′S)</t>
  </si>
  <si>
    <t>Fonseca, Alessandra Larissa L D Oliveira/F-9324-2012; Freire, Andrea S/J-6226-2018; Fonseca, Alessandra Larissa D Oliveira/S-1814-2019; Freire, Andrea/AAQ-9863-2021; Carvalho, Mélissa/JBS-0912-2023; Schmitz Fontes, Maria Luiza/Q-7637-2018</t>
  </si>
  <si>
    <t>Fonseca, Alessandra Larissa L D Oliveira/0000-0001-7488-1611; Freire, Andrea S/0000-0001-6280-7254; Fonseca, Alessandra Larissa D Oliveira/0000-0001-7488-1611; Schmitz Fontes, Maria Luiza/0000-0003-3607-9016</t>
  </si>
  <si>
    <t>10.1016/j.csr.2018.05.003</t>
  </si>
  <si>
    <t>WOS:000441486200003</t>
  </si>
  <si>
    <t>Benejam, L; Tobes, I; Brucet, S; Miranda, R</t>
  </si>
  <si>
    <t>Benejam, Lluis; Tobes, Ibon; Brucet, Sandra; Miranda, Rafael</t>
  </si>
  <si>
    <t>Size spectra and other size-related variables of river fish communities: systematic changes along the altitudinal gradient on pristine Andean streams</t>
  </si>
  <si>
    <t>10.1016/j.ecolind.2018.03.012</t>
  </si>
  <si>
    <t>WOS:000440266100038</t>
  </si>
  <si>
    <t>Cartlidge, R; Wlodkowic, D</t>
  </si>
  <si>
    <t>Cartlidge, Rhys; Wlodkowic, Donald</t>
  </si>
  <si>
    <t>Caging of planktonic rotifers in microfluidic environment for sub-lethal aquatic toxicity tests</t>
  </si>
  <si>
    <t>BIOMICROFLUIDICS</t>
  </si>
  <si>
    <t>2nd International Conference on Nanotechnology in Medicine</t>
  </si>
  <si>
    <t>JUN, 2018</t>
  </si>
  <si>
    <t>Albufeira, PORTUGAL</t>
  </si>
  <si>
    <t>ECI Conf</t>
  </si>
  <si>
    <t>Wlodkowic, Donald/F-2431-2010; Wlodkowic, Donald/P-4124-2019</t>
  </si>
  <si>
    <t>Wlodkowic, Donald/0000-0002-0780-3362; Wlodkowic, Donald/0000-0002-0780-3362</t>
  </si>
  <si>
    <t>1932-1058</t>
  </si>
  <si>
    <t>10.1063/1.5042779</t>
  </si>
  <si>
    <t>WOS:000443760100031</t>
  </si>
  <si>
    <t>Valiñas, MS; Villafañe, VE; Cabrerizo, MJ; Romero, CD; Helbling, EW</t>
  </si>
  <si>
    <t>Valinas, Macarena S.; Villafane, Virginia E.; Cabrerizo, Marco J.; Duran Romero, Cristina; Walter Helbling, E.</t>
  </si>
  <si>
    <t>Global change effects on plankton community structure and trophic interactions in a Patagonian freshwater eutrophic system</t>
  </si>
  <si>
    <t>Cabrerizo, Marco J./A-5962-2018</t>
  </si>
  <si>
    <t>10.1007/s10750-017-3272-6</t>
  </si>
  <si>
    <t>WOS:000431398300006</t>
  </si>
  <si>
    <t>Mehner, T; Lischke, B; Scharnweber, K; Attermeyer, K; Brothers, S; Gaedke, U; Hilt, S; Brucet, S</t>
  </si>
  <si>
    <t>Mehner, Thomas; Lischke, Betty; Scharnweber, Kristin; Attermeyer, Katrin; Brothers, Soren; Gaedke, Ursula; Hilt, Sabine; Brucet, Sandra</t>
  </si>
  <si>
    <t>Empirical correspondence between trophic transfer efficiency in freshwater food webs and the slope of their size spectra</t>
  </si>
  <si>
    <t>Mehner, Thomas/0000-0002-3619-165X; Attermeyer, Katrin/0000-0002-6503-9497</t>
  </si>
  <si>
    <t>10.1002/ecy.2347</t>
  </si>
  <si>
    <t>WOS:000434094400021</t>
  </si>
  <si>
    <t>Verbeek, L; Vanhamel, M; van den Berg, E; Hanashiro, FTT; Gianuca, AT; Striebel, M; Lemmens, P; Declerck, SAJ; Hillebrand, H; De Meester, L</t>
  </si>
  <si>
    <t>Verbeek, Laura; Vanhamel, Matthias; van den Berg, Edwin; Hanashiro, Fabio T. T.; Gianuca, Andros T.; Striebel, Maren; Lemmens, Pieter; Declerck, Steven A. J.; Hillebrand, Helmut; De Meester, Luc</t>
  </si>
  <si>
    <t>Compositional and functional consequences of environmental change in Belgian farmland ponds</t>
  </si>
  <si>
    <t>10.1111/fwb.13095</t>
  </si>
  <si>
    <t>WOS:000431497700007</t>
  </si>
  <si>
    <t>Rogora, M; Frate, L; Carranza, ML; Freppaz, M; Stanisci, A; Bertani, I; Bottarin, R; Brambilla, A; Canullo, R; Carbognani, M; Cerrato, C; Chelli, S; Cremonese, E; Cutini, M; Di Musciano, M; Erschbamer, B; Godone, D; Iocchi, M; Isabellon, M; Magnani, A; Mazzola, L; di Cella, UM; Pauli, H; Petey, M; Petriccione, B; Porro, F; Psenner, R; Rossetti, G; Scotti, A; Sommaruga, R; Tappeiner, U; Theurillat, JP; Tomaselli, M; Viglietti, D; Viterbi, R; Vittoz, P; Winkler, M; Matteucci, G</t>
  </si>
  <si>
    <t>Rogora, M.; Frate, L.; Carranza, M. L.; Freppaz, M.; Stanisci, A.; Bertani, I; Bottarin, R.; Brambilla, A.; Canullo, R.; Carbognani, M.; Cerrato, C.; Chelli, S.; Cremonese, E.; Cutini, M.; Di Musciano, M.; Erschbamer, B.; Godone, D.; Iocchi, M.; Isabellon, M.; Magnani, A.; Mazzola, L.; di Cella, Morra U.; Pauli, H.; Petey, M.; Petriccione, B.; Porro, F.; Psenner, R.; Rossetti, G.; Scotti, A.; Sommaruga, R.; Tappeiner, U.; Theurillat, J. -P; Tomaselli, M.; Viglietti, D.; Viterbi, R.; Vittoz, P.; Winkler, M.; Matteucci, G.</t>
  </si>
  <si>
    <t>Assessment of climate change effects on mountain ecosystems through a cross-site analysis in the Alps and Apennines</t>
  </si>
  <si>
    <t>10.1016/j.scitotenv.2017.12.155</t>
  </si>
  <si>
    <t>WOS:000426355900142</t>
  </si>
  <si>
    <t>Bestion, E; García-Carreras, B; Schaum, CE; Pawar, S; Yvon-Durocher, G</t>
  </si>
  <si>
    <t>Bestion, Elvire; Garcia-Carreras, Bernardo; Schaum, Charlotte-Elisa; Pawar, Samraat; Yvon-Durocher, Gabriel</t>
  </si>
  <si>
    <t>Metabolic traits predict the effects of warming on phytoplankton competition</t>
  </si>
  <si>
    <t>ECOLOGY LETTERS</t>
  </si>
  <si>
    <t>Bestion, Elvire/D-4281-2015; Yvon-Durocher, Gabriel/M-4600-2014; Pawar, Samraat/E-7388-2012; Garcia-Carreras, Bernardo/H-3234-2011</t>
  </si>
  <si>
    <t>Bestion, Elvire/0000-0001-5622-7907; Pawar, Samraat/0000-0001-8375-5684; Garcia-Carreras, Bernardo/0000-0002-0714-300X</t>
  </si>
  <si>
    <t>1461-023X</t>
  </si>
  <si>
    <t>1461-0248</t>
  </si>
  <si>
    <t>10.1111/ele.12932</t>
  </si>
  <si>
    <t>WOS:000430120400006</t>
  </si>
  <si>
    <t>Lind, PR; Jeyasingh, PD</t>
  </si>
  <si>
    <t>Lind, Patrick R.; Jeyasingh, Punidan D.</t>
  </si>
  <si>
    <t>Interactive effects of dietary phosphorus and iron on Daphnia life history</t>
  </si>
  <si>
    <t>10.1002/lno.10763</t>
  </si>
  <si>
    <t>WOS:000432019600010</t>
  </si>
  <si>
    <t>Segura, AM; Sarthou, F; Kruk, C</t>
  </si>
  <si>
    <t>Segura, Angel M.; Sarthou, Florencia; Kruk, Carla</t>
  </si>
  <si>
    <t>Morphology-based differences in the thermal response of freshwater phytoplankton</t>
  </si>
  <si>
    <t>BIOLOGY LETTERS</t>
  </si>
  <si>
    <t>Kruk, Carla/0000-0003-0760-1186</t>
  </si>
  <si>
    <t>1744-9561</t>
  </si>
  <si>
    <t>1744-957X</t>
  </si>
  <si>
    <t>10.1098/rsbl.2017.0790</t>
  </si>
  <si>
    <t>WOS:000433530000003</t>
  </si>
  <si>
    <t>Li, QP; Zhou, WW; Chen, YC; Wu, ZC</t>
  </si>
  <si>
    <t>Li, Qian P.; Zhou, Weiwen; Chen, Yinchao; Wu, Zhengchao</t>
  </si>
  <si>
    <t>Phytoplankton response to a plume front in the northern South China Sea</t>
  </si>
  <si>
    <t>BIOGEOSCIENCES</t>
  </si>
  <si>
    <t>1726-4170</t>
  </si>
  <si>
    <t>1726-4189</t>
  </si>
  <si>
    <t>APR 27</t>
  </si>
  <si>
    <t>10.5194/bg-15-2551-2018</t>
  </si>
  <si>
    <t>WOS:000431149300002</t>
  </si>
  <si>
    <t>Aljaibachi, R; Callaghan, A</t>
  </si>
  <si>
    <t>Aljaibachi, Rana; Callaghan, Amanda</t>
  </si>
  <si>
    <t>Impact of polystyrene microplastics on Daphnia magna mortality and reproduction in relation to food availability</t>
  </si>
  <si>
    <t>Al-jaibachi, Rana/0000-0003-2342-6621</t>
  </si>
  <si>
    <t>APR 18</t>
  </si>
  <si>
    <t>e4601</t>
  </si>
  <si>
    <t>10.7717/peerj.4601</t>
  </si>
  <si>
    <t>WOS:000430409900003</t>
  </si>
  <si>
    <t>Bestová, H; Munoz, F; Svoboda, P; Skaloud, P; Violle, C</t>
  </si>
  <si>
    <t>Bestova, Helena; Munoz, Francois; Svoboda, Pavel; Skaloud, Pavel; Violle, Cyrille</t>
  </si>
  <si>
    <t>Ecological and biogeographical drivers of freshwater green algae biodiversity: from local communities to large-scale species pools of desmids</t>
  </si>
  <si>
    <t>Bestova, Helena/0000-0003-2589-7195</t>
  </si>
  <si>
    <t>10.1007/s00442-018-4074-x</t>
  </si>
  <si>
    <t>WOS:000427875700012</t>
  </si>
  <si>
    <t>Espinasse, B; Basedow, S; Schultes, S; Zhou, M; Berline, L; Carlotti, F</t>
  </si>
  <si>
    <t>Espinasse, B.; Basedow, S.; Schultes, S.; Zhou, M.; Berline, L.; Carlotti, F.</t>
  </si>
  <si>
    <t>Conditions for assessing zooplankton abundance with LOPC in coastal waters</t>
  </si>
  <si>
    <t>Espinasse, Boris/0000-0002-7490-5588; Basedow, Sunnje Linnea/0000-0001-6000-6090</t>
  </si>
  <si>
    <t>10.1016/j.pocean.2017.10.012</t>
  </si>
  <si>
    <t>WOS:000434004400022</t>
  </si>
  <si>
    <t>Jones, NT; Gilbert, B</t>
  </si>
  <si>
    <t>Jones, Natalie T.; Gilbert, Benjamin</t>
  </si>
  <si>
    <t>Geographic signatures in species turnover: decoupling colonization and extinction across a latitudinal gradient</t>
  </si>
  <si>
    <t>Gilbert, Benjamin/E-6616-2010</t>
  </si>
  <si>
    <t>Gilbert, Benjamin/0000-0002-4947-6822; Jones, Natalie/0000-0001-5114-7123</t>
  </si>
  <si>
    <t>10.1111/oik.04590</t>
  </si>
  <si>
    <t>WOS:000429006200003</t>
  </si>
  <si>
    <t>Kaliszewicz, A; Jarzabek, K; Szymanska, J; Karaban, K; Sierakowski, M</t>
  </si>
  <si>
    <t>Kaliszewicz, Anita; Jarzabek, Karolina; Szymanska, Justyna; Karaban, Kamil; Sierakowski, Maciej</t>
  </si>
  <si>
    <t>Alpha-Linolenic Acid, but Not Palmitic Acid, Negatively Impacts Survival, Asexual Reproductive Rate, and Clonal Offspring Size in Hydra oligactis</t>
  </si>
  <si>
    <t>LIPIDS</t>
  </si>
  <si>
    <t>Karaban, Kamil/AAO-6011-2020</t>
  </si>
  <si>
    <t>0024-4201</t>
  </si>
  <si>
    <t>1558-9307</t>
  </si>
  <si>
    <t>10.1002/lipd.12026</t>
  </si>
  <si>
    <t>WOS:000434151000009</t>
  </si>
  <si>
    <t>Maliaka, V; Faassen, EJ; Smolders, AJP; Lürling, M</t>
  </si>
  <si>
    <t>Maliaka, Valentini; Faassen, Elisabeth J.; Smolders, Alfons J. P.; Lurling, Miquel</t>
  </si>
  <si>
    <t>The Impact of Warming and Nutrients on Algae Production and Microcystins in Seston from the Iconic Lake Lesser Prespa, Greece</t>
  </si>
  <si>
    <t>TOXINS</t>
  </si>
  <si>
    <t>Maliaka, Valentini/0000-0003-0835-2302; KNAW, NIOO-KNAW/0000-0002-3835-159X; Lurling, Miquel/0000-0001-6726-7904</t>
  </si>
  <si>
    <t>2072-6651</t>
  </si>
  <si>
    <t>10.3390/toxins10040144</t>
  </si>
  <si>
    <t>WOS:000435183700015</t>
  </si>
  <si>
    <t>Wolf, R; Heuschele, J</t>
  </si>
  <si>
    <t>Wolf, Raoul; Heuschele, Jan</t>
  </si>
  <si>
    <t>Water Browning Influences the Behavioral Effects of Ultraviolet Radiation on Zooplankton</t>
  </si>
  <si>
    <t>Heuschele, Jan/A-8794-2013</t>
  </si>
  <si>
    <t>Wolf, Raoul/0000-0001-5971-8525</t>
  </si>
  <si>
    <t>MAR 14</t>
  </si>
  <si>
    <t>10.3389/fevo.2018.00026</t>
  </si>
  <si>
    <t>WOS:000451615900002</t>
  </si>
  <si>
    <t>Byllaardt, JV; Adams, JK; Casas-Monroy, O; Bailey, SA</t>
  </si>
  <si>
    <t>Byllaardt, Julie Vanden; Adams, Jennifer K.; Casas-Monroy, Oscar; Bailey, Sarah A.</t>
  </si>
  <si>
    <t>Examination of an indicative tool for rapidly estimating viable organism abundance in ballast water</t>
  </si>
  <si>
    <t>JOURNAL OF SEA RESEARCH</t>
  </si>
  <si>
    <t>Bailey, Sarah/E-8356-2010</t>
  </si>
  <si>
    <t>Bailey, Sarah/0000-0003-3635-919X; Adams, Jennifer/0000-0002-0380-3832</t>
  </si>
  <si>
    <t>1385-1101</t>
  </si>
  <si>
    <t>1873-1414</t>
  </si>
  <si>
    <t>10.1016/j.seares.2017.02.002</t>
  </si>
  <si>
    <t>WOS:000428488100005</t>
  </si>
  <si>
    <t>Santana, RMD; Dolbeth, M; Barbosa, JED; Patrício, J</t>
  </si>
  <si>
    <t>da Costa Santana, Rosa Maria; Dolbeth, Marina; de Lucena Barbosa, Jose Etham; Patricio, Joana</t>
  </si>
  <si>
    <t>Narrowing the gap: Phytoplankton functional diversity in two disturbed tropical estuaries</t>
  </si>
  <si>
    <t>Dolbeth, Marina/AAF-7501-2019; Barbosa, Jose Etham de Lucena/H-2234-2018; Patricio, Joana/O-5030-2014</t>
  </si>
  <si>
    <t>Dolbeth, Marina/0000-0002-8775-0351; Barbosa, Jose Etham de Lucena/0000-0002-4951-1763; Patricio, Joana/0000-0003-1832-0996</t>
  </si>
  <si>
    <t>10.1016/j.ecolind.2017.12.003</t>
  </si>
  <si>
    <t>WOS:000430634600009</t>
  </si>
  <si>
    <t>Dastis, JON; Yates, MC; Fraser, DJ; Derry, AM</t>
  </si>
  <si>
    <t>Dastis, Jorge Octavio Negrin; Yates, Matthew C.; Fraser, Dylan John; Derry, Alison Margaret</t>
  </si>
  <si>
    <t>A fish-mediated trophic cascade on freshwater calanoid copepod abundance is concealed by food web fatty acid availability, functional traits and population sex ratio</t>
  </si>
  <si>
    <t>Fraser, Dylan/X-1659-2019; Yates, Matthew/AAN-1075-2020</t>
  </si>
  <si>
    <t>Fraser, Dylan/0000-0002-5686-7338; Yates, Matthew/0000-0002-9199-1078; Negrin Dastis, Jorge Octavio/0000-0002-8234-9462; Derry, Alison/0000-0001-5768-8027</t>
  </si>
  <si>
    <t>MAR-APR</t>
  </si>
  <si>
    <t>10.1093/plankt/fby002</t>
  </si>
  <si>
    <t>WOS:000428943600008</t>
  </si>
  <si>
    <t>Gliwicz, ZM; Babkiewicz, E; Kumar, R; Kunjiappan, S; Leniowski, K</t>
  </si>
  <si>
    <t>Gliwicz, Z. Maciej; Babkiewicz, Ewa; Kumar, Rajeev; Kunjiappan, Selvaraj; Leniowski, Konrad</t>
  </si>
  <si>
    <t>Warming increases the number of apparent prey in reaction field volume of zooplanktivorous fish</t>
  </si>
  <si>
    <t>Babkiewicz, Ewa/KOC-7442-2024</t>
  </si>
  <si>
    <t>S30</t>
  </si>
  <si>
    <t>S43</t>
  </si>
  <si>
    <t>10.1002/lno.10720</t>
  </si>
  <si>
    <t>WOS:000427077300003</t>
  </si>
  <si>
    <t>Redmond, LE; Loewen, CJG; Vinebrooke, RD</t>
  </si>
  <si>
    <t>Redmond, Laura E.; Loewen, Charlie J. G.; Vinebrooke, Rolf D.</t>
  </si>
  <si>
    <t>A Functional Approach to Zooplankton Communities in Mountain Lakes Stocked With Non-Native Sportfish Under a Changing Climate</t>
  </si>
  <si>
    <t>Loewen, Charlie JG/0000-0002-4389-4134; Redmond, Laura/0000-0002-3727-3606; Vinebrooke, Rolf/0000-0003-0497-2520</t>
  </si>
  <si>
    <t>10.1002/2017WR021956</t>
  </si>
  <si>
    <t>WOS:000430364900051</t>
  </si>
  <si>
    <t>Bishop, WM; Richardson, RJ</t>
  </si>
  <si>
    <t>Bishop, West M.; Richardson, Robert J.</t>
  </si>
  <si>
    <t>Influence of PhoslockA® on legacy phosphorus, nutrient ratios, and algal assemblage composition in hypereutrophic water resources</t>
  </si>
  <si>
    <t>Richardson, Robert/0000-0002-1802-8728</t>
  </si>
  <si>
    <t>10.1007/s11356-017-0832-2</t>
  </si>
  <si>
    <t>WOS:000425770300049</t>
  </si>
  <si>
    <t>Visconti, A; Caroni, R; Rawcliffe, R; Fadda, A; Piscia, R; Manca, M</t>
  </si>
  <si>
    <t>Visconti, Anna; Caroni, Rossana; Rawcliffe, Ruth; Fadda, Amedeo; Piscia, Roberta; Manca, Marina</t>
  </si>
  <si>
    <t>Defining Seasonal Functional Traits of a Freshwater Zooplankton Community Using δ13C and δ15N Stable Isotope Analysis</t>
  </si>
  <si>
    <t>Piscia, Roberta/0000-0003-3123-7759</t>
  </si>
  <si>
    <t>10.3390/w10020108</t>
  </si>
  <si>
    <t>WOS:000426775500018</t>
  </si>
  <si>
    <t>Levipan, HA; Quezada, J; Avendaño-Herrera, R</t>
  </si>
  <si>
    <t>Levipan, Hector A.; Quezada, Johan; Avendano-Herrera, Ruben</t>
  </si>
  <si>
    <t>Stress Tolerance-Related Genetic Traits of Fish Pathogen Flavobacterium psychrophilum in a Mature Biofilm</t>
  </si>
  <si>
    <t>Avendano-Herrera, Ruben/0000-0001-5368-4475; Levipan, Hector/0000-0003-3281-4474; Quezada Olguin, Johan/0000-0003-1318-7575</t>
  </si>
  <si>
    <t>JAN 23</t>
  </si>
  <si>
    <t>10.3389/fmicb.2018.00018</t>
  </si>
  <si>
    <t>WOS:000423060900004</t>
  </si>
  <si>
    <t>Kremer, CT; Fey, SB; Arellano, AA; Vasseur, DA</t>
  </si>
  <si>
    <t>Kremer, Colin T.; Fey, Samuel B.; Arellano, Aldo A.; Vasseur, David A.</t>
  </si>
  <si>
    <t>Gradual plasticity alters population dynamics in variable environments: thermal acclimation in the green alga Chlamydomonas reinhartdii</t>
  </si>
  <si>
    <t>Kremer, Colin/AAH-7022-2021</t>
  </si>
  <si>
    <t>Arellano, Aldo/0000-0002-3780-1130; Vasseur, David/0000-0003-1706-9613</t>
  </si>
  <si>
    <t>10.1098/rspb.2017.1942</t>
  </si>
  <si>
    <t>WOS:000419973000007</t>
  </si>
  <si>
    <t>Ke, ZX; Tan, YH; Huang, LM; Liu, JX; Liu, HX</t>
  </si>
  <si>
    <t>Ke, Zhixin; Tan, Yehui; Huang, Liangmin; Liu, Jiaxin; Liu, Huaxue</t>
  </si>
  <si>
    <t>Community structure and biovolume size spectra of mesozooplankton in the Pearl River estuary</t>
  </si>
  <si>
    <t>ke, zhixin/O-7826-2014</t>
  </si>
  <si>
    <t>ke, zhixin/0000-0002-5959-737X</t>
  </si>
  <si>
    <t>10.1080/14634988.2018.1432948</t>
  </si>
  <si>
    <t>WOS:000428039400004</t>
  </si>
  <si>
    <t>S</t>
  </si>
  <si>
    <t>Teubner, K; Grossschartner, M; Teubner, IE</t>
  </si>
  <si>
    <t>Dokulil, MT; Donabaum, K; Teubner, K</t>
  </si>
  <si>
    <t>Teubner, Katrin; Grossschartner, Monika; Teubner, Irene E.</t>
  </si>
  <si>
    <t>Response of Zooplankton to Restoration and Climate Warming in Alte Donau</t>
  </si>
  <si>
    <t>ALTE DONAU: SUCCESSFUL RESTORATION AND SUSTAINABLE MANAGEMENT - AN ECOSYSTEM CASE STUDY OF A SHALLOW URBAN LAKE</t>
  </si>
  <si>
    <t>Aquatic Ecology Series</t>
  </si>
  <si>
    <t>Teubner, Katrin/AAC-1224-2021</t>
  </si>
  <si>
    <t>Teubner, Katrin/0000-0002-3699-2043</t>
  </si>
  <si>
    <t>1573-4595</t>
  </si>
  <si>
    <t>2543-005X</t>
  </si>
  <si>
    <t>978-3-319-93270-5; 978-3-319-93268-2</t>
  </si>
  <si>
    <t>10.1007/978-3-319-93270-5_11</t>
  </si>
  <si>
    <t>10.1007/978-3-319-93270-5</t>
  </si>
  <si>
    <t>WOS:000459447700011</t>
  </si>
  <si>
    <t>Tordesillas, DT; Paredes, PMF; Villaruel, KPE; Queneri, CAAM; Rico, JL; Ban, S; Papa, RDS</t>
  </si>
  <si>
    <t>Tordesillas, Dino T.; Paredes, Princess M. F.; Villaruel, Kyle P. E.; Queneri, Clarisse A. A. M.; Rico, Jennete L.; Ban, Syuhei; Papa, Rey D. S.</t>
  </si>
  <si>
    <t>Effects of food concentration on the reproductive capacity of the invasive freshwater calanoid copepod Arctodiaptomus dorsalis (Marsh, 1907) in the Philippines</t>
  </si>
  <si>
    <t>Ban, Syuhei/0000-0002-7168-5583</t>
  </si>
  <si>
    <t>10.1093/jcbiol/rux089</t>
  </si>
  <si>
    <t>WOS:000423165300011</t>
  </si>
  <si>
    <t>Coggins, BL; Collins, JW; Holbrook, KJ; Yampolsky, LY</t>
  </si>
  <si>
    <t>Coggins, Bret L.; Collins, John W.; Holbrook, Kailea J.; Yampolsky, Lev Y.</t>
  </si>
  <si>
    <t>Antioxidant capacity, lipid peroxidation, and lipid composition changes during long-term and short-term thermal acclimation in Daphnia</t>
  </si>
  <si>
    <t>JOURNAL OF COMPARATIVE PHYSIOLOGY B-BIOCHEMICAL SYSTEMIC AND ENVIRONMENTAL PHYSIOLOGY</t>
  </si>
  <si>
    <t>Coggins, Bret/AAH-2186-2021</t>
  </si>
  <si>
    <t>Yampolsky, Lev/0000-0001-7680-6025; Coggins, Bret/0000-0002-0822-0660</t>
  </si>
  <si>
    <t>0174-1578</t>
  </si>
  <si>
    <t>1432-136X</t>
  </si>
  <si>
    <t>10.1007/s00360-017-1090-9</t>
  </si>
  <si>
    <t>WOS:000414946400003</t>
  </si>
  <si>
    <t>Kruk, C; Segura, AM; Nogueira, L; Alcántara, I; Calliari, D; de la Escalera, GM; Carballo, C; Cabrera, C; Sarthou, F; Scavone, P; Piccini, C</t>
  </si>
  <si>
    <t>Kruk, Carla; Segura, Angel M.; Nogueira, Lucia; Alcantara, Ignacio; Calliari, Danilo; Martinez de la Escalera, Gabriela; Carballo, Carmela; Cabrera, Carolina; Sarthou, Florencia; Scavone, Paola; Piccini, Claudia</t>
  </si>
  <si>
    <t>A multilevel trait-based approach to the ecological performance of Microcystis aeruginosa complex from headwaters to the ocean</t>
  </si>
  <si>
    <t>Piccini, Claudia/P-3840-2019; Scavone, Paola/AAR-2956-2020</t>
  </si>
  <si>
    <t>Piccini, Claudia/0000-0002-2762-1953; Alcantara, Ignacio/0000-0003-2387-8644; Calliari Cuadro, Danilo Luis/0000-0002-4752-1669; Kruk, Carla/0000-0003-0760-1186</t>
  </si>
  <si>
    <t>10.1016/j.hal.2017.10.004</t>
  </si>
  <si>
    <t>WOS:000418311500002</t>
  </si>
  <si>
    <t>Wang, C; Liu, Y; Zhan, Q; Yang, WL; Wu, NC</t>
  </si>
  <si>
    <t>Wang, Chao; Liu, Yang; Zhan, Qin; Yang, Wanling; Wu, Naicheng</t>
  </si>
  <si>
    <t>Global trends in phytoplankton research of river ecosystems during 1991-2016: A bibliometric analysis</t>
  </si>
  <si>
    <t>Wu, Naicheng/0000-0002-5652-3631</t>
  </si>
  <si>
    <t>10.1127/fal/2017/1051</t>
  </si>
  <si>
    <t>WOS:000419313600003</t>
  </si>
  <si>
    <t>Atkinson, CL; Capps, KA; Rugenski, AT; Vanni, MJ</t>
  </si>
  <si>
    <t>Atkinson, Carla L.; Capps, Krista A.; Rugenski, Amanda T.; Vanni, Michael J.</t>
  </si>
  <si>
    <t>Consumer-driven nutrient dynamics in freshwater ecosystems: from individuals to ecosystems</t>
  </si>
  <si>
    <t>BIOLOGICAL REVIEWS</t>
  </si>
  <si>
    <t>Capps, Krista/JVN-6116-2024</t>
  </si>
  <si>
    <t>Atkinson, Carla/0000-0002-6430-7613</t>
  </si>
  <si>
    <t>1464-7931</t>
  </si>
  <si>
    <t>1469-185X</t>
  </si>
  <si>
    <t>10.1111/brv.12318</t>
  </si>
  <si>
    <t>WOS:000412314400008</t>
  </si>
  <si>
    <t>Sathicq, MB; Gómez, N; Bauer, DE; Donadelli, J</t>
  </si>
  <si>
    <t>Belen Sathicq, Maria; Gomez, Nora; Elena Bauer, Delia; Donadelli, Jorge</t>
  </si>
  <si>
    <t>Use of phytoplankton assemblages to assess the quality of coastal waters of a transitional ecosystem: Rio de la Plata estuary</t>
  </si>
  <si>
    <t>Sathicq, Maria/0000-0002-3534-8950</t>
  </si>
  <si>
    <t>10.1016/j.csr.2016.08.009</t>
  </si>
  <si>
    <t>WOS:000417657700002</t>
  </si>
  <si>
    <t>Boltizár, O; Müller, T; Urbányi, B; Csenki, Z; Bakos, K; Staszny, A; Hegyi, A; Kucska, B; Kucharczyk, D; Horváth, L</t>
  </si>
  <si>
    <t>Boltizar, Otto; Mueller, Tamas; Urbanyi, Bela; Csenki, Zsolt; Bakos, Katalin; Staszny, Adam; Hegyi, Arpad; Kucska, Balazs; Kucharczyk, Dariusz; Horvath, Laszlo</t>
  </si>
  <si>
    <t>Predatory effect of Copepods on the larvae of some freshwater fish</t>
  </si>
  <si>
    <t>Staszny, Ádám/AAM-2193-2020; Kucharczyk, D./AFA-8748-2022</t>
  </si>
  <si>
    <t>Staszny, Ádám/0000-0002-6166-8333; Kucharczyk, D./0000-0002-0889-0656; Csenki-Bakos, Zsolt/0000-0003-1750-2296; Muller, Tamas/0000-0002-0512-4315; kucska, Balazs/0000-0001-6755-5690</t>
  </si>
  <si>
    <t>10.1127/fal/2017/0682</t>
  </si>
  <si>
    <t>WOS:000423785200007</t>
  </si>
  <si>
    <t>Vasselon, V; Rimet, F; Tapolczai, K; Bouchez, A</t>
  </si>
  <si>
    <t>Vasselon, Valentin; Rimet, Frederic; Tapolczai, Kalman; Bouchez, Agnes</t>
  </si>
  <si>
    <t>Assessing ecological status with diatoms DNA metabarcoding: Scaling-up on a WFD monitoring network (Mayotte island, France)</t>
  </si>
  <si>
    <t>10.1016/j.ecolind.2017.06.024</t>
  </si>
  <si>
    <t>WOS:000417551700001</t>
  </si>
  <si>
    <t>Yvon-Durocher, G; Schaum, CE; Trimmer, M</t>
  </si>
  <si>
    <t>Yvon-Durocher, Gabriel; Schaum, Charlotte-Elisa; Trimmer, Mark</t>
  </si>
  <si>
    <t>The Temperature Dependence of Phytoplankton Stoichiometry: Investigating the Roles of Species Sorting and Local Adaptation</t>
  </si>
  <si>
    <t>OCT 23</t>
  </si>
  <si>
    <t>10.3389/fmicb.2017.02003</t>
  </si>
  <si>
    <t>WOS:000413414100001</t>
  </si>
  <si>
    <t>Kruk, C; Devercelli, M; Huszar, VLM; Hernández, E; Beamud, G; Diaz, M; Silva, LHS; Segura, AM</t>
  </si>
  <si>
    <t>Kruk, Carla; Devercelli, Melina; Huszar, Vera L. M.; Hernandez, Esnedy; Beamud, Guadalupe; Diaz, Monica; Silva, Lucia H. S.; Segura, Angel M.</t>
  </si>
  <si>
    <t>Classification of Reynolds phytoplankton functional groups using individual traits and machine learning techniques</t>
  </si>
  <si>
    <t>10.1111/fwb.12968</t>
  </si>
  <si>
    <t>WOS:000410094000002</t>
  </si>
  <si>
    <t>Wu, NC; Dong, XH; Liu, Y; Wang, C; Baattrup-Pedersen, A; Riis, T</t>
  </si>
  <si>
    <t>Wu, Naicheng; Dong, Xuhui; Liu, Yang; Wang, Chao; Baattrup-Pedersen, Annette; Riis, Tenna</t>
  </si>
  <si>
    <t>Using river microalgae as indicators for freshwater biomonitoring: Review of published research and future directions</t>
  </si>
  <si>
    <t>10.1016/j.ecolind.2017.05.066</t>
  </si>
  <si>
    <t>WOS:000417229100013</t>
  </si>
  <si>
    <t>Brennan, GL; Colegrave, N; Collins, S</t>
  </si>
  <si>
    <t>Brennan, Georgina L.; Colegrave, Nick; Collins, Sinead</t>
  </si>
  <si>
    <t>Evolutionary consequences of multidriver environmental change in an aquatic primary producer</t>
  </si>
  <si>
    <t>Brennan, Georgina L/C-5969-2017</t>
  </si>
  <si>
    <t>Brennan, Georgina/0000-0003-2045-757X</t>
  </si>
  <si>
    <t>SEP 12</t>
  </si>
  <si>
    <t>10.1073/pnas.1703375114</t>
  </si>
  <si>
    <t>WOS:000410293400059</t>
  </si>
  <si>
    <t>Phillips, KN; Godwin, CM; Cotner, JB</t>
  </si>
  <si>
    <t>Phillips, Katherine N.; Godwin, Casey M.; Cotner, James B.</t>
  </si>
  <si>
    <t>The Effects of Nutrient Imbalances and Temperature on the Biomass Stoichiometry of Freshwater Bacteria</t>
  </si>
  <si>
    <t>Cotner, James B/D-8799-2013; Godwin, Casey/JVZ-2099-2024</t>
  </si>
  <si>
    <t>Cotner, James B/0000-0001-9792-467X;</t>
  </si>
  <si>
    <t>SEP 8</t>
  </si>
  <si>
    <t>10.3389/fmicb.2017.01692</t>
  </si>
  <si>
    <t>WOS:000409874500001</t>
  </si>
  <si>
    <t>Echeveste, P; Silva, JC; Lombardi, AT</t>
  </si>
  <si>
    <t>Echeveste, Pedro; Silva, Jaqueline C.; Lombardi, Ana T.</t>
  </si>
  <si>
    <t>Cu and Cd affect distinctly the physiology of a cosmopolitan tropical freshwater phytoplankton</t>
  </si>
  <si>
    <t>Echeveste, Pedro/C-2611-2012</t>
  </si>
  <si>
    <t>Echeveste, Pedro/0000-0002-3631-5771; Carmo da Silva, Jaqueline/0000-0001-6763-513X</t>
  </si>
  <si>
    <t>10.1016/j.ecoenv.2017.05.030</t>
  </si>
  <si>
    <t>WOS:000404095100030</t>
  </si>
  <si>
    <t>Fryxell, DC; Palkovacs, EP</t>
  </si>
  <si>
    <t>Fryxell, David C.; Palkovacs, Eric P.</t>
  </si>
  <si>
    <t>Warming Strengthens the Ecological Role of Intraspecific Variation in a Predator</t>
  </si>
  <si>
    <t>COPEIA</t>
  </si>
  <si>
    <t>Symposium on Eco-Evolutionary Dynamics in Cold Blood at the Joint Meeting of Ichthyologists and Herpetologists</t>
  </si>
  <si>
    <t>New Orleans, LA</t>
  </si>
  <si>
    <t>ASIH</t>
  </si>
  <si>
    <t>Fryxell, David/AAP-2545-2020</t>
  </si>
  <si>
    <t>Fryxell, David/0000-0003-4543-4809</t>
  </si>
  <si>
    <t>0045-8511</t>
  </si>
  <si>
    <t>1938-5110</t>
  </si>
  <si>
    <t>10.1643/CE-16-527</t>
  </si>
  <si>
    <t>WOS:000412751500009</t>
  </si>
  <si>
    <t>Hahn, MW; Karbon, G; Koll, U; Schmidt, J; Lang, E</t>
  </si>
  <si>
    <t>Hahn, Martin W.; Karbon, Geriinde; Koll, Ulrike; Schmidt, Johanna; Lang, Elke</t>
  </si>
  <si>
    <t>Polynucleobacter sphagniphilus sp nov a planktonic freshwater bacterium isolated from an acidic and humic freshwater habitat</t>
  </si>
  <si>
    <t>INTERNATIONAL JOURNAL OF SYSTEMATIC AND EVOLUTIONARY MICROBIOLOGY</t>
  </si>
  <si>
    <t>Hahn, Martin W./B-9998-2008</t>
  </si>
  <si>
    <t>Hahn, Martin W./0000-0003-0501-2556</t>
  </si>
  <si>
    <t>1466-5026</t>
  </si>
  <si>
    <t>1466-5034</t>
  </si>
  <si>
    <t>10.1099/ijsem.0.002096</t>
  </si>
  <si>
    <t>WOS:000417836100021</t>
  </si>
  <si>
    <t>Rizo, EZC; Gu, YL; Papa, RDS; Dumont, HJ; Han, BP</t>
  </si>
  <si>
    <t>Rizo, Eric Zeus C.; Gu, Yangliang; Papa, Rey Donne S.; Dumont, Henri J.; Han, Bo-Ping</t>
  </si>
  <si>
    <t>Identifying functional groups and ecological roles of tropical and subtropical freshwater Cladocera in Asia</t>
  </si>
  <si>
    <t>10.1007/s10750-017-3199-y</t>
  </si>
  <si>
    <t>WOS:000405720000006</t>
  </si>
  <si>
    <t>Stiers, I; Triest, L</t>
  </si>
  <si>
    <t>Stiers, Iris; Triest, Ludwig</t>
  </si>
  <si>
    <t>Impact of non-native invasive plant species cover on phytoplankton and zooplankton communities in temperate ponds</t>
  </si>
  <si>
    <t>AQUATIC INVASIONS</t>
  </si>
  <si>
    <t>Stiers, Iris/JYQ-1075-2024</t>
  </si>
  <si>
    <t>Triest, Ludwig/0000-0002-4946-9614; Stiers, Iris/0000-0002-0367-1315</t>
  </si>
  <si>
    <t>1798-6540</t>
  </si>
  <si>
    <t>1818-5487</t>
  </si>
  <si>
    <t>10.3391/ai.2017.12.3.11</t>
  </si>
  <si>
    <t>WOS:000413823900011</t>
  </si>
  <si>
    <t>Yang, D; Park, S</t>
  </si>
  <si>
    <t>Yang, Dongwoo; Park, Sangkyu</t>
  </si>
  <si>
    <t>Freshwater anostracan, Branchinella kugenumaensis, as a potential controlling consumer species on toxic cyanobacteria Microcystis aeruginosa</t>
  </si>
  <si>
    <t>Park, Sangkyu/0000-0003-3049-0728</t>
  </si>
  <si>
    <t>10.1007/s10452-017-9628-1</t>
  </si>
  <si>
    <t>WOS:000408340600009</t>
  </si>
  <si>
    <t>Fouilland, E; Trottet, A; Alves-de-Souza, C; Bonnet, D; Bouvier, T; Bouvy, M; Boyer, S; Guillou, L; Hatey, E; Jing, H; Leboulanger, C; Le Floc'h, E; Liu, H; Mas, S; Mostajir, B; Nouguier, J; Pecqueur, D; Rochelle-Newall, E; Roques, C; Salles, C; Tournoud, MG; Vasseur, C; Vidussi, F</t>
  </si>
  <si>
    <t>Fouilland, E.; Trottet, A.; Alves-de-Souza, C.; Bonnet, D.; Bouvier, T.; Bouvy, M.; Boyer, S.; Guillou, L.; Hatey, E.; Jing, H.; Leboulanger, C.; Le Floc'h, E.; Liu, H.; Mas, S.; Mostajir, B.; Nouguier, J.; Pecqueur, D.; Rochelle-Newall, E.; Roques, C.; Salles, C.; Tournoud, M. -G.; Vasseur, C.; Vidussi, F.</t>
  </si>
  <si>
    <t>Significant Change in Marine Plankton Structure and Carbon Production After the Addition of River Water in a Mesocosm Experiment</t>
  </si>
  <si>
    <t>10.1007/s00248-017-0962-6</t>
  </si>
  <si>
    <t>WOS:000404927500004</t>
  </si>
  <si>
    <t>Sendra, M; Yeste, PM; Moreno-Garrido, I; Gatica, JM; Blasco, J</t>
  </si>
  <si>
    <t>Sendra, M.; Yeste, P. M.; Moreno-Garrido, I.; Gatica, J. M.; Blasco, J.</t>
  </si>
  <si>
    <t>CeO2 NPs, toxic or protective to phytoplankton? Charge of nanoparticles and cell wall as factors which cause changes in cell complexity</t>
  </si>
  <si>
    <t>Gatica, José M./K-8561-2015; Blasco, Julian/A-5319-2008; Sendra, Marta/GOP-3022-2022; Yeste, Pili/B-4039-2012</t>
  </si>
  <si>
    <t>10.1016/j.scitotenv.2017.03.007</t>
  </si>
  <si>
    <t>WOS:000399511800032</t>
  </si>
  <si>
    <t>Neretina, AN; Kotov, AA</t>
  </si>
  <si>
    <t>Neretina, Anna N.; Kotov, Alexey A.</t>
  </si>
  <si>
    <t>Old World-New World differentiation of so-called circumtropical taxa: the case of rare genus Grimaldina Richard, 1892 (Branchiopoda: Cladocera: Macrothricidae)</t>
  </si>
  <si>
    <t>Kotov, Alexey A./B-1549-2010; Neretina, Anna/A-4377-2017</t>
  </si>
  <si>
    <t>Kotov, Alexey A./0000-0002-8863-6438; Neretina, Anna/0000-0002-6876-079X</t>
  </si>
  <si>
    <t>JUL 12</t>
  </si>
  <si>
    <t>10.11646/zootaxa.4291.2.4</t>
  </si>
  <si>
    <t>WOS:000405166200004</t>
  </si>
  <si>
    <t>Carey, CC; Brown, BL; Cottingham, KL</t>
  </si>
  <si>
    <t>Carey, Cayelan C.; Brown, Bryan L.; Cottingham, Kathryn L.</t>
  </si>
  <si>
    <t>The cyanobacterium Gloeotrichia echinulata increases the stability and network complexity of phytoplankton communities</t>
  </si>
  <si>
    <t>Brown, Bryan L/D-9726-2014; Cottingham, Kathryn L./AAV-3934-2021</t>
  </si>
  <si>
    <t>Cottingham, Kathryn L./0000-0003-3169-5047; Brown, Bryan/0000-0003-4837-7117</t>
  </si>
  <si>
    <t>e01830</t>
  </si>
  <si>
    <t>10.1002/ecs2.1830</t>
  </si>
  <si>
    <t>WOS:000406332400006</t>
  </si>
  <si>
    <t>Cressler, CE; Bengtson, S; Nelson, WA</t>
  </si>
  <si>
    <t>Cressler, Clayton E.; Bengtson, Stefan; Nelson, William A.</t>
  </si>
  <si>
    <t>Unexpected Nongenetic Individual Heterogeneity and Trait Covariance in Daphnia and Its Consequences for Ecological and Evolutionary Dynamics</t>
  </si>
  <si>
    <t>Nelson, William A/D-1405-2013</t>
  </si>
  <si>
    <t>Cressler, Clayton/0000-0002-6281-2798</t>
  </si>
  <si>
    <t>E13</t>
  </si>
  <si>
    <t>E27</t>
  </si>
  <si>
    <t>10.1086/691779</t>
  </si>
  <si>
    <t>WOS:000403565000003</t>
  </si>
  <si>
    <t>Santos-Medrano, GE; Robles-Vargas, D; Hernández-Flores, S; Rico-Martínez, R</t>
  </si>
  <si>
    <t>Emilio Santos-Medrano, Gustavo; Robles-Vargas, Daniel; Hernandez-Flores, Sarai; Rico-Martinez, Roberto</t>
  </si>
  <si>
    <t>Life table demography of Asplanchna brightwellii Gosse, 1850 fed with five different prey items</t>
  </si>
  <si>
    <t>10.1007/s10750-016-3069-z</t>
  </si>
  <si>
    <t>WOS:000403357600014</t>
  </si>
  <si>
    <t>Lokko, K; Virro, T; Kotta, J</t>
  </si>
  <si>
    <t>Lokko, Kulli; Virro, Taavi; Kotta, Jonne</t>
  </si>
  <si>
    <t>Seasonal variability in the structure and functional diversity of psammic rotifer communities: role of environmental parameters</t>
  </si>
  <si>
    <t>10.1007/s10750-016-2923-3</t>
  </si>
  <si>
    <t>WOS:000403357600024</t>
  </si>
  <si>
    <t>Olofsson, M; Karlberg, M; Lage, S; Ploug, H</t>
  </si>
  <si>
    <t>Olofsson, Malin; Karlberg, Maria; Lage, Sandra; Ploug, Helle</t>
  </si>
  <si>
    <t>Phytoplankton community composition and primary production in the tropical tidal ecosystem, Maputo Bay (the Indian Ocean)</t>
  </si>
  <si>
    <t>Lage, Sandra/IWV-1276-2023; Lage, Sandra/AAH-9309-2019</t>
  </si>
  <si>
    <t>10.1016/j.seares.2017.05.007</t>
  </si>
  <si>
    <t>WOS:000404703600002</t>
  </si>
  <si>
    <t>Frenken, T; Wierenga, J; Gsell, AS; van Donk, E; Rohrlack, T; Van de Waal, DB</t>
  </si>
  <si>
    <t>Frenken, Thijs; Wierenga, Joren; Gsell, Alena S.; van Donk, Ellen; Rohrlack, Thomas; Van de Waal, Dedmer B.</t>
  </si>
  <si>
    <t>Changes in N:P Supply Ratios Affect the Ecological Stoichiometry of a Toxic Cyanobacterium and Its Fungal Parasite</t>
  </si>
  <si>
    <t>JUN 6</t>
  </si>
  <si>
    <t>10.3389/fmicb.2017.01015</t>
  </si>
  <si>
    <t>WOS:000402699800001</t>
  </si>
  <si>
    <t>Armengol, L; Franchy, G; Ojeda, A; Santana-del Pino, A; Hernández-León, S</t>
  </si>
  <si>
    <t>Armengol, Laia; Franchy, Gara; Ojeda, Alicia; Santana-del Pino, Angelo; Hernandez-Leon, Santiago</t>
  </si>
  <si>
    <t>Effects of copepods on natural microplankton communities: do they exert top-down control?</t>
  </si>
  <si>
    <t>MARINE BIOLOGY</t>
  </si>
  <si>
    <t>Hernández-León, Santiago/M-2563-2014; Santana, Angelo/H-6012-2011; Armengol, Laia/AAX-9718-2021</t>
  </si>
  <si>
    <t>Santana, Angelo/0000-0002-6513-4814; Armengol, Laia/0000-0002-0479-5571; Hernandez-Leon, Santiago/0000-0002-3085-4969</t>
  </si>
  <si>
    <t>0025-3162</t>
  </si>
  <si>
    <t>1432-1793</t>
  </si>
  <si>
    <t>10.1007/s00227-017-3165-2</t>
  </si>
  <si>
    <t>WOS:000403083000016</t>
  </si>
  <si>
    <t>Duan, WY; Meng, FP; Lin, YF; Wang, GS</t>
  </si>
  <si>
    <t>Duan, Weiyan; Meng, Fanping; Lin, Yufei; Wang, Guoshan</t>
  </si>
  <si>
    <t>Toxicological effects of phenol on four marine microalgae</t>
  </si>
  <si>
    <t>ENVIRONMENTAL TOXICOLOGY AND PHARMACOLOGY</t>
  </si>
  <si>
    <t>duan, weiyan/0000-0002-0660-1750</t>
  </si>
  <si>
    <t>1382-6689</t>
  </si>
  <si>
    <t>1872-7077</t>
  </si>
  <si>
    <t>10.1016/j.etap.2017.04.006</t>
  </si>
  <si>
    <t>WOS:000403735400022</t>
  </si>
  <si>
    <t>Gianuca, AT; Declerck, SAJ; Cadotte, MW; Souffreau, C; De Bie, T; De Meester, L</t>
  </si>
  <si>
    <t>Gianuca, Andros T.; Declerck, Steven A. J.; Cadotte, Marc W.; Souffreau, Caroline; De Bie, Tom; De Meester, Luc</t>
  </si>
  <si>
    <t>Integrating trait and phylogenetic distances to assess scale-dependent community assembly processes</t>
  </si>
  <si>
    <t>10.1111/ecog.02263</t>
  </si>
  <si>
    <t>WOS:000403075500007</t>
  </si>
  <si>
    <t>Hayden, B; Myllykangas, JP; Rolls, RJ; Kahilainen, KK</t>
  </si>
  <si>
    <t>Hayden, Brian; Myllykangas, Jukka-Pekka; Rolls, Robert J.; Kahilainen, Kimmo K.</t>
  </si>
  <si>
    <t>Climate and productivity shape fish and invertebrate community structure in subarctic lakes</t>
  </si>
  <si>
    <t>Rolls, Rob/O-3356-2014</t>
  </si>
  <si>
    <t>10.1111/fwb.12919</t>
  </si>
  <si>
    <t>WOS:000400571200003</t>
  </si>
  <si>
    <t>Mozsár, A; Specziár, A; Battonyai, I; Borics, G; Görgényi, J; Horváth, H; Présing, M; G-Tóth, L; Vitál, Z; Boros, G</t>
  </si>
  <si>
    <t>Mozsar, Attila; Specziar, Andras; Battonyai, Izabella; Borics, Gabor; Gorgenyi, Judit; Horvath, Hajnalka; Presing, Matyas; G-Toth, Laszlo; Vital, Zoltan; Boros, Gergely</t>
  </si>
  <si>
    <t>Influence of environmental factors and individual traits on the diet of non-native hybrid bigheaded carp (Hypophthalmichthys molitrix x H-nobilis) in Lake Balaton, Hungary</t>
  </si>
  <si>
    <t>Specziár, András/0000-0001-6341-636X;</t>
  </si>
  <si>
    <t>10.1007/s10750-017-3137-z</t>
  </si>
  <si>
    <t>WOS:000401474400021</t>
  </si>
  <si>
    <t>Pernthaler, J</t>
  </si>
  <si>
    <t>Pernthaler, Jakob</t>
  </si>
  <si>
    <t>Competition and niche separation of pelagic bacteria in freshwater habitats</t>
  </si>
  <si>
    <t>Pernthaler, Jakob/A-2257-2008</t>
  </si>
  <si>
    <t>Pernthaler, Jakob/0000-0001-7558-909X</t>
  </si>
  <si>
    <t>10.1111/1462-2920.13742</t>
  </si>
  <si>
    <t>WOS:000404007700007</t>
  </si>
  <si>
    <t>Yang, JH; Zhang, XW; Xie, YW; Song, C; Zhang, Y; Yu, HX; Burton, GA</t>
  </si>
  <si>
    <t>Yang, Jianghua; Zhang, Xiaowei; Xie, Yuwei; Song, Chao; Zhang, Yong; Yu, Hongxia; Burton, G. Allen</t>
  </si>
  <si>
    <t>Zooplankton Community Profiling in a Eutrophic Freshwater Ecosystem-Lake Tai Basin by DNA Metabarcoding</t>
  </si>
  <si>
    <t>zhang, xiaowei/GQH-5387-2022; Xie, Yuwei/CAI-7227-2022; Zhang, Xiaowei/I-2259-2012; Burton, Glenn/Q-9714-2016</t>
  </si>
  <si>
    <t>Xie, Yuwei/0000-0001-5652-6413; Zhang, Xiaowei/0000-0001-8974-9963; Burton, Glenn/0000-0002-8660-6294</t>
  </si>
  <si>
    <t>MAY 11</t>
  </si>
  <si>
    <t>10.1038/s41598-017-01808-y</t>
  </si>
  <si>
    <t>WOS:000400959000040</t>
  </si>
  <si>
    <t>Narwani, A; Bentlage, B; Alexandrou, MA; Fritschie, KJ; Delwiche, C; Oakley, TH; Cardinale, BJ</t>
  </si>
  <si>
    <t>Narwani, Anita; Bentlage, Bastian; Alexandrou, Markos A.; Fritschie, Keith J.; Delwiche, Charles; Oakley, Todd H.; Cardinale, Bradley J.</t>
  </si>
  <si>
    <t>Ecological interactions and coexistence are predicted by gene expression similarity in freshwater green algae</t>
  </si>
  <si>
    <t>Delwiche, Charles Francis/0000-0001-7854-8584; Oakley, Todd/0000-0002-4478-915X; Narwani, Anita/0000-0003-4561-0163</t>
  </si>
  <si>
    <t>10.1111/1365-2745.12759</t>
  </si>
  <si>
    <t>WOS:000400594500003</t>
  </si>
  <si>
    <t>Vadrucci, MR; Barbone, E; Ungaro, N; Romano, A; Bucci, R</t>
  </si>
  <si>
    <t>Vadrucci, M. R.; Barbone, E.; Ungaro, N.; Romano, A.; Bucci, R.</t>
  </si>
  <si>
    <t>Application of taxonomic and morpho-functional properties of phytoplankton communities to water quality assessment for artificial lakes in the Mediterranean EcoregionaEuro</t>
  </si>
  <si>
    <t>10.1093/plankt/fbx011</t>
  </si>
  <si>
    <t>WOS:000402613800015</t>
  </si>
  <si>
    <t>Aránguiz-Acuña, A; Pérez-Portilla, P</t>
  </si>
  <si>
    <t>Aranguiz-Acuna, Adriana; Perez-Portilla, Pablo</t>
  </si>
  <si>
    <t>Metal stress in zooplankton diapause production: post-hatching response</t>
  </si>
  <si>
    <t>Aranguiz-Acuna, Adriana/0000-0002-9409-1147</t>
  </si>
  <si>
    <t>10.1007/s10646-017-1766-7</t>
  </si>
  <si>
    <t>WOS:000399817400005</t>
  </si>
  <si>
    <t>Hempson, TN; Graham, NAJ; MacNeil, MA; Williamson, DH; Jones, GP; Almany, GR</t>
  </si>
  <si>
    <t>Hempson, Tessa N.; Graham, Nicholas A. J.; MacNeil, M. Aaron; Williamson, David H.; Jones, Geoffrey P.; Almany, Glenn R.</t>
  </si>
  <si>
    <t>Coral reef mesopredators switch prey, shortening food chains, in response to habitat degradation</t>
  </si>
  <si>
    <t>10.1002/ece3.2805</t>
  </si>
  <si>
    <t>WOS:000399737500015</t>
  </si>
  <si>
    <t>Ho, JC; Stumpf, RP; Bridgeman, TB; Michalak, AM</t>
  </si>
  <si>
    <t>Ho, Jeff C.; Stumpf, Richard P.; Bridgeman, Thomas B.; Michalak, Anna M.</t>
  </si>
  <si>
    <t>Using Landsat to extend the historical record of lacustrine phytoplankton blooms: A Lake Erie case study</t>
  </si>
  <si>
    <t>REMOTE SENSING OF ENVIRONMENT</t>
  </si>
  <si>
    <t>Michalak, Anna M./KBA-4622-2024; Stumpf, Richard/L-5237-2019</t>
  </si>
  <si>
    <t>Stumpf, Richard/0000-0001-5531-6860</t>
  </si>
  <si>
    <t>0034-4257</t>
  </si>
  <si>
    <t>1879-0704</t>
  </si>
  <si>
    <t>10.1016/j.rse.2016.12.013</t>
  </si>
  <si>
    <t>WOS:000397360500021</t>
  </si>
  <si>
    <t>Bartsch, MR; Bartsch, LA; Richardson, WB; Vallazza, JM; Lafrancois, BM</t>
  </si>
  <si>
    <t>Bartsch, Michelle R.; Bartsch, Lynn A.; Richardson, William B.; Vallazza, Jon M.; Lafrancois, Brenda Moraska</t>
  </si>
  <si>
    <t>Effects of food resources on the fatty acid composition, growth and survival of freshwater mussels</t>
  </si>
  <si>
    <t>PLOS ONE</t>
  </si>
  <si>
    <t>Bartsch, Lynn/0000-0002-1483-4845; Bartsch, Michelle/0000-0002-9571-5564</t>
  </si>
  <si>
    <t>1932-6203</t>
  </si>
  <si>
    <t>MAR 7</t>
  </si>
  <si>
    <t>e0173419</t>
  </si>
  <si>
    <t>10.1371/journal.pone.0173419</t>
  </si>
  <si>
    <t>WOS:000396060600030</t>
  </si>
  <si>
    <t>Bramburger, AJ; Reavie, ED; Sgro, GV; Estepp, LR; Chraïbi, VLS; Pillsbury, RW</t>
  </si>
  <si>
    <t>Bramburger, A. J.; Reavie, E. D.; Sgro, G. V.; Estepp, L. R.; Chraibi, V. L. Shaw; Pillsbury, R. W.</t>
  </si>
  <si>
    <t>Decreases in diatom cell size during the 20th century in the Laurentian Great Lakes: a response to warming waters?</t>
  </si>
  <si>
    <t>Reavie, Euan/0000-0001-8871-5809</t>
  </si>
  <si>
    <t>10.1093/plankt/fbx009</t>
  </si>
  <si>
    <t>WOS:000397979400004</t>
  </si>
  <si>
    <t>Laske, SM; Rosenberger, AE; Kane, WJ; Wipfli, MS; Zimmerman, CE</t>
  </si>
  <si>
    <t>Laske, Sarah M.; Rosenberger, Amanda E.; Kane, William J.; Wipfli, Mark S.; Zimmerman, Christian E.</t>
  </si>
  <si>
    <t>Top-down control of invertebrates by Ninespine Stickleback in Arctic ponds</t>
  </si>
  <si>
    <t>10.1086/690675</t>
  </si>
  <si>
    <t>WOS:000394633500011</t>
  </si>
  <si>
    <t>Kang, JK; Thibert-Plante, X</t>
  </si>
  <si>
    <t>Kang, Jung Koo; Thibert-Plante, Xavier</t>
  </si>
  <si>
    <t>Eco-evolution in size-structured ecosystems: simulation case study of rapid morphological changes in alewife</t>
  </si>
  <si>
    <t>BMC EVOLUTIONARY BIOLOGY</t>
  </si>
  <si>
    <t>Thibert-Plante, Xavier/E-5366-2010</t>
  </si>
  <si>
    <t>Kang, Jung koo/0000-0002-9694-3710</t>
  </si>
  <si>
    <t>1471-2148</t>
  </si>
  <si>
    <t>FEB 27</t>
  </si>
  <si>
    <t>10.1186/s12862-017-0912-4</t>
  </si>
  <si>
    <t>WOS:000397335900001</t>
  </si>
  <si>
    <t>Burnet, JB; Faraj, T; Cauchie, HM; Joaquim-Justo, C; Servais, P; Prévost, M; Dorner, SM</t>
  </si>
  <si>
    <t>Burnet, Jean-Baptiste; Faraj, Tarek; Cauchie, Henry-Michel; Joaquim-Justo, Celia; Servais, Pierre; Prevost, Michele; Dorner, Sarah M.</t>
  </si>
  <si>
    <t>How does the cladoceran Daphnia pulex affect the fate of Escherichia coli in water?</t>
  </si>
  <si>
    <t>Burnet, Jean-Baptiste/HKN-6662-2023; prevost, michele/HOC-8215-2023; Cauchie, Henry-Michel/K-8123-2014</t>
  </si>
  <si>
    <t>Burnet, Jean-Baptiste/0000-0002-6126-0338; Cauchie, Henry-Michel/0000-0003-4780-6100</t>
  </si>
  <si>
    <t>e0171705</t>
  </si>
  <si>
    <t>10.1371/journal.pone.0171705</t>
  </si>
  <si>
    <t>WOS:000393712500061</t>
  </si>
  <si>
    <t>Oh, HJ; Jeong, HG; Nam, GS; Oda, Y; Dai, W; Lee, EH; Kong, D; Hwang, SJ; Chang, KH</t>
  </si>
  <si>
    <t>Oh, Hye-Ji; Jeong, Hyun-Gi; Nam, Gui-Sook; Oda, Yusuke; Dai, Wei; Lee, Eui-Haeng; Kong, Dongsoo; Hwang, Soon-Jin; Chang, Kwang-Hyeon</t>
  </si>
  <si>
    <t>Comparison of taxon-based and trophi-based response patterns of rotifer community to water quality: applicability of the rotifer functional group as an indicator of water quality</t>
  </si>
  <si>
    <t>ANIMAL CELLS AND SYSTEMS</t>
  </si>
  <si>
    <t>Hyun Gi, Jeong/HTL-9179-2023</t>
  </si>
  <si>
    <t>1976-8354</t>
  </si>
  <si>
    <t>2151-2485</t>
  </si>
  <si>
    <t>10.1080/19768354.2017.1292952</t>
  </si>
  <si>
    <t>WOS:000399657000008</t>
  </si>
  <si>
    <t>Bray, J; O'Brien, J; Harding, JS</t>
  </si>
  <si>
    <t>Bray, Jon; O'Brien, Jon; Harding, Jon S.</t>
  </si>
  <si>
    <t>Production of phosphatase and extracellular stalks as adaptations to phosphorus limitation in Didymosphenia geminata (Bacillariophyceae)</t>
  </si>
  <si>
    <t>Bray, Jonathan/0000-0002-6834-4673</t>
  </si>
  <si>
    <t>10.1007/s10750-016-2851-2</t>
  </si>
  <si>
    <t>WOS:000387484100005</t>
  </si>
  <si>
    <t>Hampton, SE; Galloway, AWE; Powers, SM; Ozersky, T; Woo, KH; Batt, RD; Labou, SG; O'Reilly, CM; Sharma, S; Lottig, NR; Stanley, EH; North, RL; Stockwell, JD; Adrian, R; Weyhenmeyer, GA; Arvola, L; Baulch, HM; Bertani, I; Bowman, LL; Carey, CC; Catalan, J; Colom-Montero, W; Domine, LM; Felip, M; Granados, I; Gries, C; Grossart, HP; Haberman, J; Haldna, M; Hayden, B; Higgins, SN; Jolley, JC; Kahilainen, KK; Kaup, E; Kehoe, MJ; MacIntyre, S; Mackay, AW; Mariash, HL; Mckay, RM; Nixdorf, B; Noges, P; Noges, T; Palmer, M; Pierson, DC; Post, DM; Pruett, MJ; Rautio, M; Read, JS; Roberts, SL; Rücker, J; Sadro, S; Silow, EA; Smith, DE; Sterner, RW; Swann, GEA; Timofeyev, MA; Toro, M; Twiss, MR; Vogt, RJ; Watson, SB; Whiteford, EJ; Xenopoulos, MA</t>
  </si>
  <si>
    <t>Hampton, Stephanie E.; Galloway, Aaron W. E.; Powers, Stephen M.; Ozersky, Ted; Woo, Kara H.; Batt, Ryan D.; Labou, Stephanie G.; O'Reilly, Catherine M.; Sharma, Sapna; Lottig, Noah R.; Stanley, Emily H.; North, Rebecca L.; Stockwell, Jason D.; Adrian, Rita; Weyhenmeyer, Gesa A.; Arvola, Lauri; Baulch, Helen M.; Bertani, Isabella; Bowman, Larry L., Jr.; Carey, Cayelan C.; Catalan, Jordi; Colom-Montero, William; Domine, Leah M.; Felip, Marisol; Granados, Ignacio; Gries, Corinna; Grossart, Hans-Peter; Haberman, Juta; Haldna, Marina; Hayden, Brian; Higgins, Scott N.; Jolley, Jeff C.; Kahilainen, Kimmo K.; Kaup, Enn; Kehoe, Michael J.; MacIntyre, Sally; Mackay, Anson W.; Mariash, Heather L.; Mckay, Robert M.; Nixdorf, Brigitte; Noges, Peeter; Noges, Tiina; Palmer, Michelle; Pierson, Don C.; Post, David M.; Pruett, Matthew J.; Rautio, Milla; Read, Jordan S.; Roberts, Sarah L.; Ruecker, Jacqueline; Sadro, Steven; Silow, Eugene A.; Smith, Derek E.; Sterner, Robert W.; Swann, George E. A.; Timofeyev, Maxim A.; Toro, Manuel; Twiss, Michael R.; Vogt, Richard J.; Watson, Susan B.; Whiteford, Erika J.; Xenopoulos, Marguerite A.</t>
  </si>
  <si>
    <t>Ecology under lake ice</t>
  </si>
  <si>
    <t>10.1111/ele.12699</t>
  </si>
  <si>
    <t>WOS:000390026200010</t>
  </si>
  <si>
    <t>Jin, P; Duarte, CM; Agusti, S</t>
  </si>
  <si>
    <t>Jin, Peng; Duarte, Carlos M.; Agusti, Susana</t>
  </si>
  <si>
    <t>Contrasting Responses of Marine and Freshwater Photosynthetic Organisms to UVB Radiation: A Meta-Analysis</t>
  </si>
  <si>
    <t>10.3389/fmars.2017.00045</t>
  </si>
  <si>
    <t>WOS:000457690600045</t>
  </si>
  <si>
    <t>Peczula, W; Toporowska, M; Pawlik-Skowronska, B; Koreiviene, J</t>
  </si>
  <si>
    <t>Peczula, Wojciech; Toporowska, Magdalena; Pawlik-Skowronska, Barbara; Koreiviene, Judita</t>
  </si>
  <si>
    <t>An experimental study on the influence of the bloom-forming alga Gonyostomum semen (Raphidophyceae) on cladoceran species Daphnia magna</t>
  </si>
  <si>
    <t>KNOWLEDGE AND MANAGEMENT OF AQUATIC ECOSYSTEMS</t>
  </si>
  <si>
    <t>1961-9502</t>
  </si>
  <si>
    <t>10.1051/kmae/2017006</t>
  </si>
  <si>
    <t>WOS:000399051100015</t>
  </si>
  <si>
    <t>Rubio-Ríos, J; Fenoy, E; Casas, JJ; Moyano, FJ</t>
  </si>
  <si>
    <t>Rubio-Rios, Juan; Fenoy, Encarnacion; Jesus Casas, J.; Javier Moyano, F.</t>
  </si>
  <si>
    <t>Modelling hydrolysis of leaf litter by digestive enzymes of the snail Melanopsis praemorsa: combination of response surface methodology and in vitro assays</t>
  </si>
  <si>
    <t>MARINE AND FRESHWATER BEHAVIOUR AND PHYSIOLOGY</t>
  </si>
  <si>
    <t>1023-6244</t>
  </si>
  <si>
    <t>1029-0362</t>
  </si>
  <si>
    <t>10.1080/10236244.2017.1404429</t>
  </si>
  <si>
    <t>WOS:000424491000001</t>
  </si>
  <si>
    <t>Betini, GS; Roszell, J; Heyland, A; Fryxell, JM</t>
  </si>
  <si>
    <t>Betini, Gustavo S.; Roszell, Jordan; Heyland, Andreas; Fryxell, John M.</t>
  </si>
  <si>
    <t>Calcium interacts with temperature to influence Daphnia movement rates</t>
  </si>
  <si>
    <t>ROYAL SOCIETY OPEN SCIENCE</t>
  </si>
  <si>
    <t>Betini, Gustavo S./C-9551-2018</t>
  </si>
  <si>
    <t>Betini, Gustavo S./0000-0003-0707-4128</t>
  </si>
  <si>
    <t>2054-5703</t>
  </si>
  <si>
    <t>10.1098/rsos.160537</t>
  </si>
  <si>
    <t>WOS:000391731800010</t>
  </si>
  <si>
    <t>Sychrová, E; Priebojová, J; Smutná, M; Nováková, K; Kohoutek, J; Hilscherová, K</t>
  </si>
  <si>
    <t>Sychrova, Eliska; Priebojova, Jana; Smutna, Marie; Novakova, Katerina; Kohoutek, Jiri; Hilscherova, Klara</t>
  </si>
  <si>
    <t>Characterization of total retinoid-like activity of compounds produced by three common phytoplankton species</t>
  </si>
  <si>
    <t>Novakova, Katerina/0000-0003-2502-4669</t>
  </si>
  <si>
    <t>10.1016/j.hal.2016.11.002</t>
  </si>
  <si>
    <t>WOS:000390516200015</t>
  </si>
  <si>
    <t>Poxleitner, M; Trommer, G; Lorenz, P; Stibor, H</t>
  </si>
  <si>
    <t>Poxleitner, Monika; Trommer, Gabriele; Lorenz, Patrick; Stibor, Herwig</t>
  </si>
  <si>
    <t>The effect of increased nitrogen load on phytoplankton in a phosphorus-limited lake</t>
  </si>
  <si>
    <t>10.1111/fwb.12829</t>
  </si>
  <si>
    <t>WOS:000386022200012</t>
  </si>
  <si>
    <t>Rocha, GS; Tonietto, AE; Lombardi, AT; Melao, MDG</t>
  </si>
  <si>
    <t>Rocha, Giseli S.; Tonietto, Alessandra E.; Lombardi, Ana T.; Melao, Maria da G. G.</t>
  </si>
  <si>
    <t>Effect of copper contaminated food on the life cycle and secondary production of Daphnia laevis</t>
  </si>
  <si>
    <t>Rocha, Giseli Swerts/AAC-4121-2022; Melao, Maria da Graca/H-4389-2012</t>
  </si>
  <si>
    <t>Rocha, Giseli Swerts/0000-0002-2251-3494; Melao, Maria da Graca/0000-0002-8411-5088</t>
  </si>
  <si>
    <t>10.1016/j.ecoenv.2016.07.011</t>
  </si>
  <si>
    <t>WOS:000384398800027</t>
  </si>
  <si>
    <t>Woods, LM; Biro, EG; Yang, MX; Smith, KG</t>
  </si>
  <si>
    <t>Woods, Lauren M.; Biro, Elizabeth G.; Yang, Muxi; Smith, Kevin G.</t>
  </si>
  <si>
    <t>Does regional diversity recover after disturbance? A field experiment in constructed ponds</t>
  </si>
  <si>
    <t>Biro, Elizabeth/0000-0003-4762-8594</t>
  </si>
  <si>
    <t>OCT 18</t>
  </si>
  <si>
    <t>e2455</t>
  </si>
  <si>
    <t>10.7717/peerj.2455</t>
  </si>
  <si>
    <t>WOS:000385583100001</t>
  </si>
  <si>
    <t>Leruste, A; Malet, N; Munaron, D; Derolez, V; Hatey, E; Collos, Y; De Wit, R; Bec, B</t>
  </si>
  <si>
    <t>Leruste, A.; Malet, N.; Munaron, D.; Derolez, V.; Hatey, E.; Collos, Y.; De Wit, R.; Bec, B.</t>
  </si>
  <si>
    <t>First steps of ecological restoration in Mediterranean lagoons: Shifts in phytoplankton communities</t>
  </si>
  <si>
    <t>Malet, Nathalie/C-8034-2013; De Wit, Rutger/KBD-4717-2024</t>
  </si>
  <si>
    <t>Munaron, Dominique/0000-0003-0718-284X; Derolez, Valerie/0000-0002-6392-971X; Malet, Nathalie/0000-0003-1922-527X</t>
  </si>
  <si>
    <t>OCT 5</t>
  </si>
  <si>
    <t>10.1016/j.ecss.2016.06.029</t>
  </si>
  <si>
    <t>WOS:000384866900019</t>
  </si>
  <si>
    <t>Arbore, R; Andras, JP; Routtu, J; Ebert, D</t>
  </si>
  <si>
    <t>Arbore, R.; Andras, J. P.; Routtu, J.; Ebert, D.</t>
  </si>
  <si>
    <t>Ecological genetics of sediment browsing behaviour in a planktonic crustacean</t>
  </si>
  <si>
    <t>JOURNAL OF EVOLUTIONARY BIOLOGY</t>
  </si>
  <si>
    <t>Ebert, Dieter/B-5502-2009; Ebert, Dieter/P-6134-2019</t>
  </si>
  <si>
    <t>Ebert, Dieter/0000-0003-2653-3772; Ebert, Dieter/0000-0003-2653-3772; Routtu, Jarkko/0000-0003-4493-7367; Arbore, Roberto/0000-0002-1987-0474</t>
  </si>
  <si>
    <t>1010-061X</t>
  </si>
  <si>
    <t>1420-9101</t>
  </si>
  <si>
    <t>10.1111/jeb.12923</t>
  </si>
  <si>
    <t>WOS:000388311200015</t>
  </si>
  <si>
    <t>Riera, SF; Cohen, RA</t>
  </si>
  <si>
    <t>Riera, Steven F.; Cohen, Risa A.</t>
  </si>
  <si>
    <t>Alkyl polyglucoside compound influences freshwater plankton community structure in floating field mesocosms</t>
  </si>
  <si>
    <t>10.1007/s10646-016-1697-8</t>
  </si>
  <si>
    <t>WOS:000386710800002</t>
  </si>
  <si>
    <t>Uyeda, JC; Harmon, LJ; Blank, CE</t>
  </si>
  <si>
    <t>Uyeda, Josef C.; Harmon, Luke J.; Blank, Carrine E.</t>
  </si>
  <si>
    <t>A Comprehensive Study of Cyanobacterial Morphological and Ecological Evolutionary Dynamics through Deep Geologic Time</t>
  </si>
  <si>
    <t>Harmon, Luke/0000-0002-4985-5750; Uyeda, Josef/0000-0003-4624-9680</t>
  </si>
  <si>
    <t>e0162539</t>
  </si>
  <si>
    <t>10.1371/journal.pone.0162539</t>
  </si>
  <si>
    <t>WOS:000383892100021</t>
  </si>
  <si>
    <t>Wagner, H; Fanesi, A; Wilhelm, C</t>
  </si>
  <si>
    <t>Wagner, Heiko; Fanesi, Andrea; Wilhelm, Christian</t>
  </si>
  <si>
    <t>Freshwater phytoplankton responses to global warming</t>
  </si>
  <si>
    <t>JOURNAL OF PLANT PHYSIOLOGY</t>
  </si>
  <si>
    <t>Wagner, Heiko/ABB-6520-2021</t>
  </si>
  <si>
    <t>Wagner, Heiko/0000-0003-2130-9915; Fanesi, Andrea/0000-0003-1410-3169</t>
  </si>
  <si>
    <t>0176-1617</t>
  </si>
  <si>
    <t>1618-1328</t>
  </si>
  <si>
    <t>10.1016/j.jplph.2016.05.018</t>
  </si>
  <si>
    <t>WOS:000385038100012</t>
  </si>
  <si>
    <t>Scharnweber, K; Strandberg, U; Karlsson, K; Eklöv, P</t>
  </si>
  <si>
    <t>Scharnweber, Kristin; Strandberg, Ursula; Karlsson, Konrad; Eklov, Peter</t>
  </si>
  <si>
    <t>Decrease of Population Divergence in Eurasian Perch (Perca fluviatilis) in Browning Waters: Role of Fatty Acids and Foraging Efficiency</t>
  </si>
  <si>
    <t>SEP 9</t>
  </si>
  <si>
    <t>e0162470</t>
  </si>
  <si>
    <t>10.1371/journal.pone.0162470</t>
  </si>
  <si>
    <t>WOS:000383255900107</t>
  </si>
  <si>
    <t>Breuer, F; Janz, P; Farrelly, E; Ebke, P</t>
  </si>
  <si>
    <t>Breuer, Friederike; Janz, Philipp; Farrelly, Eamonn; Ebke, Peter</t>
  </si>
  <si>
    <t>Seasonality of algal communities in small streams and ditches in temperate regions using delayed fluorescence</t>
  </si>
  <si>
    <t>JOURNAL OF FRESHWATER ECOLOGY</t>
  </si>
  <si>
    <t>0270-5060</t>
  </si>
  <si>
    <t>2156-6941</t>
  </si>
  <si>
    <t>10.1080/02705060.2016.1160846</t>
  </si>
  <si>
    <t>WOS:000384270300008</t>
  </si>
  <si>
    <t>Catania, SVL; Koprivnikar, J; McCauley, SJ</t>
  </si>
  <si>
    <t>Catania, S. V. L.; Koprivnikar, J.; McCauley, S. J.</t>
  </si>
  <si>
    <t>Size-dependent predation alters interactions between parasites and predators</t>
  </si>
  <si>
    <t>CANADIAN JOURNAL OF ZOOLOGY</t>
  </si>
  <si>
    <t>McCauley, Shannon J/G-6619-2015</t>
  </si>
  <si>
    <t>McCauley, Shannon/0000-0001-9649-6693</t>
  </si>
  <si>
    <t>0008-4301</t>
  </si>
  <si>
    <t>1480-3283</t>
  </si>
  <si>
    <t>10.1139/cjz-2016-0088</t>
  </si>
  <si>
    <t>WOS:000383699200004</t>
  </si>
  <si>
    <t>Franey, DS; Brady, AMG; Ecker, CD; Graham, JL; Stelzer, EA; Struffolino, P; Dwyer, DF; Loftin, KA</t>
  </si>
  <si>
    <t>Franey, Donna S.; Brady, Arnie M. G.; Ecker, Christopher D.; Graham, Jennifer L.; Stelzer, Erin A.; Struffolino, Pamela; Dwyer, Daryl F.; Loftin, Keith A.</t>
  </si>
  <si>
    <t>Estimating microcystin levels at recreational sites in western Lake Erie and Ohio</t>
  </si>
  <si>
    <t>10.1016/j.hal.2016.07.003</t>
  </si>
  <si>
    <t>WOS:000384790500004</t>
  </si>
  <si>
    <t>Mantzouki, E; Visser, PM; Bormans, M; Ibelings, BW</t>
  </si>
  <si>
    <t>Mantzouki, Evanthia; Visser, Petra M.; Bormans, Myriam; Ibelings, Bas W.</t>
  </si>
  <si>
    <t>Understanding the key ecological traits of cyanobacteria as a basis for their management and control in changing lakes</t>
  </si>
  <si>
    <t>Ibelings, Bas W/B-4237-2011</t>
  </si>
  <si>
    <t>Bormans, Myriam/0000-0002-4755-6327; Mantzouki, Evanthia/0000-0003-0529-2893; Visser, Petra/0000-0003-3294-1908</t>
  </si>
  <si>
    <t>10.1007/s10452-015-9526-3</t>
  </si>
  <si>
    <t>WOS:000382632100002</t>
  </si>
  <si>
    <t>Valois, AE; Burns, CW</t>
  </si>
  <si>
    <t>Valois, Amanda E.; Burns, Carolyn W.</t>
  </si>
  <si>
    <t>Parasites as prey: Daphnia reduce transmission success of an oomycete brood parasite in the calanoid copepod Boeckella</t>
  </si>
  <si>
    <t>Valois, Amanda/0000-0002-9868-7300</t>
  </si>
  <si>
    <t>SEP-OCT</t>
  </si>
  <si>
    <t>10.1093/plankt/fbw055</t>
  </si>
  <si>
    <t>WOS:000384135000012</t>
  </si>
  <si>
    <t>Toscano, BJ; Rombado, BR; Rudolf, VHW</t>
  </si>
  <si>
    <t>Toscano, Benjamin J.; Rombado, Bianca R.; Rudolf, Volker H. W.</t>
  </si>
  <si>
    <t>Deadly competition and life-saving predation: the potential for alternative stable states in a stage-structured predator-prey system</t>
  </si>
  <si>
    <t>AUG 31</t>
  </si>
  <si>
    <t>10.1098/rspb.2016.1546</t>
  </si>
  <si>
    <t>WOS:000385055600006</t>
  </si>
  <si>
    <t>Eiler, A; Mondav, R; Sinclair, L; Fernandez-Vidal, L; Scofield, DG; Schwientek, P; Martinez-Garcia, M; Torrents, D; McMahon, KD; Andersson, SGE; Stepanauskas, R; Woyke, T; Bertilsson, S</t>
  </si>
  <si>
    <t>Eiler, Alexander; Mondav, Rhiannon; Sinclair, Lucas; Fernandez-Vidal, Leyden; Scofield, Douglas G.; Schwientek, Patrick; Martinez-Garcia, Manuel; Torrents, David; McMahon, Katherine D.; Andersson, Siv G. E.; Stepanauskas, Ramunas; Woyke, Tanja; Bertilsson, Stefan</t>
  </si>
  <si>
    <t>Tuning fresh: radiation through rewiring of central metabolism in streamlined bacteria</t>
  </si>
  <si>
    <t>10.1038/ismej.2015.260</t>
  </si>
  <si>
    <t>WOS:000380959800010</t>
  </si>
  <si>
    <t>Horne, CR; Hirst, AG; Atkinson, D; Neves, A; Kiorboe, T</t>
  </si>
  <si>
    <t>Horne, Curtis R.; Hirst, Andrew G.; Atkinson, David; Neves, Aitana; Kiorboe, Thomas</t>
  </si>
  <si>
    <t>A global synthesis of seasonal temperature-size responses in copepods</t>
  </si>
  <si>
    <t>Kiørboe, Thomas/ABI-4733-2020; Hirst, Andrew G/A-6296-2013; Atkinson, David/Q-6933-2019</t>
  </si>
  <si>
    <t>Kiørboe, Thomas/0000-0002-3265-336X; Atkinson, David/0000-0002-9956-2454; Neves, Aitana/0000-0002-3984-6842; Hirst, Andrew/0000-0001-9132-1886</t>
  </si>
  <si>
    <t>10.1111/geb.12460</t>
  </si>
  <si>
    <t>WOS:000383517000006</t>
  </si>
  <si>
    <t>Hahn, MW; Jezberová, J; Koll, U; Saueressig-Beck, T; Schmidt, J</t>
  </si>
  <si>
    <t>Hahn, Martin W.; Jezberova, Jitka; Koll, Ulrike; Saueressig-Beck, Tanja; Schmidt, Johanna</t>
  </si>
  <si>
    <t>Complete ecological isolation and cryptic diversity in Polynucleobacter bacteria not resolved by 16S rRNA gene sequences</t>
  </si>
  <si>
    <t>Hahn, Martin W./B-9998-2008; Jezberova, Jitka/G-1024-2014</t>
  </si>
  <si>
    <t>Hahn, Martin W./0000-0003-0501-2556; Jezberova, Jitka/0000-0001-5000-9319</t>
  </si>
  <si>
    <t>10.1038/ismej.2015.237</t>
  </si>
  <si>
    <t>WOS:000378292100009</t>
  </si>
  <si>
    <t>Martin-Creuzburg, D; Merkel, P</t>
  </si>
  <si>
    <t>Martin-Creuzburg, Dominik; Merkel, Petra</t>
  </si>
  <si>
    <t>Sterols of freshwater microalgae: potential implications for zooplankton nutrition</t>
  </si>
  <si>
    <t>Martin-Creuzburg, Dominik/0000-0002-4248-0730</t>
  </si>
  <si>
    <t>10.1093/plankt/fbw034</t>
  </si>
  <si>
    <t>WOS:000381692300008</t>
  </si>
  <si>
    <t>Kosobokova, KN; Hirche, HJ</t>
  </si>
  <si>
    <t>Kosobokova, Ksenia Nikolaevna; Hirche, Hans-Juergen</t>
  </si>
  <si>
    <t>A seasonal comparison of zooplankton communities in the Kara Sea - With special emphasis on overwintering traits</t>
  </si>
  <si>
    <t>Kosobokova, Ksenia/P-3363-2014</t>
  </si>
  <si>
    <t>Kosobokova, Ksenia/0000-0002-3039-4480</t>
  </si>
  <si>
    <t>JUN 20</t>
  </si>
  <si>
    <t>10.1016/j.ecss.2016.03.030</t>
  </si>
  <si>
    <t>WOS:000377311100015</t>
  </si>
  <si>
    <t>Princiotta, SD; Smith, BT; Sanders, RW</t>
  </si>
  <si>
    <t>Princiotta, Sarah DeVaul; Smith, Brian T.; Sanders, Robert W.</t>
  </si>
  <si>
    <t>TEMPERATURE-DEPENDENT PHAGOTROPHY AND PHOTOTROPHY IN A MIXOTROPHIC CHRYSOPHYTE</t>
  </si>
  <si>
    <t>Princiotta, Sarah/AAG-8471-2019; Sanders, Robert W./C-1116-2011</t>
  </si>
  <si>
    <t>Princiotta, Sarah/0000-0002-9152-4146; Sanders, Robert W./0000-0001-7264-1059</t>
  </si>
  <si>
    <t>10.1111/jpy.12405</t>
  </si>
  <si>
    <t>WOS:000383590800010</t>
  </si>
  <si>
    <t>Simon, M; López-García, P; Deschamps, P; Restoux, G; Bertolino, P; Moreira, D; Jardillier, L</t>
  </si>
  <si>
    <t>Simon, Marianne; Lopez-Garcia, Purificacion; Deschamps, Philippe; Restoux, Gwendal; Bertolino, Paola; Moreira, David; Jardillier, Ludwig</t>
  </si>
  <si>
    <t>Resilience of Freshwater Communities of Small Microbial Eukaryotes Undergoing Severe Drought Events</t>
  </si>
  <si>
    <t>MAY 30</t>
  </si>
  <si>
    <t>10.3389/fmicb.2016.00812</t>
  </si>
  <si>
    <t>WOS:000376643000001</t>
  </si>
  <si>
    <t>Aránguiz-Acuña, A; Serra, M</t>
  </si>
  <si>
    <t>Aranguiz-Acuna, Adriana; Serra, Manuel</t>
  </si>
  <si>
    <t>Diapause as escape strategy to exposure to toxicants: response of Brachionus calyciforus to arsenic</t>
  </si>
  <si>
    <t>Serra, Manuel/H-7817-2015</t>
  </si>
  <si>
    <t>Serra, Manuel/0000-0003-1731-1529; Aranguiz-Acuna, Adriana/0000-0002-9409-1147</t>
  </si>
  <si>
    <t>10.1007/s10646-016-1629-7</t>
  </si>
  <si>
    <t>WOS:000373743800009</t>
  </si>
  <si>
    <t>Cavalcante, KP; Cardoso, LD; Sussella, R; Becker, V</t>
  </si>
  <si>
    <t>Cavalcante, Kaoli Pereira; Cardoso, Luciana de Souza; Sussella, Rovana; Becker, Vanessa</t>
  </si>
  <si>
    <t>Towards a comprehension of Ceratium (Dinophyceae) invasion in Brazilian freshwaters: autecology of C. furcoides in subtropical reservoirs</t>
  </si>
  <si>
    <t>10.1007/s10750-015-2638-x</t>
  </si>
  <si>
    <t>WOS:000372798500019</t>
  </si>
  <si>
    <t>Charette, C; Derry, AM</t>
  </si>
  <si>
    <t>Charette, Cristina; Derry, Alison M.</t>
  </si>
  <si>
    <t>Climate alters intraspecific variation in copepod effect traits through pond food webs</t>
  </si>
  <si>
    <t>Charette, Cristina/0000-0002-4117-1530; Derry, Alison/0000-0001-5768-8027</t>
  </si>
  <si>
    <t>10.1890/15-0794.1</t>
  </si>
  <si>
    <t>WOS:000375566800013</t>
  </si>
  <si>
    <t>Choi, JY; Kim, SK; La, GH; Chang, KH; Kim, DK; Jeong, KY; Park, MS; Joo, GJ; Kim, HW; Jeong, KS</t>
  </si>
  <si>
    <t>Choi, Jong-Yun; Kim, Seong-Ki; La, Geung-Hwan; Chang, Kwang-Hyeon; Kim, Dong-Kyun; Jeong, Keon-Young; Park, Min S.; Joo, Gea-Jae; Kim, Hyun-Woo; Jeong, Kwang-Seuk</t>
  </si>
  <si>
    <t>Effects of algal food quality on sexual reproduction of Daphnia magna</t>
  </si>
  <si>
    <t>CHOI, Jong-Yun/AAT-6338-2020; 정, 광석/ITT-0455-2023</t>
  </si>
  <si>
    <t>10.1002/ece3.2058</t>
  </si>
  <si>
    <t>WOS:000376149400016</t>
  </si>
  <si>
    <t>Searle, CL; Shaw, CL; Hunsberger, KK; Prado, M; Duffy, MA</t>
  </si>
  <si>
    <t>Searle, Catherine L.; Shaw, Clara L.; Hunsberger, Katherine K.; Prado, Magen; Duffy, Meghan A.</t>
  </si>
  <si>
    <t>Salinization decreases population densities of the freshwater crustacean, Daphnia dentifera</t>
  </si>
  <si>
    <t>Duffy, Meghan/0000-0002-8142-0802; Searle, Catherine/0000-0002-6607-2299</t>
  </si>
  <si>
    <t>10.1007/s10750-015-2579-4</t>
  </si>
  <si>
    <t>WOS:000372555100012</t>
  </si>
  <si>
    <t>Shi, HB; Chen, GJ; Lu, HB; Wang, JY; Huang, LP; Wang, L; Zhao, SY; Liu, XH</t>
  </si>
  <si>
    <t>Shi, Haibin; Chen, Guangjie; Lu, Huibin; Wang, Jiaoyuan; Huang, Linpei; Wang, Lei; Zhao, Shuaiying; Liu, Xiaohai</t>
  </si>
  <si>
    <t>Regional pattern of Bosmina responses to fish introduction and eutrophication in four large lakes from Southwest China</t>
  </si>
  <si>
    <t>Chen, Guangjie/0000-0001-8035-6565; Zhao, Shuai-Ying/0000-0001-6395-3421</t>
  </si>
  <si>
    <t>10.1093/plankt/fbv118</t>
  </si>
  <si>
    <t>WOS:000377299000005</t>
  </si>
  <si>
    <t>Alahuhta, J; Aroviita, J</t>
  </si>
  <si>
    <t>Alahuhta, Janne; Aroviita, Jukka</t>
  </si>
  <si>
    <t>Quantifying the relative importance of natural variables, human disturbance and spatial processes in ecological status indicators of boreal lakes</t>
  </si>
  <si>
    <t>Alahuhta, Janne/AAD-8143-2019; Aroviita, Jukka/GQP-6335-2022</t>
  </si>
  <si>
    <t>Alahuhta, Janne/0000-0001-5514-9361; Aroviita, Jukka/0000-0003-3330-0731</t>
  </si>
  <si>
    <t>10.1016/j.ecolind.2015.12.003</t>
  </si>
  <si>
    <t>WOS:000370906000025</t>
  </si>
  <si>
    <t>Ger, KA; Urrutia-Cordero, P; Frost, PC; Hansson, LA; Sarnelle, O; Wilson, AE; Lürling, M</t>
  </si>
  <si>
    <t>Ger, Kemal Ali; Urrutia-Cordero, Pablo; Frost, Paul C.; Hansson, Lars-Anders; Sarnelle, Orlando; Wilson, Alan E.; Lurling, Miguel</t>
  </si>
  <si>
    <t>The interaction between cyanobacteria and zooplankton in a more eutrophic world</t>
  </si>
  <si>
    <t>10.1016/j.hal.2015.12.005</t>
  </si>
  <si>
    <t>WOS:000377319600010</t>
  </si>
  <si>
    <t>Hébert, MP; Beisner, BE; Maranger, R</t>
  </si>
  <si>
    <t>Hebert, Marie-Pier; Beisner, Beatrix E.; Maranger, Roxane</t>
  </si>
  <si>
    <t>A meta-analysis of zooplankton functional traits influencing ecosystem function</t>
  </si>
  <si>
    <t>10.1890/15-1084.1</t>
  </si>
  <si>
    <t>WOS:000373923100025</t>
  </si>
  <si>
    <t>Hebert, MP; Beisner, BE; Maranger, R</t>
  </si>
  <si>
    <t>A compilation of quantitative functional traits for marine and freshwater crustacean zooplankton</t>
  </si>
  <si>
    <t>Hébert, Marie-Pier/AAJ-6769-2020</t>
  </si>
  <si>
    <t>Hebert, Marie-Pier/0000-0003-4733-0974; Maranger, Roxane/0000-0002-2509-4678</t>
  </si>
  <si>
    <t>10.1890/151275.1/suppinfo</t>
  </si>
  <si>
    <t>WOS:000630183100001</t>
  </si>
  <si>
    <t>Warren, JD; Leach, TH; Williamson, CE</t>
  </si>
  <si>
    <t>Warren, Joseph D.; Leach, Taylor H.; Williamson, Craig E.</t>
  </si>
  <si>
    <t>Measuring the distribution, abundance, and biovolume of zooplankton in an oligotrophic freshwater lake with a 710 kHz scientific echosounder</t>
  </si>
  <si>
    <t>Warren, Joseph/Y-4078-2019</t>
  </si>
  <si>
    <t>10.1002/lom3.10084</t>
  </si>
  <si>
    <t>WOS:000374774300001</t>
  </si>
  <si>
    <t>Colina, M; Calliari, D; Carballo, C; Kruk, C</t>
  </si>
  <si>
    <t>Colina, Maite; Calliari, Danilo; Carballo, Carmela; Kruk, Carla</t>
  </si>
  <si>
    <t>A trait-based approach to summarize zooplankton-phytoplankton interactions in freshwaters</t>
  </si>
  <si>
    <t>Colina, Maite/AAI-1807-2020</t>
  </si>
  <si>
    <t>Colina, Maite/0000-0001-9809-986X; Kruk, Carla/0000-0003-0760-1186</t>
  </si>
  <si>
    <t>10.1007/s10750-015-2503-y</t>
  </si>
  <si>
    <t>WOS:000369001000018</t>
  </si>
  <si>
    <t>Radchuk, V; De Laender, F; Van den Brink, PJ; Grimm, V</t>
  </si>
  <si>
    <t>Radchuk, Viktoriia; De Laender, Frederik; Van den Brink, Paul J.; Grimm, Volker</t>
  </si>
  <si>
    <t>Biodiversity and ecosystem functioning decoupled: invariant ecosystem functioning despite non-random reductions in consumer diversity</t>
  </si>
  <si>
    <t>De Laender, Frederik/D-2783-2014; Radchuk, Viktoriia/C-6665-2013; van den brink, Paul/AAT-7144-2020</t>
  </si>
  <si>
    <t>De Laender, Frederik/0000-0002-4060-973X; Radchuk, Viktoriia/0000-0003-3072-0095; van den brink, Paul/0000-0002-7241-4347</t>
  </si>
  <si>
    <t>10.1111/oik.02220</t>
  </si>
  <si>
    <t>WOS:000371222300016</t>
  </si>
  <si>
    <t>Segovia, BT; Domingues, CD; Meira, BR; Lansac-Toha, FM; Fermani, P; Unrein, F; Lobao, LM; Rolando, F; Velho, LFM; Sarmento, H</t>
  </si>
  <si>
    <t>Segovia, Bianca T.; Domingues, Carolina D.; Meira, Bianca R.; Lansac-Toha, Fernando M.; Fermani, Paulina; Unrein, Fernando; Lobao, Lucia M.; Rolando, Fabio; Velho, Luiz F. M.; Sarmento, Hugo</t>
  </si>
  <si>
    <t>Coupling Between Heterotrophic Nanoflagellates and Bacteria in Fresh Waters: Does Latitude Make a Difference?</t>
  </si>
  <si>
    <t>Velho, Luiz Felipe Machado/I-9130-2016; Lobao, Lucia/AAF-8188-2021; Sarmento, Hugo/A-7655-2008; Sarmento, Hugo/W-3805-2019; Lansac-Toha, Fernando/E-8817-2018</t>
  </si>
  <si>
    <t>Velho, Luiz Felipe Machado/0000-0001-8111-4955; Lobao, Lucia/0000-0002-6775-9148; Sarmento, Hugo/0000-0001-5220-7992; Sarmento, Hugo/0000-0001-5220-7992; Lansac-Toha, Fernando/0000-0002-2010-7214; Unrein, Fernando/0000-0002-8592-1858; Trevizan Segovia da Silva, Bianca/0000-0002-7667-6344</t>
  </si>
  <si>
    <t>FEB 11</t>
  </si>
  <si>
    <t>10.3389/fmicb.2016.00114</t>
  </si>
  <si>
    <t>WOS:000443417500001</t>
  </si>
  <si>
    <t>Ernandes-Silva, J; Ragonha, FH; Jati, S; Takeda, AM</t>
  </si>
  <si>
    <t>Ernandes-Silva, J.; Ragonha, F. H.; Jati, S.; Takeda, A. M.</t>
  </si>
  <si>
    <t>Limnoperna fortunei Dunker, 1857 larvae in different environments of a Neotropical floodplain: relationships of abiotic variables and phytoplankton with different stages of development</t>
  </si>
  <si>
    <t>BRAZILIAN JOURNAL OF BIOLOGY</t>
  </si>
  <si>
    <t>Takeda, Alice/C-6337-2017; takeda, alice/GVT-2725-2022</t>
  </si>
  <si>
    <t>1519-6984</t>
  </si>
  <si>
    <t>1678-4375</t>
  </si>
  <si>
    <t>10.1590/1519-6984.15514</t>
  </si>
  <si>
    <t>WOS:000371732700019</t>
  </si>
  <si>
    <t>Kalinoski, RM; DeLong, JP</t>
  </si>
  <si>
    <t>Kalinoski, Ryan M.; DeLong, John P.</t>
  </si>
  <si>
    <t>Beyond body mass: how prey traits improve predictions of functional response parameters</t>
  </si>
  <si>
    <t>10.1007/s00442-015-3487-z</t>
  </si>
  <si>
    <t>WOS:000368829300022</t>
  </si>
  <si>
    <t>Li, ZK; Dai, GZ; Juneau, P; Qiu, BS</t>
  </si>
  <si>
    <t>Li, Zheng-Ke; Dai, Guo-Zheng; Juneau, Philippe; Qiu, Bao-Sheng</t>
  </si>
  <si>
    <t>Capsular polysaccharides facilitate enhanced iron acquisition by the colonial cyanobacterium Microcystis sp isolated from a freshwater lake</t>
  </si>
  <si>
    <t>Li, Zhengke/JDW-6809-2023</t>
  </si>
  <si>
    <t>10.1111/jpy.12372</t>
  </si>
  <si>
    <t>WOS:000370005000009</t>
  </si>
  <si>
    <t>Stoler, AB; Relyea, RA</t>
  </si>
  <si>
    <t>Stoler, Aaron B.; Relyea, Rick A.</t>
  </si>
  <si>
    <t>Leaf litter species identity alters the structure of pond communities</t>
  </si>
  <si>
    <t>10.1111/oik.02480</t>
  </si>
  <si>
    <t>WOS:000369952100004</t>
  </si>
  <si>
    <t>Reartes, SBR; Estrada, V; Bazán, R; Larrosa, N; Cossavella, A; López, A; Busso, F; Diaz, MS</t>
  </si>
  <si>
    <t>Rodriguez Reartes, S. B.; Estrada, V.; Bazan, R.; Larrosa, N.; Cossavella, A.; Lopez, A.; Busso, F.; Diaz, M. S.</t>
  </si>
  <si>
    <t>Evaluation of ecological effects of anthropogenic nutrient loading scenarios in Los Molinos reservoir through a mathematical model</t>
  </si>
  <si>
    <t>ECOLOGICAL MODELLING</t>
  </si>
  <si>
    <t>RODRIGUEZ REARTES, SABRINA BELEN/GYJ-6915-2022</t>
  </si>
  <si>
    <t>RODRIGUEZ REARTES, SABRINA BELEN/0000-0002-1430-2953; Diaz, Maria Soledad/0000-0003-3555-9624</t>
  </si>
  <si>
    <t>0304-3800</t>
  </si>
  <si>
    <t>1872-7026</t>
  </si>
  <si>
    <t>10.1016/j.ecolmodel.2015.10.028</t>
  </si>
  <si>
    <t>WOS:000368313300035</t>
  </si>
  <si>
    <t>Olenina, I; Vaiciukynas, E; Sulcius, S; Paskauskas, R; Verikas, A; Gelzinis, A; Bacauskiene, M; Bertasiute, V; Olenin, S</t>
  </si>
  <si>
    <t>Olenina, Irina; Vaiciukynas, Evaldas; Sulcius, Sigitas; Paskauskas, Ricardas; Verikas, Antanas; Gelzinis, Adas; Bacauskiene, Marija; Bertasiute, Vilma; Olenin, Sergej</t>
  </si>
  <si>
    <t>The dinoflagellate Prorocentrum cordatum at the edge of the salinity tolerance: The growth is slower but cells are larger</t>
  </si>
  <si>
    <t>2nd workshop on sediment dynamics of muddy coasts and estuaries: Physics, biology and their interactions</t>
  </si>
  <si>
    <t>OCT 23-26, 2015</t>
  </si>
  <si>
    <t>Zhoushan, PEOPLES R CHINA</t>
  </si>
  <si>
    <t>Olenin, Sergej/IQS-4067-2023</t>
  </si>
  <si>
    <t>Sulcius, Sigitas/0000-0002-2686-8348; Paskauskas, Ricardas/0000-0003-1531-1971; Vaiciukynas, Evaldas/0000-0002-4769-4527; Olenin, Sergej/0000-0002-0773-1442; Olenina, Irina/0000-0003-0297-5779</t>
  </si>
  <si>
    <t>10.1016/j.ecss.2015.11.013</t>
  </si>
  <si>
    <t>WOS:000368208700009</t>
  </si>
  <si>
    <t>Frenken, T; Velthuis, M; Domis, LND; Stephan, S; Aben, R; Kosten, S; van Donk, E; Van de Waal, DB</t>
  </si>
  <si>
    <t>Frenken, Thijs; Velthuis, Mandy; Domis, Lisette N. de Senerpont; Stephan, Susanne; Aben, Ralf; Kosten, Sarian; van Donk, Ellen; Van de Waal, Dedmer B.</t>
  </si>
  <si>
    <t>Warming accelerates termination of a phytoplankton spring bloom by fungal parasites</t>
  </si>
  <si>
    <t>10.1111/gcb.13095</t>
  </si>
  <si>
    <t>WOS:000367982900024</t>
  </si>
  <si>
    <t>Klymiuk, V; Barinova, S</t>
  </si>
  <si>
    <t>Klymiuk, V; Barinova, S.</t>
  </si>
  <si>
    <t>Phytoplankton Cell Size in Saline Lakes</t>
  </si>
  <si>
    <t>RESEARCH JOURNAL OF PHARMACEUTICAL BIOLOGICAL AND CHEMICAL SCIENCES</t>
  </si>
  <si>
    <t>Barinova, Sophia/AAH-6720-2019</t>
  </si>
  <si>
    <t>Barinova, Sophia/0000-0001-9915-2503</t>
  </si>
  <si>
    <t>0975-8585</t>
  </si>
  <si>
    <t>JAN-FEB</t>
  </si>
  <si>
    <t>WOS:000410536300027</t>
  </si>
  <si>
    <t>Smith, VH</t>
  </si>
  <si>
    <t>Smith, Val H.</t>
  </si>
  <si>
    <t>Effects of eutrophication on maximum algal biomass in lake and river ecosystems</t>
  </si>
  <si>
    <t>10.5268/IW-6.2.937</t>
  </si>
  <si>
    <t>WOS:000376486500005</t>
  </si>
  <si>
    <t>Thomas, MK; Kremer, CT; Litchman, E</t>
  </si>
  <si>
    <t>Thomas, Mridul K.; Kremer, Colin T.; Litchman, Elena</t>
  </si>
  <si>
    <t>Environment and evolutionary history determine the global biogeography of phytoplankton temperature traits</t>
  </si>
  <si>
    <t>Kremer, Colin/AAH-7022-2021; Thomas, Mridul/HZL-6270-2023</t>
  </si>
  <si>
    <t>Thomas, Mridul/0000-0002-5089-5610; Litchman, Elena/0000-0001-7736-6332</t>
  </si>
  <si>
    <t>10.1111/geb.12387</t>
  </si>
  <si>
    <t>WOS:000367728900009</t>
  </si>
  <si>
    <t>Yasindi, AW; Taylor, WD</t>
  </si>
  <si>
    <t>Schagerl, M</t>
  </si>
  <si>
    <t>Yasindi, Andrew W.; Taylor, William D.</t>
  </si>
  <si>
    <t>The Protozoa of Soda Lakes in East Africa</t>
  </si>
  <si>
    <t>SODA LAKES OF EAST AFRICA</t>
  </si>
  <si>
    <t>978-3-319-28622-8; 978-3-319-28620-4</t>
  </si>
  <si>
    <t>10.1007/978-3-319-28622-8_7</t>
  </si>
  <si>
    <t>10.1007/978-3-319-28622-8</t>
  </si>
  <si>
    <t>WOS:000399606500008</t>
  </si>
  <si>
    <t>Natesan, U; Muthulakshmi, AL; Deepthi, K; Ferrer, VA; Narasimhan, SV; Venugopalan, VP</t>
  </si>
  <si>
    <t>Natesan, Usha; Muthulakshmi, A. L.; Deepthi, K.; Ferrer, Vincent A.; Narasimhan, S., V; Venugopalan, V. P.</t>
  </si>
  <si>
    <t>Impact of Thermal Discharge from a Tropical Coastal Power Plant on Physico-chemical Properties with Special Nutrients of Kalpakkam Coastal Area, Southeastern Coast of India</t>
  </si>
  <si>
    <t>INDIAN JOURNAL OF GEO-MARINE SCIENCES</t>
  </si>
  <si>
    <t>Natesan, Usha/ABE-4260-2020</t>
  </si>
  <si>
    <t>NATESAN, USHA/0000-0003-4300-7926; Alagan, Dr.Muthulakshmi/0000-0002-2791-3438</t>
  </si>
  <si>
    <t>0379-5136</t>
  </si>
  <si>
    <t>0975-1033</t>
  </si>
  <si>
    <t>WOS:000379887500011</t>
  </si>
  <si>
    <t>Riessen, HP</t>
  </si>
  <si>
    <t>Riessen, Howard P.</t>
  </si>
  <si>
    <t>Water temperature alters predation risk and the adaptive landscape of induced defenses in plankton communities</t>
  </si>
  <si>
    <t>10.1002/lno.10150</t>
  </si>
  <si>
    <t>WOS:000363888400013</t>
  </si>
  <si>
    <t>Fryxell, DC; Arnett, HA; Apgar, TM; Kinnison, MT; Palkovacs, EP</t>
  </si>
  <si>
    <t>Fryxell, David C.; Arnett, Heather A.; Apgar, Travis M.; Kinnison, Michael T.; Palkovacs, Eric P.</t>
  </si>
  <si>
    <t>Sex ratio variation shapes the ecological effects of a globally introduced freshwater fish</t>
  </si>
  <si>
    <t>Fryxell, David/0000-0003-4543-4809; Apgar, Travis/0000-0002-5205-2350; Kinnison, Michael/0000-0003-4211-2118</t>
  </si>
  <si>
    <t>OCT 22</t>
  </si>
  <si>
    <t>10.1098/rspb.2015.1970</t>
  </si>
  <si>
    <t>WOS:000363485700016</t>
  </si>
  <si>
    <t>Doubek, JP; Carey, CC; Cardinale, BJ</t>
  </si>
  <si>
    <t>Doubek, Jonathan P.; Carey, Cayelan C.; Cardinale, Bradley J.</t>
  </si>
  <si>
    <t>Anthropogenic land use is associated with N-fixing cyanobacterial dominance in lakes across the continental United States</t>
  </si>
  <si>
    <t>Carey, Cayelan C/D-4874-2016; Cardinale, Bradley J/I-7076-2013</t>
  </si>
  <si>
    <t>10.1007/s00027-015-0411-x</t>
  </si>
  <si>
    <t>WOS:000361396800012</t>
  </si>
  <si>
    <t>Jewson, DH; Granin, NG; Gnatovsky, RY; Lowry, SF; Teubner, K</t>
  </si>
  <si>
    <t>Jewson, David H.; Granin, Nick G.; Gnatovsky, Ruslan Yu.; Lowry, Steve F.; Teubner, Katrin</t>
  </si>
  <si>
    <t>Coexistence of two Cyclotella diatom species in the plankton of Lake Baikal</t>
  </si>
  <si>
    <t>Teubner, Katrin/AAC-1224-2021; Granin, Nikolay Grigorievich/J-4801-2018</t>
  </si>
  <si>
    <t>Teubner, Katrin/0000-0002-3699-2043;</t>
  </si>
  <si>
    <t>10.1111/fwb.12636</t>
  </si>
  <si>
    <t>WOS:000361037900010</t>
  </si>
  <si>
    <t>Liu, X; Beyrend, D; Dur, G; Ban, S</t>
  </si>
  <si>
    <t>Liu, Xin; Beyrend, Delphine; Dur, Gael; Ban, Syuhei</t>
  </si>
  <si>
    <t>Combined effects of temperature and food concentration on growth and reproduction of Eodiaptomus japonicus (Copepoda: Calanoida) from Lake Biwa (Japan)</t>
  </si>
  <si>
    <t>Liu, Xin/AAE-9053-2021; Beyrend, Delphine/F-3245-2016</t>
  </si>
  <si>
    <t>Liu, Xin/0000-0002-6660-4486; Dur, Gael/0000-0003-1703-3047; Ban, Syuhei/0000-0002-7168-5583</t>
  </si>
  <si>
    <t>10.1111/fwb.12626</t>
  </si>
  <si>
    <t>WOS:000361037900003</t>
  </si>
  <si>
    <t>Narwani, A; Alexandrou, MA; Herrin, J; Vouaux, A; Zhou, C; Oakley, TH; Cardinale, BJ</t>
  </si>
  <si>
    <t>Narwani, Anita; Alexandrou, Markos A.; Herrin, James; Vouaux, Alaina; Zhou, Charles; Oakley, Todd H.; Cardinale, Bradley J.</t>
  </si>
  <si>
    <t>Common Ancestry Is a Poor Predictor of Competitive Traits in Freshwater Green Algae</t>
  </si>
  <si>
    <t>e0137085</t>
  </si>
  <si>
    <t>10.1371/journal.pone.0137085</t>
  </si>
  <si>
    <t>WOS:000360897600020</t>
  </si>
  <si>
    <t>Harding, LW; Adolf, JE; Mallonee, ME; Miller, WD; Gallegos, CL; Perry, ES; Johnson, JM; Sellner, KG; Paerl, HW</t>
  </si>
  <si>
    <t>Harding, L. W., Jr.; Adolf, J. E.; Mallonee, M. E.; Miller, W. D.; Gallegos, C. L.; Perry, E. S.; Johnson, J. M.; Sellner, K. G.; Paerl, H. W.</t>
  </si>
  <si>
    <t>Climate effects on phytoplankton floral composition in Chesapeake Bay</t>
  </si>
  <si>
    <t>Miller, W. David/0000-0002-4940-5987; Harding, Jr., Lawrence W./0000-0002-4824-5205; Gallegos, Charles/0000-0001-5112-0166</t>
  </si>
  <si>
    <t>SEP 5</t>
  </si>
  <si>
    <t>10.1016/j.ecss.2014.12.030</t>
  </si>
  <si>
    <t>WOS:000360774700007</t>
  </si>
  <si>
    <t>Behl, S; Stibor, H</t>
  </si>
  <si>
    <t>Behl, Stephan; Stibor, Herwig</t>
  </si>
  <si>
    <t>Prey diversity and prey identity affect herbivore performance on different time scales in a long term aquatic food-web experiment</t>
  </si>
  <si>
    <t>10.1111/oik.01463</t>
  </si>
  <si>
    <t>WOS:000360823400009</t>
  </si>
  <si>
    <t>Grujcic, V; Kasalicky, V; Simek, K</t>
  </si>
  <si>
    <t>Grujcic, Vesna; Kasalicky, Vojtech; Simek, Karel</t>
  </si>
  <si>
    <t>Prey-Specific Growth Responses of Freshwater Flagellate Communities Induced by Morphologically Distinct Bacteria from the Genus Limnohabitans</t>
  </si>
  <si>
    <t>APPLIED AND ENVIRONMENTAL MICROBIOLOGY</t>
  </si>
  <si>
    <t>0099-2240</t>
  </si>
  <si>
    <t>1098-5336</t>
  </si>
  <si>
    <t>10.1128/AEM.00396-15</t>
  </si>
  <si>
    <t>WOS:000357668600014</t>
  </si>
  <si>
    <t>Shi, PL; Shen, H; Wang, WJ; Chen, WJ; Xie, P</t>
  </si>
  <si>
    <t>Shi, Pengling; Shen, Hong; Wang, Wenjing; Chen, Wenjie; Xie, Ping</t>
  </si>
  <si>
    <t>The relationship between light intensity and nutrient uptake kinetics in six freshwater diatoms</t>
  </si>
  <si>
    <t>JOURNAL OF ENVIRONMENTAL SCIENCES</t>
  </si>
  <si>
    <t>1001-0742</t>
  </si>
  <si>
    <t>1878-7320</t>
  </si>
  <si>
    <t>AUG 1</t>
  </si>
  <si>
    <t>10.1016/j.jes.2015.03.003</t>
  </si>
  <si>
    <t>WOS:000362980400004</t>
  </si>
  <si>
    <t>Iacarella, JC; Dick, JTA; Ricciardi, A</t>
  </si>
  <si>
    <t>Iacarella, Josephine C.; Dick, Jaimie T. A.; Ricciardi, Anthony</t>
  </si>
  <si>
    <t>A spatio-temporal contrast of the predatory impact of an invasive freshwater crustacean</t>
  </si>
  <si>
    <t>DIVERSITY AND DISTRIBUTIONS</t>
  </si>
  <si>
    <t>Ricciardi, Anthony/A-8536-2010</t>
  </si>
  <si>
    <t>Iacarella, Josephine/0000-0001-7079-3737; Ricciardi, Anthony/0000-0003-1492-0054</t>
  </si>
  <si>
    <t>1366-9516</t>
  </si>
  <si>
    <t>1472-4642</t>
  </si>
  <si>
    <t>10.1111/ddi.12318</t>
  </si>
  <si>
    <t>WOS:000357812400007</t>
  </si>
  <si>
    <t>van Gerven, LPA; de Klein, JJM; Gerla, DJ; Kooi, BW; Kuiper, JJ; Mooij, WM</t>
  </si>
  <si>
    <t>van Gerven, Luuk P. A.; de Klein, Jeroen J. M.; Gerla, Daan J.; Kooi, Bob W.; Kuiper, Jan J.; Mooij, Wolf M.</t>
  </si>
  <si>
    <t>Competition for Light and Nutrients in Layered Communities of Aquatic Plants</t>
  </si>
  <si>
    <t>10.1086/681620</t>
  </si>
  <si>
    <t>WOS:000356632700009</t>
  </si>
  <si>
    <t>Bartrons, M; Einarsson, A; Nobre, RLG; Herren, CM; Webert, KC; Brucet, S; Olafsdóttir, SR; Ives, AR</t>
  </si>
  <si>
    <t>Bartrons, Mireia; Einarsson, Arni; Nobre, Regina L. G.; Herren, Cristina M.; Webert, Kyle C.; Brucet, Sandra; Olafsdottir, Solveig R.; Ives, Anthony R.</t>
  </si>
  <si>
    <t>Spatial patterns reveal strong abiotic and biotic drivers of zooplankton community composition in Lake Myvatn, Iceland</t>
  </si>
  <si>
    <t>10.1890/ES14-00392.1</t>
  </si>
  <si>
    <t>WOS:000358433300017</t>
  </si>
  <si>
    <t>Schmidt-Kloiber, A; Hering, D</t>
  </si>
  <si>
    <t>Schmidt-Kloiber, Astrid; Hering, Daniel</t>
  </si>
  <si>
    <t>www.freshwaterecology.info - An online tool that unifies, standardises and codifies more than 20,000 European freshwater organisms and their ecological preferences</t>
  </si>
  <si>
    <t>10.1016/j.ecolind.2015.02.007</t>
  </si>
  <si>
    <t>WOS:000352661900031</t>
  </si>
  <si>
    <t>Seifert, LI; Weithoff, G; Gaedke, U; Vos, M</t>
  </si>
  <si>
    <t>Seifert, Linda I.; Weithoff, Guntram; Gaedke, Ursula; Vos, Matthijs</t>
  </si>
  <si>
    <t>Warming-induced changes in predation, extinction and invasion in an ectotherm food web</t>
  </si>
  <si>
    <t>10.1007/s00442-014-3211-4</t>
  </si>
  <si>
    <t>WOS:000354900700016</t>
  </si>
  <si>
    <t>Roselli, L; Basset, A</t>
  </si>
  <si>
    <t>Roselli, Leonilde; Basset, Alberto</t>
  </si>
  <si>
    <t>Decoding Size Distribution Patterns in Marine and Transitional Water Phytoplankton: From Community to Species Level</t>
  </si>
  <si>
    <t>Roselli, Leonilde/0000-0002-0002-9415</t>
  </si>
  <si>
    <t>MAY 14</t>
  </si>
  <si>
    <t>e0127193</t>
  </si>
  <si>
    <t>10.1371/journal.pone.0127193</t>
  </si>
  <si>
    <t>WOS:000354545600102</t>
  </si>
  <si>
    <t>Przytulska, A; Bartosiewicz, M; Rautio, M; Dufresne, F; Vincent, WF</t>
  </si>
  <si>
    <t>Przytulska, Anna; Bartosiewicz, Maciej; Rautio, Milla; Dufresne, France; Vincent, Warwick F.</t>
  </si>
  <si>
    <t>Climate Effects on High Latitude Daphnia via Food Quality and Thresholds</t>
  </si>
  <si>
    <t>Vincent, Warwick/AAH-6152-2019</t>
  </si>
  <si>
    <t>Vincent, Warwick/0000-0001-9055-1938</t>
  </si>
  <si>
    <t>MAY 13</t>
  </si>
  <si>
    <t>e0126231</t>
  </si>
  <si>
    <t>10.1371/journal.pone.0126231</t>
  </si>
  <si>
    <t>WOS:000354544200100</t>
  </si>
  <si>
    <t>La, HS; Lee, H; Kang, D; Lee, S; Shin, HC</t>
  </si>
  <si>
    <t>La, Hyoung Sul; Lee, Hyungbeen; Kang, Donhyug; Lee, SangHoon; Shin, Hyoung Chul</t>
  </si>
  <si>
    <t>Ex situ echo sounder target strengths of ice krill Euphausia crystallorophias</t>
  </si>
  <si>
    <t>CHINESE JOURNAL OF OCEANOLOGY AND LIMNOLOGY</t>
  </si>
  <si>
    <t>La, Hyoung Sul/0000-0003-1285-580X</t>
  </si>
  <si>
    <t>0254-4059</t>
  </si>
  <si>
    <t>1993-5005</t>
  </si>
  <si>
    <t>10.1007/s00343-015-4064-3</t>
  </si>
  <si>
    <t>WOS:000353891400026</t>
  </si>
  <si>
    <t>Lara, E; Seppey, CVW; Garraza, GG; Singer, D; Quiroga, MV; Mataloni, G</t>
  </si>
  <si>
    <t>Lara, Enrique; Seppey, Christophe V. W.; Gonzalez Garraza, Gabriela; Singer, David; Victoria Quiroga, Maria; Mataloni, Gabriela</t>
  </si>
  <si>
    <t>Planktonic eukaryote molecular diversity: discrimination of minerotrophic and ombrotrophic peatland pools in Tierra del Fuego (Argentina)</t>
  </si>
  <si>
    <t>Quiroga, Maria Victoria/JUV-5976-2023; Singer, David/B-6889-2016; Lara, Enrique/N-3679-2017</t>
  </si>
  <si>
    <t>Quiroga, Maria Victoria/0000-0002-6223-334X; Singer, David/0000-0002-4116-033X; Mataloni, Gabriela/0000-0002-6852-6143; Lara, Enrique/0000-0001-8500-522X</t>
  </si>
  <si>
    <t>10.1093/plankt/fbv016</t>
  </si>
  <si>
    <t>WOS:000356039200014</t>
  </si>
  <si>
    <t>Reimche, GB; Machado, SLO; Oliveira, MA; Zanella, R; Dressler, VL; Flores, EMM; Gonçalves, FF; Donato, FF; Nunes, MAG</t>
  </si>
  <si>
    <t>Reimche, Geovane B.; Machado, Sergio L. O.; Oliveira, Maria Angelica; Zanella, Renato; Dressler, Valderi Luiz; Flores, Erico M. M.; Goncalves, Fabio F.; Donato, Filipe F.; Nunes, Matheus A. G.</t>
  </si>
  <si>
    <t>Imazethapyr and imazapic, bispyribac-sodium and penoxsulam: Zooplankton and dissipation in subtropical rice paddy water</t>
  </si>
  <si>
    <t>10.1016/j.scitotenv.2015.01.055</t>
  </si>
  <si>
    <t>WOS:000352039500008</t>
  </si>
  <si>
    <t>Reyes, CA; Ramos-Jiliberto, R; González-Barrientos, J</t>
  </si>
  <si>
    <t>Reyes, Claudio A.; Ramos-Jiliberto, Rodrigo; Gonzalez-Barrientos, Javier</t>
  </si>
  <si>
    <t>Temporal variability of food determines the outcome of pesticide exposure in Daphnia</t>
  </si>
  <si>
    <t>Ramos-Jiliberto, Rodrigo/F-3160-2013; Gonzalez-Barrientos, Javier/H-4243-2013</t>
  </si>
  <si>
    <t>Gonzalez-Barrientos, Javier/0000-0002-0390-668X</t>
  </si>
  <si>
    <t>10.1007/s11284-014-1240-4</t>
  </si>
  <si>
    <t>WOS:000354817700005</t>
  </si>
  <si>
    <t>Sin, Y; Jeong, B</t>
  </si>
  <si>
    <t>Sin, Yongsik; Jeong, Byungkwan</t>
  </si>
  <si>
    <t>Short-term variations of phytoplankton communities in response to anthropogenic stressors in a highly altered temperate estuary</t>
  </si>
  <si>
    <t>Sin, Yongsik/0000-0002-9986-4532</t>
  </si>
  <si>
    <t>10.1016/j.ecss.2014.09.022</t>
  </si>
  <si>
    <t>WOS:000354151700009</t>
  </si>
  <si>
    <t>Berchtold, AE; Colborne, SF; Longstaffe, FJ; Neff, BD</t>
  </si>
  <si>
    <t>Berchtold, A. E.; Colborne, S. F.; Longstaffe, F. J.; Neff, B. D.</t>
  </si>
  <si>
    <t>Ecomorphological patterns linking morphology and diet across three populations of pumpkinseed sunfish (Lepomis gibbosus)</t>
  </si>
  <si>
    <t>Longstaffe, Fred J/A-6843-2008</t>
  </si>
  <si>
    <t>10.1139/cjz-2014-0236</t>
  </si>
  <si>
    <t>WOS:000352216900006</t>
  </si>
  <si>
    <t>Dalesman, S; Thomas, A; Rundle, SD</t>
  </si>
  <si>
    <t>Dalesman, Sarah; Thomas, Angharad; Rundle, Simon D.</t>
  </si>
  <si>
    <t>Local adaptation and embryonic plasticity affect antipredator traits in hatchling pond snails</t>
  </si>
  <si>
    <t>Dalesman, Sarah/0000-0001-8548-3096</t>
  </si>
  <si>
    <t>10.1111/fwb.12512</t>
  </si>
  <si>
    <t>WOS:000351213000005</t>
  </si>
  <si>
    <t>Chen, BZ</t>
  </si>
  <si>
    <t>Chen, Bingzhang</t>
  </si>
  <si>
    <t>Patterns of thermal limits of phytoplankton</t>
  </si>
  <si>
    <t>Chen, Bingzhang/D-4734-2011</t>
  </si>
  <si>
    <t>Chen, Bingzhang/0000-0002-1573-7473</t>
  </si>
  <si>
    <t>10.1093/plankt/fbv009</t>
  </si>
  <si>
    <t>WOS:000352487600002</t>
  </si>
  <si>
    <t>Jakubowska, N; Szelag-Wasielewska, E</t>
  </si>
  <si>
    <t>Jakubowska, Natalia; Szelag-Wasielewska, Elzbieta</t>
  </si>
  <si>
    <t>Toxic Picoplanktonic Cyanobacteria-Review</t>
  </si>
  <si>
    <t>MARINE DRUGS</t>
  </si>
  <si>
    <t>Szelag-Wasielewska, Elzbieta/0000-0002-7542-6490</t>
  </si>
  <si>
    <t>1660-3397</t>
  </si>
  <si>
    <t>10.3390/md13031497</t>
  </si>
  <si>
    <t>WOS:000351930500023</t>
  </si>
  <si>
    <t>Ramanan, R; Kang, Z; Kim, BH; Cho, DH; Jin, L; Oh, HM; Kim, HS</t>
  </si>
  <si>
    <t>Ramanan, Rishiram; Kang, Zion; Kim, Byung-Hyuk; Cho, Dae-Hyun; Jin, Long; Oh, Hee-Mock; Kim, Hee-Sik</t>
  </si>
  <si>
    <t>Phycosphere bacterial diversity in green algae reveals an apparent similarity across habitats</t>
  </si>
  <si>
    <t>ALGAL RESEARCH-BIOMASS BIOFUELS AND BIOPRODUCTS</t>
  </si>
  <si>
    <t>2211-9264</t>
  </si>
  <si>
    <t>10.1016/j.algal.2015.02.003</t>
  </si>
  <si>
    <t>WOS:000352274800021</t>
  </si>
  <si>
    <t>Sin, Y; Jeong, B; Park, C</t>
  </si>
  <si>
    <t>Sin, Yongsik; Jeong, Byungkwan; Park, Chul</t>
  </si>
  <si>
    <t>Semidiurnal Dynamics of Phytoplankton Size Structure and Taxonomic Composition in a Macrotidal Temperate Estuary</t>
  </si>
  <si>
    <t>Sin, Yongsik/0000-0002-9986-4532; Park, Chul/0000-0003-1353-7088</t>
  </si>
  <si>
    <t>10.1007/s12237-014-9838-x</t>
  </si>
  <si>
    <t>WOS:000348789300011</t>
  </si>
  <si>
    <t>Schramski, JR; Dell, AI; Grady, JM; Sibly, RM; Brown, JH</t>
  </si>
  <si>
    <t>Schramski, John R.; Dell, Anthony I.; Grady, John M.; Sibly, Richard M.; Brown, James H.</t>
  </si>
  <si>
    <t>Metabolic theory predicts whole-ecosystem properties</t>
  </si>
  <si>
    <t>FEB 24</t>
  </si>
  <si>
    <t>10.1073/pnas.1423502112</t>
  </si>
  <si>
    <t>WOS:000349911700076</t>
  </si>
  <si>
    <t>Kruk, C; Martínez, A; Nogueira, L; Alonso, C; Calliari, D</t>
  </si>
  <si>
    <t>Kruk, Carla; Martinez, Ana; Nogueira, Lucia; Alonso, Cecilia; Calliari, Danilo</t>
  </si>
  <si>
    <t>Morphological traits variability reflects light limitation of phytoplankton production in a highly productive subtropical estuary (Rio de la Plata, South America)</t>
  </si>
  <si>
    <t>Alonso, Cecilia/IWU-9937-2023</t>
  </si>
  <si>
    <t>Alonso, Cecilia/0000-0003-3869-4418; Calliari Cuadro, Danilo Luis/0000-0002-4752-1669; Kruk, Carla/0000-0003-0760-1186; Martinez Goicoechea, Ana/0000-0003-0596-7862</t>
  </si>
  <si>
    <t>10.1007/s00227-014-2568-6</t>
  </si>
  <si>
    <t>WOS:000348564300009</t>
  </si>
  <si>
    <t>Boltovskoy, D</t>
  </si>
  <si>
    <t>Boltovskoy, Demetrio</t>
  </si>
  <si>
    <t>Distribution and Colonization of Limnoperna fortunei: Special Traits of an Odd Mussel</t>
  </si>
  <si>
    <t>LIMNOPERNA FORTUNEI: THE ECOLOGY, DISTRIBUTION AND CONTROL OF A SWIFTLY SPREADING INVASIVE FOULING MUSSEL</t>
  </si>
  <si>
    <t>Invading Nature-Springer Series in Invasion Ecology</t>
  </si>
  <si>
    <t>Boltovskoy, Demetrio/ITA-5729-2023</t>
  </si>
  <si>
    <t>Boltovskoy, Demetrio/0000-0003-3484-2954</t>
  </si>
  <si>
    <t>1874-7809</t>
  </si>
  <si>
    <t>978-3-319-13494-9; 978-3-319-13493-2</t>
  </si>
  <si>
    <t>10.1007/978-3-319-13494-9_16</t>
  </si>
  <si>
    <t>10.1007/978-3-319-13494-9</t>
  </si>
  <si>
    <t>WOS:000365671700018</t>
  </si>
  <si>
    <t>Garcia-Chaves, MC; Cottrell, MT; Kirchman, DL; Derry, AM; Bogard, MJ; del Giorgio, PA</t>
  </si>
  <si>
    <t>Garcia-Chaves, Maria Carolina; Cottrell, Matthew T.; Kirchman, David L.; Derry, Alison M.; Bogard, Matthew J.; del Giorgio, Paul A.</t>
  </si>
  <si>
    <t>Major contribution of both zooplankton and protists to the top-down regulation of freshwater aerobic anoxygenic phototrophic bacteria</t>
  </si>
  <si>
    <t>del Giorgio, Paul/AAD-1315-2019; Cottrell, Matthew T/C-3266-2009</t>
  </si>
  <si>
    <t>10.3354/ame01770</t>
  </si>
  <si>
    <t>WOS:000362667300006</t>
  </si>
  <si>
    <t>Havens, KE; Pinto-Coelho, RM; Beklioglu, M; Christoffersen, KS; Jeppesen, E; Lauridsen, TL; Mazumder, A; Méthot, G; Alloul, BP; Tavsanoglu, UN; Erdogan, S; Vijverberg, J</t>
  </si>
  <si>
    <t>Havens, Karl E.; Pinto-Coelho, Ricardo Motta; Beklioglu, Meryem; Christoffersen, Kirsten S.; Jeppesen, Erik; Lauridsen, Torben L.; Mazumder, Asit; Methot, Ginette; Alloul, Bernadette Pinel; Tavsanoglu, U. Nihan; Erdogan, Seyda; Vijverberg, Jacobus</t>
  </si>
  <si>
    <t>Temperature effects on body size of freshwater crustacean zooplankton from Greenland to the tropics</t>
  </si>
  <si>
    <t>10.1007/s10750-014-2000-8</t>
  </si>
  <si>
    <t>WOS:000345036000003</t>
  </si>
  <si>
    <t>Kasinak, JME; Holt, BM; Chislock, MF; Wilson, AE</t>
  </si>
  <si>
    <t>Kasinak, Jo-Marie E.; Holt, Brittany M.; Chislock, Michael F.; Wilson, Alan E.</t>
  </si>
  <si>
    <t>Benchtop fluorometry of phycocyanin as a rapid approach for estimating cyanobacterial biovolume</t>
  </si>
  <si>
    <t>Wilson, Alan/0000-0003-1080-0354</t>
  </si>
  <si>
    <t>10.1093/plankt/fbu096</t>
  </si>
  <si>
    <t>WOS:000350124100023</t>
  </si>
  <si>
    <t>Masclaux, H; Tortajada, S; Philippine, O; Robin, FX; Dupuy, C</t>
  </si>
  <si>
    <t>Masclaux, Helene; Tortajada, Sebastien; Philippine, Olivier; Robin, Francois-Xavier; Dupuy, Christine</t>
  </si>
  <si>
    <t>Planktonic food web structure and dynamic in freshwater marshes after a lock closing in early spring</t>
  </si>
  <si>
    <t>Masclaux, Helene/S-1265-2017</t>
  </si>
  <si>
    <t>Masclaux, Helene/0000-0002-5869-8419; Dupuy, Christine/0000-0002-5634-1336</t>
  </si>
  <si>
    <t>10.1007/s00027-014-0376-1</t>
  </si>
  <si>
    <t>WOS:000347149700010</t>
  </si>
  <si>
    <t>Quintana, XD; Arim, M; Badosa, A; Blanco, JM; Boix, D; Brucet, S; Compte, J; Egozcue, JJ; de Eyto, E; Gaedke, U; Gascón, S; de Sola, LG; Irvine, K; Jeppesen, E; Lauridsen, TL; López-Flores, R; Mehner, T; Romo, S; Sondergaard, M</t>
  </si>
  <si>
    <t>Quintana, Xavier D.; Arim, Matias; Badosa, Anna; Maria Blanco, Jose; Boix, Dani; Brucet, Sandra; Compte, Jordi; Egozcue, Juan J.; de Eyto, Elvira; Gaedke, Ursula; Gascon, Stephanie; Gil de Sola, Luis; Irvine, Kenneth; Jeppesen, Erik; Lauridsen, Torben L.; Lopez-Flores, Rocio; Mehner, Thomas; Romo, Susana; Sondergaard, Martin</t>
  </si>
  <si>
    <t>Predation and competition effects on the size diversity of aquatic communities</t>
  </si>
  <si>
    <t>10.1007/s00027-014-0368-1</t>
  </si>
  <si>
    <t>WOS:000347149700005</t>
  </si>
  <si>
    <t>Takasu, H; Ushio, M; LeClair, JE; Nakano, S</t>
  </si>
  <si>
    <t>Takasu, Hiroyuki; Ushio, Masayuki; LeClair, Jessica E.; Nakano, Shin-ichi</t>
  </si>
  <si>
    <t>High contribution of Synechococcus to phytoplankton biomass in the aphotic hypolimnion in a deep freshwater lake (Lake Biwa, Japan)</t>
  </si>
  <si>
    <t>10.3354/ame01749</t>
  </si>
  <si>
    <t>WOS:000354392600006</t>
  </si>
  <si>
    <t>Thorp, JH</t>
  </si>
  <si>
    <t>Thorp, JH; Rogers, DC</t>
  </si>
  <si>
    <t>Thorp, James H.</t>
  </si>
  <si>
    <t>Functional Relationships of Freshwater Invertebrates</t>
  </si>
  <si>
    <t>ECOLOGY AND GENERAL BIOLOGY, VOL I: THORP AND COVICH'S FRESHWATER INVERTEBRATES, 4TH EDITION</t>
  </si>
  <si>
    <t>978-0-12-385027-0; 978-0-12-385026-3</t>
  </si>
  <si>
    <t>10.1016/B978-0-12-385026-3.00004-8</t>
  </si>
  <si>
    <t>WOS:000348391900006</t>
  </si>
  <si>
    <t>Kong, YJ; Lou, IC; Zhang, YY; Lou, CU; Mok, KM</t>
  </si>
  <si>
    <t>Kong, Yijun; Lou, Inchio; Zhang, Yiyong; Lou, Chong U.; Mok, Kai Meng</t>
  </si>
  <si>
    <t>Using an online phycocyanin fluorescence probe for rapid monitoring of cyanobacteria in Macau freshwater reservoir</t>
  </si>
  <si>
    <t>1st international conference on Challenges in Aquatic Sciences</t>
  </si>
  <si>
    <t>MAR 15-21, 2013</t>
  </si>
  <si>
    <t>Keelung, TAIWAN</t>
  </si>
  <si>
    <t>Mok, Kai Meng/0000-0001-7270-2325</t>
  </si>
  <si>
    <t>10.1007/s10750-013-1759-3</t>
  </si>
  <si>
    <t>WOS:000343998000005</t>
  </si>
  <si>
    <t>Somogyi, B; Vörös, L; Pálffy, K; Székely, G; Bartha, C; Keresztes, ZG</t>
  </si>
  <si>
    <t>Somogyi, Boglarka; Voeroes, Lajos; Palffy, Karoly; Szekely, Gyoengyi; Bartha, Csaba; Keresztes, Zsolt Gyula</t>
  </si>
  <si>
    <t>Picophytoplankton predominance in hypersaline lakes (Transylvanian Basin, Romania)</t>
  </si>
  <si>
    <t>EXTREMOPHILES</t>
  </si>
  <si>
    <t>Szekely, Gyongyi/0000-0002-3494-3416; Szekely, Gyongyi/0000-0002-3494-3416; Palffy, Karoly/0000-0003-2015-7972; Somogyi, Boglarka/0000-0003-0900-3315</t>
  </si>
  <si>
    <t>1431-0651</t>
  </si>
  <si>
    <t>1433-4909</t>
  </si>
  <si>
    <t>10.1007/s00792-014-0685-2</t>
  </si>
  <si>
    <t>WOS:000343812300014</t>
  </si>
  <si>
    <t>Souza, JP; Melo, DC; Lombardi, AT; Melao, MGG</t>
  </si>
  <si>
    <t>Souza, J. P.; Melo, D. C.; Lombardi, A. T.; Melao, M. G. G.</t>
  </si>
  <si>
    <t>Effects of dietborne cadmium on life history and secondary production of a tropical freshwater cladoceran</t>
  </si>
  <si>
    <t>Souza, Jaqueline P/I-3445-2016; Melao, Maria da Graca/H-4389-2012</t>
  </si>
  <si>
    <t>10.1007/s10646-014-1341-4</t>
  </si>
  <si>
    <t>WOS:000343877400017</t>
  </si>
  <si>
    <t>Walsh, MR; Whittington, D; Walsh, MJ</t>
  </si>
  <si>
    <t>Walsh, Matthew R.; Whittington, Deirdre; Walsh, Melissa J.</t>
  </si>
  <si>
    <t>Does variation in the intensity and duration of predation drive evolutionary changes in senescence?</t>
  </si>
  <si>
    <t>Walsh, Melissa/0000-0002-8815-1238</t>
  </si>
  <si>
    <t>10.1111/1365-2656.12247</t>
  </si>
  <si>
    <t>WOS:000344339500005</t>
  </si>
  <si>
    <t>Hahn, MW; Schmidt, J; Taipale, SJ; Doolittle, WF; Koll, U</t>
  </si>
  <si>
    <t>Hahn, Martin W.; Schmidt, Johanna; Taipale, Sami J.; Doolittle, W. Ford; Koll, Ulrike</t>
  </si>
  <si>
    <t>Rhodoluna lacicola gen. nov., sp nov., a planktonic freshwater bacterium with stream-lined genome</t>
  </si>
  <si>
    <t>10.1099/ijs.0.065292-0</t>
  </si>
  <si>
    <t>WOS:000344912300049</t>
  </si>
  <si>
    <t>Laue, P; Bährs, H; Chakrabarti, S; Steinberg, CEW</t>
  </si>
  <si>
    <t>Laue, Pauline; Bahrs, Hanno; Chakrabarti, Shumon; Steinberg, Christian E. W.</t>
  </si>
  <si>
    <t>Natural xenobiotics to prevent cyanobacterial and algal growth in freshwater: Contrasting efficacy of tannic acid, gallic acid, and gramine</t>
  </si>
  <si>
    <t>Steinberg, Christian/O-8572-2019</t>
  </si>
  <si>
    <t>Steinberg, Christian E.W./0000-0002-3132-8901</t>
  </si>
  <si>
    <t>10.1016/j.chemosphere.2013.11.029</t>
  </si>
  <si>
    <t>WOS:000334084500031</t>
  </si>
  <si>
    <t>Nieoczym, M; Kloskowski, J</t>
  </si>
  <si>
    <t>Nieoczym, Marek; Kloskowski, Janusz</t>
  </si>
  <si>
    <t>The role of body size in the impact of common carp Cyprinus carpio on water quality, zooplankton, and macrobenthos in ponds</t>
  </si>
  <si>
    <t>Kloskowski, Janusz/AGQ-5060-2022</t>
  </si>
  <si>
    <t>Kloskowski, Janusz/0000-0002-0525-2421</t>
  </si>
  <si>
    <t>10.1002/iroh.201301644</t>
  </si>
  <si>
    <t>WOS:000337684700002</t>
  </si>
  <si>
    <t>Rasconi, S; Grami, B; Niquil, N; Jobard, M; Sime-Ngando, T</t>
  </si>
  <si>
    <t>Rasconi, Serena; Grami, Boutheina; Niquil, Nathalie; Jobard, Marlene; Sime-Ngando, Telesphore</t>
  </si>
  <si>
    <t>Parasitic chytrids sustain zooplankton growth during inedible algal bloom</t>
  </si>
  <si>
    <t>Sime-Ngando, Télesphore/M-4134-2019; Niquil, Nathalie/C-8233-2009</t>
  </si>
  <si>
    <t>Sime-Ngando, Télesphore/0000-0002-7240-5803; Rasconi, Serena/0000-0001-6667-8904; GRAMI, Boutheina/0000-0001-5537-4817; Niquil, Nathalie/0000-0002-0772-754X</t>
  </si>
  <si>
    <t>MAY 23</t>
  </si>
  <si>
    <t>10.3389/fmicb.2014.00229</t>
  </si>
  <si>
    <t>WOS:000336656400001</t>
  </si>
  <si>
    <t>Niklas, KJ; Kutschera, U</t>
  </si>
  <si>
    <t>Niklas, Karl J.; Kutschera, Ulrich</t>
  </si>
  <si>
    <t>Amphimixis and the individual in evolving populations: does Weismann's Doctrine apply to all, most or a few organisms?</t>
  </si>
  <si>
    <t>NATURWISSENSCHAFTEN</t>
  </si>
  <si>
    <t>Niklas, Karl/AAV-4760-2021</t>
  </si>
  <si>
    <t>0028-1042</t>
  </si>
  <si>
    <t>1432-1904</t>
  </si>
  <si>
    <t>10.1007/s00114-014-1164-4</t>
  </si>
  <si>
    <t>WOS:000335671800001</t>
  </si>
  <si>
    <t>Yue, DM; Peng, YK; Qian, X; Xiao, L</t>
  </si>
  <si>
    <t>Yue, Dongmei; Peng, Yuke; Qian, Xin; Xiao, Lin</t>
  </si>
  <si>
    <t>Spatial and seasonal patterns of size-fractionated phytoplankton growth in Lake Taihu</t>
  </si>
  <si>
    <t>10.1093/plankt/fbt131</t>
  </si>
  <si>
    <t>WOS:000336490000010</t>
  </si>
  <si>
    <t>Chang, CW; Miki, T; Shiah, FK; Kao, SJ; Wu, JT; Sastri, AR; Hsieh, CH</t>
  </si>
  <si>
    <t>Chang, Chun-Wei; Miki, Takeshi; Shiah, Fuh-Kwo; Kao, Shuh-ji; Wu, Jiunn-Tzong; Sastri, Akash R.; Hsieh, Chih-hao</t>
  </si>
  <si>
    <t>Linking secondary structure of individual size distribution with nonlinear size-trophic level relationship in food webs</t>
  </si>
  <si>
    <t>10.1890/13-0742.1</t>
  </si>
  <si>
    <t>WOS:000334573600010</t>
  </si>
  <si>
    <t>Carey, CC; Cottingham, KL; Weathers, KC; Brentrup, JA; Ruppertsberger, NM; Ewing, HA; Hairston, NG</t>
  </si>
  <si>
    <t>Carey, Cayelan C.; Cottingham, Kathryn L.; Weathers, Kathleen C.; Brentrup, Jennifer A.; Ruppertsberger, Natalie M.; Ewing, Holly A.; Hairston, Nelson G., Jr.</t>
  </si>
  <si>
    <t>Experimental blooms of the cyanobacterium Gloeotrichia echinulata increase phytoplankton biomass, richness and diversity in an oligotrophic lake</t>
  </si>
  <si>
    <t>Carey, Cayelan C/D-4874-2016; Cottingham, Kathryn L./AAV-3934-2021</t>
  </si>
  <si>
    <t>Cottingham, Kathryn L./0000-0003-3169-5047</t>
  </si>
  <si>
    <t>10.1093/plankt/fbt105</t>
  </si>
  <si>
    <t>WOS:000336489800006</t>
  </si>
  <si>
    <t>Figueredo, CC; von Rückert, G; Cupertino, A; Pontes, MA; Fernandes, LA; Ribeiro, SG; Maran, NRC</t>
  </si>
  <si>
    <t>Figueredo, Cleber C.; von Rueckert, Gabriela; Cupertino, Arthur; Pontes, Marilia A.; Fernandes, Luyara A.; Ribeiro, Solange G.; Maran, Natalia R. C.</t>
  </si>
  <si>
    <t>Lack of nitrogen as a causing agent of Cylindrospermopsis raciborskii intermittent blooms in a small tropical reservoir</t>
  </si>
  <si>
    <t>Figueredo, Cleber C/J-7901-2013; Santos, Arthur/AAK-1891-2021; Cupertino, Arthur/AAO-1580-2020; Figueredo, Cleber Cunha/GRI-9512-2022; von Rückert, Gabriela/JCN-8772-2023</t>
  </si>
  <si>
    <t>Santos, Arthur/0000-0002-2196-084X; Figueredo, Cleber Cunha/0000-0002-6248-1327; von Rückert, Gabriela/0009-0003-5681-4468</t>
  </si>
  <si>
    <t>10.1111/1574-6941.12243</t>
  </si>
  <si>
    <t>WOS:000332207200001</t>
  </si>
  <si>
    <t>Olson, MH; Barbieri, NE</t>
  </si>
  <si>
    <t>Olson, Mark H.; Barbieri, Nicholas E.</t>
  </si>
  <si>
    <t>Mechanisms of ultraviolet radiation tolerance in the freshwater snail Physa acuta</t>
  </si>
  <si>
    <t>10.1086/674341</t>
  </si>
  <si>
    <t>WOS:000332322400006</t>
  </si>
  <si>
    <t>Sereda, SV; Wilke, T; Schultheiss, R</t>
  </si>
  <si>
    <t>Sereda, Sergej Vital'evic; Wilke, Thomas; Schultheiss, Roland</t>
  </si>
  <si>
    <t>Changes in Selection Regime Cause Loss of Phenotypic Plasticity in Planktonic Freshwater Copepods</t>
  </si>
  <si>
    <t>Wilke, Thomas/G-1517-2012</t>
  </si>
  <si>
    <t>Wilke, Thomas/0000-0001-8263-7758; Sereda, Sergej/0000-0003-3212-8722</t>
  </si>
  <si>
    <t>FEB 26</t>
  </si>
  <si>
    <t>e90010</t>
  </si>
  <si>
    <t>10.1371/journal.pone.0090010</t>
  </si>
  <si>
    <t>WOS:000332389000128</t>
  </si>
  <si>
    <t>Bjærke, O; Andersen, T; Titelman, J</t>
  </si>
  <si>
    <t>Bjaerke, Oda; Andersen, Tom; Titelman, Josefin</t>
  </si>
  <si>
    <t>Predator chemical cues increase growth and alter development in nauplii of a marine copepod</t>
  </si>
  <si>
    <t>Titelman, Josefin/B-4450-2009</t>
  </si>
  <si>
    <t>Titelman, Josefin/0000-0002-1550-9497</t>
  </si>
  <si>
    <t>10.3354/meps10918</t>
  </si>
  <si>
    <t>WOS:000342457800002</t>
  </si>
  <si>
    <t>Bouchnak, R; Steinberg, CEW</t>
  </si>
  <si>
    <t>Bouchnak, Rihab; Steinberg, Christian E. W.</t>
  </si>
  <si>
    <t>Algal diets and natural xenobiotics impact energy allocation in cladocerans. II. Moina macrocopa and Moina micrura</t>
  </si>
  <si>
    <t>10.1016/j.limno.2013.06.002</t>
  </si>
  <si>
    <t>WOS:000328721900004</t>
  </si>
  <si>
    <t>Gökçe, D; Özhan Turhan, D</t>
  </si>
  <si>
    <t>Gokce, Didem; Ozhan Turhan, Duygu</t>
  </si>
  <si>
    <t>Effects of salinity tolerances on survival and life history of 2 cladocerans</t>
  </si>
  <si>
    <t>TURKISH JOURNAL OF ZOOLOGY</t>
  </si>
  <si>
    <t>1300-0179</t>
  </si>
  <si>
    <t>1303-6114</t>
  </si>
  <si>
    <t>10.3906/zoo-1304-21</t>
  </si>
  <si>
    <t>WOS:000332938000011</t>
  </si>
  <si>
    <t>Horgan, FG; Stuart, AM; Kudavidanage, EP</t>
  </si>
  <si>
    <t>Horgan, Finbarr G.; Stuart, Alexander M.; Kudavidanage, Enoka P.</t>
  </si>
  <si>
    <t>Impact of invasive apple snails on the functioning and services of natural and managed wetlands</t>
  </si>
  <si>
    <t>ACTA OECOLOGICA-INTERNATIONAL JOURNAL OF ECOLOGY</t>
  </si>
  <si>
    <t>Stuart, Alexander M/0000-0002-7804-2628; Horgan, Finbarr/0000-0003-3796-667X</t>
  </si>
  <si>
    <t>1146-609X</t>
  </si>
  <si>
    <t>1873-6238</t>
  </si>
  <si>
    <t>10.1016/j.actao.2012.10.002</t>
  </si>
  <si>
    <t>WOS:000331430000013</t>
  </si>
  <si>
    <t>Kaemingk, MA; Stahr, KJ; Jolley, JC; Holland, RS; Willis, DW</t>
  </si>
  <si>
    <t>Kaemingk, Mark A.; Stahr, Kristopher J.; Jolley, Jeffrey C.; Holland, Richard S.; Willis, David W.</t>
  </si>
  <si>
    <t>Evidence for bluegill spawning plasticity obtained by disentangling complex factors related to recruitment</t>
  </si>
  <si>
    <t>Kaemingk, Mark/Q-2191-2019</t>
  </si>
  <si>
    <t>Kaemingk, Mark/0000-0001-9588-4563; Stahr, Kristopher/0000-0001-8966-8661</t>
  </si>
  <si>
    <t>10.1139/cjfas-2013-0282</t>
  </si>
  <si>
    <t>WOS:000329217900009</t>
  </si>
  <si>
    <t>Kilias, ES; Peeken, I; Metfies, K</t>
  </si>
  <si>
    <t>Kilias, Estelle Silvia; Peeken, Ilka; Metfies, Katja</t>
  </si>
  <si>
    <t>Insight into protist diversity in Arctic sea ice and melt-pond aggregate obtained by pyrosequencing</t>
  </si>
  <si>
    <t>POLAR RESEARCH</t>
  </si>
  <si>
    <t>Peeken, Ilka/0000-0003-1531-1664</t>
  </si>
  <si>
    <t>0800-0395</t>
  </si>
  <si>
    <t>1751-8369</t>
  </si>
  <si>
    <t>10.3402/polar.v33.23466</t>
  </si>
  <si>
    <t>WOS:000344481000001</t>
  </si>
  <si>
    <t>Kistenich, S; Dressler, M; Zimmermann, J; Hübener, T; Bastrop, R; Jahn, R</t>
  </si>
  <si>
    <t>Kistenich, Sonja; Dressler, Mirko; Zimmermann, Jonas; Huebener, Thomas; Bastrop, Ralf; Jahn, Regine</t>
  </si>
  <si>
    <t>An investigation into the morphology and genetics of Cyclotella comensis and closely related taxa</t>
  </si>
  <si>
    <t>Kistenich, Sonja/AAE-8558-2019</t>
  </si>
  <si>
    <t>Kistenich, Sonja/0000-0001-5501-3210; Zimmermann, Jonas/0000-0002-0522-0569</t>
  </si>
  <si>
    <t>10.1080/0269249X.2014.922125</t>
  </si>
  <si>
    <t>WOS:000340134900009</t>
  </si>
  <si>
    <t>Nakov, T; Theriot, EC; Alverson, AJ</t>
  </si>
  <si>
    <t>Nakov, Teofil; Theriot, Edward C.; Alverson, Andrew J.</t>
  </si>
  <si>
    <t>Using phylogeny to model cell size evolution in marine and freshwater diatoms</t>
  </si>
  <si>
    <t>10.4319/lo.2014.59.1.0079</t>
  </si>
  <si>
    <t>WOS:000339901800007</t>
  </si>
  <si>
    <t>Naselli-Flores, L</t>
  </si>
  <si>
    <t>Naselli-Flores, Luigi</t>
  </si>
  <si>
    <t>Morphological analysis of phytoplankton as a tool to assess ecological state of aquatic ecosystems: the case of Lake Arancio, Sicily, Italy</t>
  </si>
  <si>
    <t>Naselli-Flores, Luigi/AAE-7756-2022; Naselli-Flores, Luigi/A-3824-2008</t>
  </si>
  <si>
    <t>Naselli-Flores, Luigi/0000-0003-3748-3862</t>
  </si>
  <si>
    <t>10.5268/IW-4.1.686</t>
  </si>
  <si>
    <t>WOS:000329978100002</t>
  </si>
  <si>
    <t>Olsen, LM; Hernández, KL; Van Ardelan, M; Iriarte, JL; Sánchez, N; González, HE; Tokle, N; Olsen, Y</t>
  </si>
  <si>
    <t>Olsen, Lasse Mork; Hernandez, Klaudia L.; Van Ardelan, Murat; Iriarte, Jose Luis; Sanchez, Nicolas; Gonzalez, Humberto E.; Tokle, Nils; Olsen, Yngvar</t>
  </si>
  <si>
    <t>Responses in the microbial food web to increased rates of nutrient supply in a southern Chilean fjord: possible implications of cage aquaculture</t>
  </si>
  <si>
    <t>AQUACULTURE ENVIRONMENT INTERACTIONS</t>
  </si>
  <si>
    <t>Ardelan, Murat V./J-6492-2013</t>
  </si>
  <si>
    <t>Olsen, Lasse Mork/0000-0003-1328-2687</t>
  </si>
  <si>
    <t>1869-215X</t>
  </si>
  <si>
    <t>1869-7534</t>
  </si>
  <si>
    <t>10.3354/aei00114</t>
  </si>
  <si>
    <t>WOS:000346418600002</t>
  </si>
  <si>
    <t>Rigosi, A; Carey, CC; Ibelings, BW; Brookes, JD</t>
  </si>
  <si>
    <t>Rigosi, Anna; Carey, Cayelan C.; Ibelings, Bas W.; Brookes, Justin D.</t>
  </si>
  <si>
    <t>The interaction between climate warming and eutrophication to promote cyanobacteria is dependent on trophic state and varies among taxa</t>
  </si>
  <si>
    <t>Brookes, JUSTIN/0000-0001-8408-9142</t>
  </si>
  <si>
    <t>10.4319/lo.2014.59.1.0099</t>
  </si>
  <si>
    <t>WOS:000339901800009</t>
  </si>
  <si>
    <t>Steinberg, CEW</t>
  </si>
  <si>
    <t>RosarioOrtiz, F</t>
  </si>
  <si>
    <t>Steinberg, Christian E. W.</t>
  </si>
  <si>
    <t>NOM as Natural Xenobiotics</t>
  </si>
  <si>
    <t>ADVANCES IN THE PHYSICOCHEMICAL CHARACTERIZATION OF DISSOLVED ORGANIC MATTER: IMPACT ON NATURAL AND ENGINEERED SYSTEMS</t>
  </si>
  <si>
    <t>ACS Symposium Series</t>
  </si>
  <si>
    <t>Symposium on Physicochemical Characterization of Organic Matter - Past, Present, Future, and Role of Environment / 245th National Spring Meeting of the American-Chemical-Society (ACS)</t>
  </si>
  <si>
    <t>APR 07-11, 2013</t>
  </si>
  <si>
    <t>Amer Chem Soc, Div Chem Educ</t>
  </si>
  <si>
    <t>0097-6156</t>
  </si>
  <si>
    <t>1947-5918</t>
  </si>
  <si>
    <t>978-0-8412-2951-8</t>
  </si>
  <si>
    <t>WOS:000337981900006</t>
  </si>
  <si>
    <t>Stoks, R; Geerts, AN; De Meester, L</t>
  </si>
  <si>
    <t>Stoks, Robby; Geerts, Aurora N.; De Meester, Luc</t>
  </si>
  <si>
    <t>Evolutionary and plastic responses of freshwater invertebrates to climate change: realized patterns and future potential</t>
  </si>
  <si>
    <t>Stoks, Robby/AAK-1227-2020; De Meester, Luc/F-3832-2015</t>
  </si>
  <si>
    <t>Stoks, Robby/0000-0003-4130-0459; De Meester, Luc/0000-0001-5433-6843</t>
  </si>
  <si>
    <t>10.1111/eva.12108</t>
  </si>
  <si>
    <t>WOS:000332699400004</t>
  </si>
  <si>
    <t>Vijverberg, J; Dejen, E; Getahun, A; Nagelkerke, LAJ</t>
  </si>
  <si>
    <t>Vijverberg, Jacobus; Dejen, Eshete; Getahun, Abebe; Nagelkerke, Leopold A. J.</t>
  </si>
  <si>
    <t>Zooplankton, fish communities and the role of planktivory in nine Ethiopian lakes</t>
  </si>
  <si>
    <t>Nagelkerke, Leo/C-4758-2008; KNAW, NIOO-KNAW/A-4320-2012</t>
  </si>
  <si>
    <t>Nagelkerke, Leo/0000-0003-1130-749X; KNAW, NIOO-KNAW/0000-0002-3835-159X</t>
  </si>
  <si>
    <t>10.1007/s10750-013-1674-7</t>
  </si>
  <si>
    <t>WOS:000327405400005</t>
  </si>
  <si>
    <t>Urzúa, A; Guerao, G; Cuesta, JA; Rotllant, G; Estévez, A; Anger, K</t>
  </si>
  <si>
    <t>Urzua, Angel; Guerao, Guillermo; Cuesta, Jose A.; Rotllant, Guiomar; Estevez, Alicia; Anger, Klaus</t>
  </si>
  <si>
    <t>The bioenergetic fuel for non-feeding larval development in an endemic palaemonid shrimp from the Iberian Peninsula, Palaemonetes zariquieyi</t>
  </si>
  <si>
    <t>10.1080/10236244.2013.857067</t>
  </si>
  <si>
    <t>WOS:000326869500003</t>
  </si>
  <si>
    <t>Ahlgren, J; Yang, X; Hansson, LA; Brönmark, C</t>
  </si>
  <si>
    <t>Ahlgren, Johan; Yang, Xi; Hansson, Lars-Anders; Bronmark, Christer</t>
  </si>
  <si>
    <t>Camouflaged or tanned: plasticity in freshwater snail pigmentation</t>
  </si>
  <si>
    <t>Hansson, Lars-Anders/HCI-2735-2022; Ahlgren, Johan/C-3021-2011</t>
  </si>
  <si>
    <t>Hansson, Lars-Anders/0000-0002-3035-1317; Ahlgren, Johan/0000-0002-6506-289X</t>
  </si>
  <si>
    <t>10.1098/rsbl.2013.0464</t>
  </si>
  <si>
    <t>WOS:000330289600021</t>
  </si>
  <si>
    <t>Eigemann, F; Vanormelingen, P; Hilt, S</t>
  </si>
  <si>
    <t>Eigemann, Falk; Vanormelingen, Pieter; Hilt, Sabine</t>
  </si>
  <si>
    <t>Sensitivity of the Green Alga Pediastrum duplex Meyen to Allelochemicals Is Strain-Specific and Not Related to Co-Occurrence with Allelopathic Macrophytes</t>
  </si>
  <si>
    <t>Eigemann, Falk/0000-0002-4499-5682</t>
  </si>
  <si>
    <t>e78463</t>
  </si>
  <si>
    <t>10.1371/journal.pone.0078463</t>
  </si>
  <si>
    <t>WOS:000326034500087</t>
  </si>
  <si>
    <t>Schröder, A</t>
  </si>
  <si>
    <t>Schroeder, Arne</t>
  </si>
  <si>
    <t>Density- and Size-Dependent Winter Mortality and Growth of Late Chaoborus flavicans Larvae</t>
  </si>
  <si>
    <t>e75839</t>
  </si>
  <si>
    <t>10.1371/journal.pone.0075839</t>
  </si>
  <si>
    <t>WOS:000325489100074</t>
  </si>
  <si>
    <t>Searle, CL; Mendelson, JR; Green, LE; Duffy, MA</t>
  </si>
  <si>
    <t>Searle, Catherine L.; Mendelson, Joseph R., III; Green, Linda E.; Duffy, Meghan A.</t>
  </si>
  <si>
    <t>Daphnia predation on the amphibian chytrid fungus and its impacts on disease risk in tadpoles</t>
  </si>
  <si>
    <t>10.1002/ece3.777</t>
  </si>
  <si>
    <t>WOS:000326286700007</t>
  </si>
  <si>
    <t>Aguilera, VM; Vargas, CA; Manríquez, PH; Navarro, JM; Duarte, C</t>
  </si>
  <si>
    <t>Aguilera, Victor M.; Vargas, Cristian A.; Manriquez, Patricio H.; Navarro, Jorge M.; Duarte, Cristian</t>
  </si>
  <si>
    <t>Low-pH Freshwater Discharges Drive Spatial and Temporal Variations in Life History Traits of Neritic Copepod Acartia tonsa</t>
  </si>
  <si>
    <t>10.1007/s12237-013-9615-2</t>
  </si>
  <si>
    <t>WOS:000323248500016</t>
  </si>
  <si>
    <t>Shatwell, T; Köhler, J; Nicklisch, A</t>
  </si>
  <si>
    <t>Shatwell, Tom; Koehler, Jan; Nicklisch, Andreas</t>
  </si>
  <si>
    <t>Temperature and photoperiod interactions with silicon-limited growth and competition of two diatoms</t>
  </si>
  <si>
    <t>Shatwell, Tom/0000-0002-4520-7916; Shatwell, Tom/0000-0002-4520-7916; Kohler, Jan/0000-0003-1894-2912</t>
  </si>
  <si>
    <t>10.1093/plankt/fbt058</t>
  </si>
  <si>
    <t>WOS:000323966900003</t>
  </si>
  <si>
    <t>Baastrup-Spohr, L; Iversen, LL; Dahl-Nielsen, J; Sand-Jensen, K</t>
  </si>
  <si>
    <t>Baastrup-Spohr, Lars; Iversen, Lars Lonsmann; Dahl-Nielsen, Jeppe; Sand-Jensen, Kaj</t>
  </si>
  <si>
    <t>Seventy years of changes in the abundance of Danish charophytes</t>
  </si>
  <si>
    <t>Iversen, Lars/C-5298-2011; Baastrup-Spohr, Lars/K-4696-2014; Sand-Jensen, Kaj/F-3041-2015</t>
  </si>
  <si>
    <t>Baastrup-Spohr, Lars/0000-0001-8382-984X; Sand-Jensen, Kaj/0000-0003-2534-4638</t>
  </si>
  <si>
    <t>10.1111/fwb.12159</t>
  </si>
  <si>
    <t>WOS:000329212300011</t>
  </si>
  <si>
    <t>Edwards, KF; Litchman, E; Klausmeier, CA</t>
  </si>
  <si>
    <t>Edwards, Kyle F.; Litchman, Elena; Klausmeier, Christopher A.</t>
  </si>
  <si>
    <t>Functional traits explain phytoplankton responses to environmental gradients across lakes of the United States</t>
  </si>
  <si>
    <t>Klausmeier, Christopher A/J-9339-2012</t>
  </si>
  <si>
    <t>Litchman, Elena/0000-0001-7736-6332; Klausmeier, Christopher/0000-0002-6987-5871</t>
  </si>
  <si>
    <t>10.1890/12-1459.1</t>
  </si>
  <si>
    <t>WOS:000321618400020</t>
  </si>
  <si>
    <t>Gerphagnon, M; Latour, D; Colombet, J; Sime-Ngando, T</t>
  </si>
  <si>
    <t>Gerphagnon, Melanie; Latour, Delphine; Colombet, Jonathan; Sime-Ngando, Telesphore</t>
  </si>
  <si>
    <t>A Double Staining Method Using SYTOX Green and Calcofluor White for Studying Fungal Parasites of Phytoplankton</t>
  </si>
  <si>
    <t>10.1128/AEM.00696-13</t>
  </si>
  <si>
    <t>WOS:000319986200006</t>
  </si>
  <si>
    <t>Palmer, ME; Yan, ND</t>
  </si>
  <si>
    <t>Palmer, Michelle E.; Yan, Norman D.</t>
  </si>
  <si>
    <t>Decadal-scale regional changes in Canadian freshwater zooplankton: the likely consequence of complex interactions among multiple anthropogenic stressors</t>
  </si>
  <si>
    <t>Yan, Norman D/H-5235-2013</t>
  </si>
  <si>
    <t>Yan, Norman/0000-0003-4870-6865</t>
  </si>
  <si>
    <t>10.1111/fwb.12133</t>
  </si>
  <si>
    <t>WOS:000319946000006</t>
  </si>
  <si>
    <t>Pinceel, T; Vanschoenwinkel, B; Uten, J; Brendonck, L</t>
  </si>
  <si>
    <t>Pinceel, Tom; Vanschoenwinkel, Bram; Uten, Joeri; Brendonck, Luc</t>
  </si>
  <si>
    <t>Mechanistic and evolutionary aspects of light-induced dormancy termination in a temporary pond crustacean</t>
  </si>
  <si>
    <t>Vanschoenwinkel, Bram/I-9021-2019</t>
  </si>
  <si>
    <t>Vanschoenwinkel, Bram/0000-0002-8973-6297; Brendonck, Luc/0000-0001-5383-1420</t>
  </si>
  <si>
    <t>10.1899/12.157.1</t>
  </si>
  <si>
    <t>WOS:000318774500012</t>
  </si>
  <si>
    <t>Simonis, JL</t>
  </si>
  <si>
    <t>Simonis, Joseph L.</t>
  </si>
  <si>
    <t>Predator ontogeny determines trophic cascade strength in freshwater rock pools</t>
  </si>
  <si>
    <t>Simonis, Juniper/AAE-2410-2019</t>
  </si>
  <si>
    <t>Simonis, Juniper/0000-0001-9798-0460</t>
  </si>
  <si>
    <t>10.1890/ES13-00019.1</t>
  </si>
  <si>
    <t>WOS:000327308300011</t>
  </si>
  <si>
    <t>Stow, CA; Cha, Y</t>
  </si>
  <si>
    <t>Stow, Craig A.; Cha, YoonKyung</t>
  </si>
  <si>
    <t>Are Chlorophyll a-Total Phosphorus Correlations Useful for Inference and Prediction?</t>
  </si>
  <si>
    <t>Stow, Craig/AAG-8109-2020</t>
  </si>
  <si>
    <t>Stow, Craig/0000-0001-6171-7855</t>
  </si>
  <si>
    <t>APR 16</t>
  </si>
  <si>
    <t>10.1021/es304997p</t>
  </si>
  <si>
    <t>WOS:000317813400029</t>
  </si>
  <si>
    <t>Burns, CW</t>
  </si>
  <si>
    <t>Burns, Carolyn W.</t>
  </si>
  <si>
    <t>Predictors of invasion success by Daphnia species: influence of food, temperature and species identity</t>
  </si>
  <si>
    <t>BIOLOGICAL INVASIONS</t>
  </si>
  <si>
    <t>1387-3547</t>
  </si>
  <si>
    <t>1573-1464</t>
  </si>
  <si>
    <t>10.1007/s10530-012-0335-5</t>
  </si>
  <si>
    <t>WOS:000316200700013</t>
  </si>
  <si>
    <t>Chessman, BC</t>
  </si>
  <si>
    <t>Chessman, Bruce C.</t>
  </si>
  <si>
    <t>Identifying species at risk from climate change: Traits predict the drought vulnerability of freshwater fishes</t>
  </si>
  <si>
    <t>BIOLOGICAL CONSERVATION</t>
  </si>
  <si>
    <t>Chessman, Bruce/Q-8602-2019</t>
  </si>
  <si>
    <t>Chessman, Bruce/0000-0002-4173-8023</t>
  </si>
  <si>
    <t>0006-3207</t>
  </si>
  <si>
    <t>1873-2917</t>
  </si>
  <si>
    <t>10.1016/j.biocon.2012.12.032</t>
  </si>
  <si>
    <t>WOS:000320684700006</t>
  </si>
  <si>
    <t>Rolinski, S; Pätz, P; Papendick, K; Jähnichen, S; Scheifhacken, N</t>
  </si>
  <si>
    <t>Rolinski, Susanne; Paetz, Patricia; Papendick, Katrin; Jaehnichen, Sabine; Scheifhacken, Nicole</t>
  </si>
  <si>
    <t>Phytoplankton appearance in particle size spectra - Deriving conversion functions between microscopic and particle counter measurements</t>
  </si>
  <si>
    <t>10.1016/j.watres.2013.01.024</t>
  </si>
  <si>
    <t>WOS:000315543100021</t>
  </si>
  <si>
    <t>Deblois, CP; Marchand, A; Juneau, P</t>
  </si>
  <si>
    <t>Deblois, Charles P.; Marchand, Axelle; Juneau, Philippe</t>
  </si>
  <si>
    <t>Comparison of Photoacclimation in Twelve Freshwater Photoautotrophs (Chlorophyte, Bacillaryophyte, Cryptophyte and Cyanophyte) Isolated from a Natural Community</t>
  </si>
  <si>
    <t>MAR 19</t>
  </si>
  <si>
    <t>e57139</t>
  </si>
  <si>
    <t>10.1371/journal.pone.0057139</t>
  </si>
  <si>
    <t>WOS:000317562100006</t>
  </si>
  <si>
    <t>Sastri, AR; Juneau, P; Beisner, BE</t>
  </si>
  <si>
    <t>Sastri, Akash R.; Juneau, Philippe; Beisner, Beatrix E.</t>
  </si>
  <si>
    <t>Evaluation of chitobiase-based estimates of biomass and production rates for developing freshwater crustacean zooplankton communities</t>
  </si>
  <si>
    <t>Beisner, Beatrix/ABG-7855-2020; Sastri, Akash/D-7798-2013</t>
  </si>
  <si>
    <t>Beisner, Beatrix/0000-0001-6972-6887; Juneau, Philippe/0000-0002-7259-9636; Sastri, Akash/0000-0001-8075-0917</t>
  </si>
  <si>
    <t>10.1093/plankt/fbs104</t>
  </si>
  <si>
    <t>WOS:000316129700014</t>
  </si>
  <si>
    <t>Yalçin-Özdilek, S; Kirankaya, SG; Ekmekçi, FG</t>
  </si>
  <si>
    <t>Yalcin-Ozdilek, Sukran; Kirankaya, Serife Gulsun; Ekmekci, Fitnat Guler</t>
  </si>
  <si>
    <t>Feeding Ecology of the Topmouth Gudgeon Pseudorasbora parva (Temminck and Schlegel, 1846) in the Gelingullu Reservoir, Turkey</t>
  </si>
  <si>
    <t>TURKISH JOURNAL OF FISHERIES AND AQUATIC SCIENCES</t>
  </si>
  <si>
    <t>Yalçın Özdilek, Şükran/K-8393-2012; OZDILEK, Sukran YALCIN/I-9760-2019; Ekmekçi, Fitnat Güler/Q-4029-2016</t>
  </si>
  <si>
    <t>Yalçın Özdilek, Şükran/0000-0001-8264-7606;</t>
  </si>
  <si>
    <t>1303-2712</t>
  </si>
  <si>
    <t>2149-181X</t>
  </si>
  <si>
    <t>10.4194/1303-2712-v13_1_11</t>
  </si>
  <si>
    <t>WOS:000319466300011</t>
  </si>
  <si>
    <t>Loureiro, C; Castro, BB; Cuco, AP; Pedrosa, MA; Gonçalves, F</t>
  </si>
  <si>
    <t>Loureiro, Claudia; Castro, Bruno B.; Cuco, Ana P.; Arminda Pedrosa, M.; Goncalves, Fernando</t>
  </si>
  <si>
    <t>Life-history responses of salinity-tolerant and salinity-sensitive lineages of a stenohaline cladoceran do not confirm clonal differentiation</t>
  </si>
  <si>
    <t>Castro, Bruno B./B-7552-2008; Goncalves, Fernando J. M./B-8000-2008</t>
  </si>
  <si>
    <t>10.1007/s10750-012-1308-5</t>
  </si>
  <si>
    <t>WOS:000312781200007</t>
  </si>
  <si>
    <t>Olijnyk, AM; Nelson, WA</t>
  </si>
  <si>
    <t>Olijnyk, Adriana M.; Nelson, William A.</t>
  </si>
  <si>
    <t>Positive phenotypic correlations among life-history traits remain in the absence of differential resource ingestion</t>
  </si>
  <si>
    <t>10.1111/1365-2435.12015</t>
  </si>
  <si>
    <t>WOS:000314166500018</t>
  </si>
  <si>
    <t>Schabhüttl, S; Hingsamer, P; Weigelhofer, G; Hein, T; Weigert, A; Striebel, M</t>
  </si>
  <si>
    <t>Schabhuettl, Stefanie; Hingsamer, Peter; Weigelhofer, Gabriele; Hein, Thomas; Weigert, Achim; Striebel, Maren</t>
  </si>
  <si>
    <t>Temperature and species richness effects in phytoplankton communities</t>
  </si>
  <si>
    <t>10.1007/s00442-012-2419-4</t>
  </si>
  <si>
    <t>WOS:000313800600021</t>
  </si>
  <si>
    <t>Ventura, T; Manor, R; Aflalo, ED; Chalifa-Caspi, V; Weil, S; Sharabi, O; Sagi, A</t>
  </si>
  <si>
    <t>Ventura, Tomer; Manor, Rivka; Aflalo, Eliahu D.; Chalifa-Caspi, Vered; Weil, Simy; Sharabi, Omri; Sagi, Amir</t>
  </si>
  <si>
    <t>Post-Embryonic Transcriptomes of the Prawn Macrobrachium rosenbergii: Multigenic Succession through Metamorphosis</t>
  </si>
  <si>
    <t>Ventura, T./H-9832-2019; Aflalo, Eliahu D/F-1484-2012</t>
  </si>
  <si>
    <t>Ventura, T./0000-0002-0777-2367; Chalifa-Caspi, Vered/0000-0001-6030-5816; Aflalo, Eli/0000-0003-1385-2387; Sagi, Amir/0000-0002-4229-1059</t>
  </si>
  <si>
    <t>JAN 25</t>
  </si>
  <si>
    <t>e55322</t>
  </si>
  <si>
    <t>10.1371/journal.pone.0055322</t>
  </si>
  <si>
    <t>WOS:000315210400088</t>
  </si>
  <si>
    <t>Todaro, MA; Perissinotto, R; Bownes, SJ</t>
  </si>
  <si>
    <t>Antonio Todaro, M.; Perissinotto, Renzo; Bownes, Sarah J.</t>
  </si>
  <si>
    <t>Neogosseidae (Gastrotricha, Chaetonotida) from the iSimangaliso Wetland Park, KwaZulu-Natal, South Africa</t>
  </si>
  <si>
    <t>ZOOKEYS</t>
  </si>
  <si>
    <t>1313-2989</t>
  </si>
  <si>
    <t>1313-2970</t>
  </si>
  <si>
    <t>10.3897/zookeys.315.5593</t>
  </si>
  <si>
    <t>WOS:000321609900005</t>
  </si>
  <si>
    <t>NATURAL XENOBIOTICS CHANGE MAJOR LIFE HISTORY TRAITS IN A CLONE OF Daphnia galeata</t>
  </si>
  <si>
    <t>3A</t>
  </si>
  <si>
    <t>WOS:000320901600001</t>
  </si>
  <si>
    <t>Nandini, S; Alonso-Soto, R; Sarma, SSS</t>
  </si>
  <si>
    <t>Nandini, S.; Alonso-Soto, Ricardo; Sarma, S. S. S.</t>
  </si>
  <si>
    <t>Growth of Plankton (Scenedesmus acutus (Chlorophyceae) and Moina macracopa (Cladocera)) on Domestic Wastewater</t>
  </si>
  <si>
    <t>CLEAN-SOIL AIR WATER</t>
  </si>
  <si>
    <t>Sarma, S.S.S./G-3634-2010; Nandini, S./AFN-8031-2022</t>
  </si>
  <si>
    <t>Sarma, S.S.S./0000-0003-2820-1579; Nandini, S./0000-0001-5614-6234</t>
  </si>
  <si>
    <t>1863-0650</t>
  </si>
  <si>
    <t>1863-0669</t>
  </si>
  <si>
    <t>10.1002/clen.201000305</t>
  </si>
  <si>
    <t>WOS:000313241900003</t>
  </si>
  <si>
    <t>Lugoli, F; Garmendia, M; Lehtinen, S; Kauppila, P; Moncheva, S; Revilla, M; Roselli, L; Slabakova, N; Valencia, V; Dromph, KM; Basset, A</t>
  </si>
  <si>
    <t>Lugoli, F.; Garmendia, M.; Lehtinen, S.; Kauppila, P.; Moncheva, S.; Revilla, M.; Roselli, L.; Slabakova, N.; Valencia, V.; Dromph, K. M.; Basset, A.</t>
  </si>
  <si>
    <t>Application of a new multi-metric phytoplankton index to the assessment of ecological status in marine and transitional waters</t>
  </si>
  <si>
    <t>GARMENDIA, MAIALEN/D-4218-2014; Revilla, Marta/K-5374-2012</t>
  </si>
  <si>
    <t>10.1016/j.ecolind.2012.03.030</t>
  </si>
  <si>
    <t>WOS:000307130300037</t>
  </si>
  <si>
    <t>Vadadi-Fülöp, C; Sipkay, C; Mészáros, G; Hufnagel, L</t>
  </si>
  <si>
    <t>Vadadi-Fueloep, Csaba; Sipkay, Csaba; Meszaros, Gergely; Hufnagel, Levente</t>
  </si>
  <si>
    <t>Climate change and freshwater zooplankton: what does it boil down to?</t>
  </si>
  <si>
    <t>Vadadi-Fülöp, Csaba/A-9531-2013</t>
  </si>
  <si>
    <t>Hufnagel, Levente/0000-0003-0438-2432</t>
  </si>
  <si>
    <t>10.1007/s10452-012-9418-8</t>
  </si>
  <si>
    <t>WOS:000310537400011</t>
  </si>
  <si>
    <t>Kothari, A; Potrafka, R; Garcia-Pichel, F</t>
  </si>
  <si>
    <t>Kothari, Ankita; Potrafka, Ruth; Garcia-Pichel, Ferran</t>
  </si>
  <si>
    <t>Diversity in hydrogen evolution from bidirectional hydrogenases in cyanobacteria from terrestrial, freshwater and marine intertidal environments</t>
  </si>
  <si>
    <t>JOURNAL OF BIOTECHNOLOGY</t>
  </si>
  <si>
    <t>Kothari, Ankita/H-3039-2013</t>
  </si>
  <si>
    <t>kothari, Ankita/0000-0002-6241-5821</t>
  </si>
  <si>
    <t>0168-1656</t>
  </si>
  <si>
    <t>1873-4863</t>
  </si>
  <si>
    <t>NOV 30</t>
  </si>
  <si>
    <t>10.1016/j.jbiotec.2012.04.017</t>
  </si>
  <si>
    <t>WOS:000311019700014</t>
  </si>
  <si>
    <t>Kruk, C; Segura, AM</t>
  </si>
  <si>
    <t>Kruk, Carla; Segura, Angel M.</t>
  </si>
  <si>
    <t>The habitat template of phytoplankton morphology-based functional groups</t>
  </si>
  <si>
    <t>16th workshop of the International-Association-for-Phytoplankton-Taxonomy-and-Ecology (IAP)</t>
  </si>
  <si>
    <t>AUG 21-28, 2011</t>
  </si>
  <si>
    <t>Trento, ITALY</t>
  </si>
  <si>
    <t>10.1007/s10750-012-1072-6</t>
  </si>
  <si>
    <t>WOS:000309345700015</t>
  </si>
  <si>
    <t>Sommer, U; Adrian, R; Bauer, B; Winder, M</t>
  </si>
  <si>
    <t>Sommer, Ulrich; Adrian, Rita; Bauer, Barbara; Winder, Monika</t>
  </si>
  <si>
    <t>The response of temperate aquatic ecosystems to global warming: novel insights from a multidisciplinary project</t>
  </si>
  <si>
    <t>Winder, Monika/F-5318-2016; Bauer, Barbara/ABD-8980-2020; Bauer, Barbara/AAH-2454-2019</t>
  </si>
  <si>
    <t>Winder, Monika/0000-0001-9467-3035; Bauer, Barbara/0000-0003-2688-2788</t>
  </si>
  <si>
    <t>10.1007/s00227-012-2085-4</t>
  </si>
  <si>
    <t>WOS:000310586900001</t>
  </si>
  <si>
    <t>Gsell, AS; Domis, LND; Przytulska-Bartosiewicz, A; Mooij, WM; van Donk, E; Ibelings, BW</t>
  </si>
  <si>
    <t>Gsell, Alena S.; Domis, Lisette N. de Senerpont; Przytulska-Bartosiewicz, Anna; Mooij, Wolf M.; van Donk, Ellen; Ibelings, Bas W.</t>
  </si>
  <si>
    <t>GENOTYPE-BY-TEMPERATURE INTERACTIONS MAY HELP TO MAINTAIN CLONAL DIVERSITY IN ASTERIONELLA FORMOSA (BACILLARIOPHYCEAE)</t>
  </si>
  <si>
    <t>10.1111/j.1529-8817.2012.01205.x</t>
  </si>
  <si>
    <t>WOS:000309462500014</t>
  </si>
  <si>
    <t>Bukovinszky, T; Verschoor, AM; Helmsing, NR; Bezemer, TM; Bakker, ES; Vos, M; Domis, LND</t>
  </si>
  <si>
    <t>Bukovinszky, Tibor; Verschoor, Antonie M.; Helmsing, Nico R.; Bezemer, T. Martijn; Bakker, Elisabeth S.; Vos, Matthijs; Domis, Lisette N. de Senerpont</t>
  </si>
  <si>
    <t>The Good, the Bad and the Plenty: Interactive Effects of Food Quality and Quantity on the Growth of Different Daphnia Species</t>
  </si>
  <si>
    <t>e42966</t>
  </si>
  <si>
    <t>10.1371/journal.pone.0042966</t>
  </si>
  <si>
    <t>WOS:000309556100006</t>
  </si>
  <si>
    <t>Riessen, HP; Linley, RD; Altshuler, I; Rabus, M; Söllradl, T; Clausen-Schaumann, H; Laforsch, C; Yan, ND</t>
  </si>
  <si>
    <t>Riessen, Howard P.; Linley, Robert Dallas; Altshuler, Ianina; Rabus, Max; Soellradl, Thomas; Clausen-Schaumann, Hauke; Laforsch, Christian; Yan, Norman D.</t>
  </si>
  <si>
    <t>Changes in water chemistry can disable plankton prey defenses</t>
  </si>
  <si>
    <t>SEP 18</t>
  </si>
  <si>
    <t>10.1073/pnas.1209938109</t>
  </si>
  <si>
    <t>WOS:000309211000064</t>
  </si>
  <si>
    <t>Carter, JL; Schindler, DE</t>
  </si>
  <si>
    <t>Carter, Jackie L.; Schindler, Daniel E.</t>
  </si>
  <si>
    <t>Responses of Zooplankton Populations to Four Decades of Climate Warming in Lakes of Southwestern Alaska</t>
  </si>
  <si>
    <t>ECOSYSTEMS</t>
  </si>
  <si>
    <t>1432-9840</t>
  </si>
  <si>
    <t>1435-0629</t>
  </si>
  <si>
    <t>10.1007/s10021-012-9560-0</t>
  </si>
  <si>
    <t>WOS:000307763700012</t>
  </si>
  <si>
    <t>Roman, MR; Pierson, JJ; Kimmel, DG; Boicourt, WC; Zhang, X</t>
  </si>
  <si>
    <t>Roman, M. R.; Pierson, J. J.; Kimmel, D. G.; Boicourt, W. C.; Zhang, X.</t>
  </si>
  <si>
    <t>Impacts of Hypoxia on Zooplankton Spatial Distributions in the Northern Gulf of Mexico</t>
  </si>
  <si>
    <t>Kimmel, David/0000-0001-7232-7801; Kimmel, David/0000-0001-7232-7801; Pierson, James/0000-0002-5248-5850</t>
  </si>
  <si>
    <t>10.1007/s12237-012-9531-x</t>
  </si>
  <si>
    <t>WOS:000307332400010</t>
  </si>
  <si>
    <t>Alves, GM; Velho, LFM; Costa, DD; Lansac-Tôha, FA</t>
  </si>
  <si>
    <t>Alves, Geziele Mucio; Machado Velho, Luiz Felipe; Costa, Deise de Morais; Lansac-Toha, Fabio Amodeo</t>
  </si>
  <si>
    <t>Size structure of testate amoebae (Arcellinida and Euglyphida) in different habitats from a lake in the upper Parana River floodplain</t>
  </si>
  <si>
    <t>EUROPEAN JOURNAL OF PROTISTOLOGY</t>
  </si>
  <si>
    <t>Lansac-Toha, Fábio A/I-3556-2016; Alves, Giselle M/P-5994-2016; Velho, Luiz Felipe Machado/I-9130-2016; Alves, Gustavo/JDD-7916-2023; jesus, gabriela alves silva/KHT-8489-2024</t>
  </si>
  <si>
    <t>Velho, Luiz Felipe Machado/0000-0001-8111-4955; Lansac-Toha, Fabio/0000-0001-6746-8052</t>
  </si>
  <si>
    <t>0932-4739</t>
  </si>
  <si>
    <t>1618-0429</t>
  </si>
  <si>
    <t>10.1016/j.ejop.2011.10.004</t>
  </si>
  <si>
    <t>WOS:000306880900002</t>
  </si>
  <si>
    <t>Tanaka, Y; Mano, H</t>
  </si>
  <si>
    <t>Tanaka, Yoshinari; Mano, Hiroyuki</t>
  </si>
  <si>
    <t>Functional traits of herbivores and food chain efficiency in a simple aquatic community model</t>
  </si>
  <si>
    <t>JUL 10</t>
  </si>
  <si>
    <t>10.1016/j.ecolmodel.2012.04.021</t>
  </si>
  <si>
    <t>WOS:000305863000008</t>
  </si>
  <si>
    <t>Kimmerer, WJ; Parker, AE; Lidström, UE; Carpenter, EJ</t>
  </si>
  <si>
    <t>Kimmerer, Wim J.; Parker, Alexander E.; Lidstroem, Ulrika E.; Carpenter, Edward J.</t>
  </si>
  <si>
    <t>Short-Term and Interannual Variability in Primary Production in the Low-Salinity Zone of the San Francisco Estuary</t>
  </si>
  <si>
    <t>Parker, Alexander/0000-0001-7948-1457</t>
  </si>
  <si>
    <t>10.1007/s12237-012-9482-2</t>
  </si>
  <si>
    <t>WOS:000304697600001</t>
  </si>
  <si>
    <t>Peura, S; Eiler, A; Hiltunen, M; Nykänen, H; Tiirola, M; Jones, RI</t>
  </si>
  <si>
    <t>Peura, Sari; Eiler, Alexander; Hiltunen, Minna; Nykanen, Hannu; Tiirola, Marja; Jones, Roger I.</t>
  </si>
  <si>
    <t>Bacterial and Phytoplankton Responses to Nutrient Amendments in a Boreal Lake Differ According to Season and to Taxonomic Resolution</t>
  </si>
  <si>
    <t>Eiler, Alexander/V-9220-2017; Jones, Roger/C-7703-2011</t>
  </si>
  <si>
    <t>JUN 8</t>
  </si>
  <si>
    <t>e38552</t>
  </si>
  <si>
    <t>10.1371/journal.pone.0038552</t>
  </si>
  <si>
    <t>WOS:000305336800034</t>
  </si>
  <si>
    <t>Preston, DL; Henderson, JS; Johnson, PTJ</t>
  </si>
  <si>
    <t>Preston, Daniel L.; Henderson, Jeremy S.; Johnson, Pieter T. J.</t>
  </si>
  <si>
    <t>Community ecology of invasions: direct and indirect effects of multiple invasive species on aquatic communities</t>
  </si>
  <si>
    <t>JOHNSON, PIETER/0000-0002-7997-5390</t>
  </si>
  <si>
    <t>10.1890/11-1821.1</t>
  </si>
  <si>
    <t>WOS:000305296600002</t>
  </si>
  <si>
    <t>Rukminasari, N; Redden, A</t>
  </si>
  <si>
    <t>Rukminasari, Nita; Redden, Anna</t>
  </si>
  <si>
    <t>Seasonal examination of phytoplankton abundance and assemblages in Myall Lake and Bombah Broadwater, New South Wales, Australia</t>
  </si>
  <si>
    <t>AFRICAN JOURNAL OF MICROBIOLOGY RESEARCH</t>
  </si>
  <si>
    <t>Rukminasari, Nita/M-2410-2014</t>
  </si>
  <si>
    <t>Rukminasari, Nita/0000-0003-2943-9538</t>
  </si>
  <si>
    <t>1996-0808</t>
  </si>
  <si>
    <t>10.5897/AJMR11.735</t>
  </si>
  <si>
    <t>WOS:000307405500012</t>
  </si>
  <si>
    <t>Sarmento, H</t>
  </si>
  <si>
    <t>Sarmento, Hugo</t>
  </si>
  <si>
    <t>New paradigms in tropical limnology: the importance of the microbial food web</t>
  </si>
  <si>
    <t>Sarmento, Hugo/A-7655-2008; Sarmento, Hugo/W-3805-2019</t>
  </si>
  <si>
    <t>Sarmento, Hugo/0000-0001-5220-7992; Sarmento, Hugo/0000-0001-5220-7992</t>
  </si>
  <si>
    <t>10.1007/s10750-012-1011-6</t>
  </si>
  <si>
    <t>WOS:000301778600001</t>
  </si>
  <si>
    <t>Arzate-Cárdenas, MA; Martínez-Jerónimo, F</t>
  </si>
  <si>
    <t>Alberto Arzate-Cardenas, Mario; Martinez-Jeronimo, Fernando</t>
  </si>
  <si>
    <t>Energy resource reallocation in Daphnia schodleri (Anomopoda: Daphniidae) reproduction induced by exposure to hexavalent chromium</t>
  </si>
  <si>
    <t>Cárdenas, Mario Alberto Arzate/AAX-1426-2020</t>
  </si>
  <si>
    <t>Cárdenas, Mario Alberto Arzate/0000-0001-5224-7687; Martinez-Jeronimo, Fernando/0000-0003-1484-9817</t>
  </si>
  <si>
    <t>10.1016/j.chemosphere.2011.12.014</t>
  </si>
  <si>
    <t>WOS:000302045600006</t>
  </si>
  <si>
    <t>Bozkurt, A; Çelik, K; Sevindik, TO</t>
  </si>
  <si>
    <t>Bozkurt, Ahmet; Celik, Kemal; Sevindik, Tugba Ongun</t>
  </si>
  <si>
    <t>SEASONAL VARIATIONS IN THE LENGTH OF ZOOPLANKTON RELATED TO CERTAIN PHYSICOCHEMICAL VARIABLES IN TWO FRESHWATER RESERVOIRS</t>
  </si>
  <si>
    <t>ONGUN SEVİNDİK, Tuğba/ABG-2169-2020; ONGUN SEVİNDİK, Tuğba/JAN-7028-2023</t>
  </si>
  <si>
    <t>ONGUN SEVİNDİK, Tuğba/0000-0001-7682-0142; ONGUN SEVİNDİK, Tuğba/0000-0001-7682-0142</t>
  </si>
  <si>
    <t>4-5</t>
  </si>
  <si>
    <t>10.1163/156854012X634401</t>
  </si>
  <si>
    <t>WOS:000305928900004</t>
  </si>
  <si>
    <t>Carey, CC; Ibelings, BW; Hoffmann, EP; Hamilton, DP; Brookes, JD</t>
  </si>
  <si>
    <t>Carey, Cayelan C.; Ibelings, Bas W.; Hoffmann, Emily P.; Hamilton, David P.; Brookes, Justin D.</t>
  </si>
  <si>
    <t>Eco-physiological adaptations that favour freshwater cyanobacteria in a changing climate</t>
  </si>
  <si>
    <t>10.1016/j.watres.2011.12.016</t>
  </si>
  <si>
    <t>WOS:000301018700005</t>
  </si>
  <si>
    <t>Ni, WM; Zhang, JY; Ding, TD; Stevenson, RJ; Zhu, YM</t>
  </si>
  <si>
    <t>Ni, Wan-min; Zhang, Jian-ying; Ding, Teng-da; Stevenson, R. Jan; Zhu, Yin-mei</t>
  </si>
  <si>
    <t>Environmental factors regulating cyanobacteria dominance and microcystin production in a subtropical lake within the Taihu watershed, China</t>
  </si>
  <si>
    <t>JOURNAL OF ZHEJIANG UNIVERSITY-SCIENCE A</t>
  </si>
  <si>
    <t>Ding, Tengda/ABG-1481-2021; Zhang, Jianying/I-9351-2014</t>
  </si>
  <si>
    <t>Zhang, Jianying/0000-0002-1636-5544</t>
  </si>
  <si>
    <t>1673-565X</t>
  </si>
  <si>
    <t>10.1631/jzus.A1100197</t>
  </si>
  <si>
    <t>WOS:000302400300006</t>
  </si>
  <si>
    <t>Kumar, R; Souissi, S; Hwang, JS</t>
  </si>
  <si>
    <t>Kumar, Ram; Souissi, Sami; Hwang, Jiang-Shiou</t>
  </si>
  <si>
    <t>Vulnerability of carp larvae to copepod predation as a function of larval age and body length</t>
  </si>
  <si>
    <t>AQUACULTURE</t>
  </si>
  <si>
    <t>Souissi, Sami/C-5146-2018</t>
  </si>
  <si>
    <t>Souissi, Sami/0000-0002-6720-0096</t>
  </si>
  <si>
    <t>0044-8486</t>
  </si>
  <si>
    <t>1873-5622</t>
  </si>
  <si>
    <t>MAR 29</t>
  </si>
  <si>
    <t>10.1016/j.aquaculture.2012.01.001</t>
  </si>
  <si>
    <t>WOS:000304290700036</t>
  </si>
  <si>
    <t>Krupica, KL; Sprules, WG; Herman, AW</t>
  </si>
  <si>
    <t>Krupica, Karla L.; Sprules, W. Gary; Herman, Alex W.</t>
  </si>
  <si>
    <t>The utility of body size indices derived from optical plankton counter data for the characterization of marine zooplankton assemblages</t>
  </si>
  <si>
    <t>10.1016/j.csr.2012.01.008</t>
  </si>
  <si>
    <t>WOS:000302431000004</t>
  </si>
  <si>
    <t>Edwards, KF; Thomas, MK; Klausmeier, CA; Litchman, E</t>
  </si>
  <si>
    <t>Edwards, Kyle F.; Thomas, Mridul K.; Klausmeier, Christopher A.; Litchman, Elena</t>
  </si>
  <si>
    <t>Allometric scaling and taxonomic variation in nutrient utilization traits and maximum growth rate of phytoplankton</t>
  </si>
  <si>
    <t>Klausmeier, Christopher A/J-9339-2012; Thomas, Mridul/HZL-6270-2023</t>
  </si>
  <si>
    <t>10.4319/lo.2012.57.2.0554</t>
  </si>
  <si>
    <t>WOS:000302613200014</t>
  </si>
  <si>
    <t>Wund, MA; Valena, S; Wood, S; Baker, JA</t>
  </si>
  <si>
    <t>Wund, Matthew A.; Valena, Sophie; Wood, Susan; Baker, John A.</t>
  </si>
  <si>
    <t>Ancestral plasticity and allometry in threespine stickleback reveal phenotypes associated with derived, freshwater ecotypes</t>
  </si>
  <si>
    <t>BIOLOGICAL JOURNAL OF THE LINNEAN SOCIETY</t>
  </si>
  <si>
    <t>Baker, John A/C-5793-2009; Baker, John/IXN-0056-2023</t>
  </si>
  <si>
    <t>Baker, John/0000-0002-4592-3672; Wund, Matthew/0000-0001-7103-9947</t>
  </si>
  <si>
    <t>0024-4066</t>
  </si>
  <si>
    <t>1095-8312</t>
  </si>
  <si>
    <t>10.1111/j.1095-8312.2011.01815.x</t>
  </si>
  <si>
    <t>WOS:000299693800007</t>
  </si>
  <si>
    <t>Young, SS; Ni, MH; Liu, MY</t>
  </si>
  <si>
    <t>Young, Shuh-Sen; Ni, Mei-Hui; Liu, Min-Yun</t>
  </si>
  <si>
    <t>Systematic Study of the Simocephalus Sensu Stricto Species Group (Cladocera: Daphniidae) from Taiwan by Morphometric and Molecular Analyses</t>
  </si>
  <si>
    <t>WOS:000301691500010</t>
  </si>
  <si>
    <t>Domingues, RB; Barbosa, AB; Sommer, U; Galvao, HM</t>
  </si>
  <si>
    <t>Domingues, Rita B.; Barbosa, Ana B.; Sommer, Ulrich; Galvao, Helena M.</t>
  </si>
  <si>
    <t>Phytoplankton composition, growth and production in the Guadiana estuary (SW Iberia): Unraveling changes induced after dam construction</t>
  </si>
  <si>
    <t>Barbosa, Ana B./K-4244-2012; Galvão, Helena/AFL-8576-2022; Domingues, Rita B./C-2597-2011</t>
  </si>
  <si>
    <t>Galvão, Helena/0000-0003-0939-8994; Domingues, Rita B./0000-0002-7107-8222; Barbosa, Ana/0000-0002-7402-246X</t>
  </si>
  <si>
    <t>10.1016/j.scitotenv.2011.11.043</t>
  </si>
  <si>
    <t>WOS:000301155200035</t>
  </si>
  <si>
    <t>Hahn, MW; Minasyan, A; Lang, E; Koll, U; Spröer, C</t>
  </si>
  <si>
    <t>Hahn, Martin W.; Minasyan, Arevik; Lang, Elke; Koll, Ulrike; Sproeer, Catrin</t>
  </si>
  <si>
    <t>Polynucleobacter difficilis sp nov., a planktonic freshwater bacterium affiliated with subcluster B1 of the genus Polynucleobacter</t>
  </si>
  <si>
    <t>10.1099/ijs.0.031393-0</t>
  </si>
  <si>
    <t>WOS:000300861600019</t>
  </si>
  <si>
    <t>Lesutiene, J; Semenova, A; Griniene, E; Gasiunaite, ZR; Savickyte, V; Dmitrieva, O</t>
  </si>
  <si>
    <t>Lesutiene, Jurate; Semenova, Anna; Griniene, Evelina; Gasiunaite, Zita R.; Savickyte, Viktorija; Dmitrieva, Olga</t>
  </si>
  <si>
    <t>Abundance dynamics and functional role of predaceous Leptodora kindtii in the Curonian Lagoon</t>
  </si>
  <si>
    <t>CENTRAL EUROPEAN JOURNAL OF BIOLOGY</t>
  </si>
  <si>
    <t>Semenova, Anna S/F-4079-2011; Semenova, Anna/HLQ-6218-2023; Dmitrieva, Olga/B-1081-2017; Gasiunaite, Zita Rasuole/AAT-7108-2021</t>
  </si>
  <si>
    <t>Semenova, Anna S/0000-0001-6932-9566; Dmitrieva, Olga/0000-0002-4808-3728; Gasiunaite, Zita R./0000-0002-8598-0524; Lesutiene, Jurate/0000-0002-9636-8218</t>
  </si>
  <si>
    <t>1895-104X</t>
  </si>
  <si>
    <t>1644-3632</t>
  </si>
  <si>
    <t>10.2478/s11535-011-0098-5</t>
  </si>
  <si>
    <t>WOS:000298392500011</t>
  </si>
  <si>
    <t>Condie, SA; Hayes, D; Fulton, EA; Savina, M</t>
  </si>
  <si>
    <t>Condie, Scott A.; Hayes, Donna; Fulton, Elizabeth A.; Savina, Marie</t>
  </si>
  <si>
    <t>Modelling ecological change over half a century in a subtropical estuary: impacts of climate change, land-use, urbanization and freshwater extraction</t>
  </si>
  <si>
    <t>Fulton, Beth/A-2871-2008; Fulton, Beth/AAJ-1398-2021; Condie, Scott A/C-2953-2012</t>
  </si>
  <si>
    <t>Fulton, Beth/0000-0002-5904-7917; Savina-Rolland, Marie/0000-0001-9762-3295</t>
  </si>
  <si>
    <t>10.3354/meps09718</t>
  </si>
  <si>
    <t>WOS:000306755000005</t>
  </si>
  <si>
    <t>Filip, J; Müller, LL; Hillebrand, H; Moorthi, S</t>
  </si>
  <si>
    <t>Filip, Joanna; Mueller, Lilian-Lee; Hillebrand, Helmut; Moorthi, Stefanie</t>
  </si>
  <si>
    <t>Nutritional mode and specialization alter protist consumer diversity effects on prey assemblages</t>
  </si>
  <si>
    <t>; Hillebrand, Helmut/I-1717-2014</t>
  </si>
  <si>
    <t>Muller, Lilian-Lee B./0000-0003-1989-7826; Hillebrand, Helmut/0000-0001-7449-1613</t>
  </si>
  <si>
    <t>10.3354/ame01573</t>
  </si>
  <si>
    <t>WOS:000306321900005</t>
  </si>
  <si>
    <t>Meerhoff, M; Teixeira-de Mello, F; Kruk, C; Alonso, C; González-Bergonzoni, I; Pacheco, JP; Lacerot, G; Arim, M; Beklioglu, M; Brucet, S; Goyenola, G; Iglesias, C; Mazzeo, N; Kosten, S; Jeppesen, E</t>
  </si>
  <si>
    <t>Jacob, U; Woodward, G</t>
  </si>
  <si>
    <t>Meerhoff, Mariana; Teixeira-de Mello, Franco; Kruk, Carla; Alonso, Cecilia; Gonzalez-Bergonzoni, Ivan; Pablo Pacheco, Juan; Lacerot, Gissell; Arim, Matias; Beklioglu, Meryem; Brucet, Sandra; Goyenola, Guillermo; Iglesias, Carlos; Mazzeo, Nestor; Kosten, Sarian; Jeppesen, Erik</t>
  </si>
  <si>
    <t>Environmental Warming in Shallow Lakes: A Review of Potential Changes in Community Structure as Evidenced from Space-for-Time Substitution Approaches</t>
  </si>
  <si>
    <t>ADVANCES IN ECOLOGICAL RESEARCH, VOL 46: GLOBAL CHANGE IN MULTISPECIES SYSTEMS, PT 1</t>
  </si>
  <si>
    <t>Advances in Ecological Research</t>
  </si>
  <si>
    <t>0065-2504</t>
  </si>
  <si>
    <t>2163-582X</t>
  </si>
  <si>
    <t>978-0-12-396992-7</t>
  </si>
  <si>
    <t>10.1016/B978-0-12-396992-7.00004-6</t>
  </si>
  <si>
    <t>WOS:000319706500004</t>
  </si>
  <si>
    <t>Persaud, AD; Dillon, PJ; Molot, LA; Hargan, KE</t>
  </si>
  <si>
    <t>Persaud, A. D.; Dillon, P. J.; Molot, L. A.; Hargan, K. E.</t>
  </si>
  <si>
    <t>Relationships between body size and trophic position of consumers in temperate freshwater lakes</t>
  </si>
  <si>
    <t>10.1007/s00027-011-0212-9</t>
  </si>
  <si>
    <t>WOS:000298750900017</t>
  </si>
  <si>
    <t>Sukenik, A; Hadas, O; Kaplan, A; Quesada, A</t>
  </si>
  <si>
    <t>Sukenik, Assaf; Hadas, Ora; Kaplan, Aaron; Quesada, Antonio</t>
  </si>
  <si>
    <t>Invasion of Nostocales (cyanobacteria) to subtropical and temperate freshwater lakes - physiological, regional, and global driving forces</t>
  </si>
  <si>
    <t>Kaplan, Aaron/GLN-5655-2022; Quesada, Antonio/L-2430-2013</t>
  </si>
  <si>
    <t>Quesada, Antonio/0000-0002-8913-5993; Kaplan, Aaron/0000-0002-0815-5731</t>
  </si>
  <si>
    <t>10.3389/fmicb.2012.00086</t>
  </si>
  <si>
    <t>WOS:000208863600140</t>
  </si>
  <si>
    <t>Thompson, PL; Shurin, JB</t>
  </si>
  <si>
    <t>Thompson, Patrick L.; Shurin, Jonathan B.</t>
  </si>
  <si>
    <t>Regional zooplankton biodiversity provides limited buffering of pond ecosystems against climate change</t>
  </si>
  <si>
    <t>Thompson, Patrick L/B-6213-2012</t>
  </si>
  <si>
    <t>Thompson, Patrick L/0000-0002-5278-9045</t>
  </si>
  <si>
    <t>10.1111/j.1365-2656.2011.01908.x</t>
  </si>
  <si>
    <t>WOS:000297849300026</t>
  </si>
  <si>
    <t>Vogt, G</t>
  </si>
  <si>
    <t>Vogt, G.</t>
  </si>
  <si>
    <t>Ageing and longevity in the Decapoda (Crustacea): A review</t>
  </si>
  <si>
    <t>ZOOLOGISCHER ANZEIGER</t>
  </si>
  <si>
    <t>0044-5231</t>
  </si>
  <si>
    <t>10.1016/j.jcz.2011.05.003</t>
  </si>
  <si>
    <t>WOS:000302500300001</t>
  </si>
  <si>
    <t>Urzúa, A; Anger, K</t>
  </si>
  <si>
    <t>Urzua, Angel; Anger, Klaus</t>
  </si>
  <si>
    <t>Larval biomass and chemical composition at hatching in two geographically isolated clades of the shrimp Macrobrachium amazonicum: intra- or interspecific variation?</t>
  </si>
  <si>
    <t>INVERTEBRATE REPRODUCTION &amp; DEVELOPMENT</t>
  </si>
  <si>
    <t>Urzúa, Ángel/0000-0001-7706-5126</t>
  </si>
  <si>
    <t>0792-4259</t>
  </si>
  <si>
    <t>2157-0272</t>
  </si>
  <si>
    <t>10.1080/07924259.2011.576155</t>
  </si>
  <si>
    <t>WOS:000298831700006</t>
  </si>
  <si>
    <t>Carvalho, L; Miller, CA; Scott, EM; Codd, GA; Davies, PS; Tyler, AN</t>
  </si>
  <si>
    <t>Carvalho, Laurence; Miller nee (Ferguson), Claire A.; Scott, E. Marian; Codd, Geoffrey A.; Davies, P. Sian; Tyler, Andrew N.</t>
  </si>
  <si>
    <t>Cyanobacterial blooms: Statistical models describing risk factors for national-scale lake assessment and lake management</t>
  </si>
  <si>
    <t>Carvalho, Laurence/0000-0002-9768-9902; Tyler, Andrew/0000-0003-0604-5827</t>
  </si>
  <si>
    <t>10.1016/j.scitotenv.2011.09.030</t>
  </si>
  <si>
    <t>WOS:000297444800023</t>
  </si>
  <si>
    <t>Donnelly, A; Caffarra, A; O'Neill, BF</t>
  </si>
  <si>
    <t>Donnelly, Alison; Caffarra, Amelia; O'Neill, Bridget F.</t>
  </si>
  <si>
    <t>A review of climate-driven mismatches between interdependent phenophases in terrestrial and aquatic ecosystems</t>
  </si>
  <si>
    <t>INTERNATIONAL JOURNAL OF BIOMETEOROLOGY</t>
  </si>
  <si>
    <t>International Conference on Phenology - Climate Change Impacts and Adaptation</t>
  </si>
  <si>
    <t>JUN, 2010</t>
  </si>
  <si>
    <t>Trinity Coll, Dublin, IRELAND</t>
  </si>
  <si>
    <t>Trinity Coll</t>
  </si>
  <si>
    <t>0020-7128</t>
  </si>
  <si>
    <t>1432-1254</t>
  </si>
  <si>
    <t>10.1007/s00484-011-0426-5</t>
  </si>
  <si>
    <t>WOS:000298398700007</t>
  </si>
  <si>
    <t>Edwards, KF; Klausmeier, CA; Litchman, E</t>
  </si>
  <si>
    <t>Edwards, Kyle F.; Klausmeier, Christopher A.; Litchman, Elena</t>
  </si>
  <si>
    <t>Evidence for a three-way trade-off between nitrogen and phosphorus competitive abilities and cell size in phytoplankton</t>
  </si>
  <si>
    <t>Klausmeier, Christopher/0000-0002-6987-5871; Litchman, Elena/0000-0001-7736-6332</t>
  </si>
  <si>
    <t>10.1890/11-0395.1</t>
  </si>
  <si>
    <t>WOS:000296426000010</t>
  </si>
  <si>
    <t>Bron, JE; Frisch, D; Goetze, E; Johnson, SC; Lee, CE; Wyngaard, GA</t>
  </si>
  <si>
    <t>Bron, James E.; Frisch, Dagmar; Goetze, Erica; Johnson, Stewart C.; Lee, Carol Eunmi; Wyngaard, Grace A.</t>
  </si>
  <si>
    <t>Observing copepods through a genomic lens</t>
  </si>
  <si>
    <t>FRONTIERS IN ZOOLOGY</t>
  </si>
  <si>
    <t>1742-9994</t>
  </si>
  <si>
    <t>10.1186/1742-9994-8-22</t>
  </si>
  <si>
    <t>WOS:000295470000001</t>
  </si>
  <si>
    <t>Walsh, MR; Post, DM</t>
  </si>
  <si>
    <t>Walsh, Matthew R.; Post, David M.</t>
  </si>
  <si>
    <t>Interpopulation variation in a fish predator drives evolutionary divergence in prey in lakes</t>
  </si>
  <si>
    <t>Post, David M/A-6987-2009</t>
  </si>
  <si>
    <t>Post, David M/0000-0003-1434-7729</t>
  </si>
  <si>
    <t>SEP 7</t>
  </si>
  <si>
    <t>10.1098/rspb.2010.2634</t>
  </si>
  <si>
    <t>WOS:000293142200011</t>
  </si>
  <si>
    <t>Berthon, V; Bouchez, A; Rimet, F</t>
  </si>
  <si>
    <t>Berthon, Vincent; Bouchez, Agnes; Rimet, Frederic</t>
  </si>
  <si>
    <t>Using diatom life-forms and ecological guilds to assess organic pollution and trophic level in rivers: a case study of rivers in south-eastern France</t>
  </si>
  <si>
    <t>10.1007/s10750-011-0786-1</t>
  </si>
  <si>
    <t>WOS:000293162400020</t>
  </si>
  <si>
    <t>Goyenola, G; Iglesias, C; Mazzeo, N; Jeppesen, E</t>
  </si>
  <si>
    <t>Goyenola, G.; Iglesias, C.; Mazzeo, N.; Jeppesen, E.</t>
  </si>
  <si>
    <t>Analysis of the reproductive strategy of Jenynsia multidentata (Cyprinodontiformes, Anablepidae) with focus on sexual differences in growth, size, and abundance</t>
  </si>
  <si>
    <t>10.1007/s10750-011-0784-3</t>
  </si>
  <si>
    <t>WOS:000293162400019</t>
  </si>
  <si>
    <t>Hill, WR; Rinchard, J; Czesny, S</t>
  </si>
  <si>
    <t>Hill, Walter R.; Rinchard, Jacques; Czesny, Sergiusz</t>
  </si>
  <si>
    <t>Light, nutrients and the fatty acid composition of stream periphyton</t>
  </si>
  <si>
    <t>10.1111/j.1365-2427.2011.02622.x</t>
  </si>
  <si>
    <t>WOS:000293523200010</t>
  </si>
  <si>
    <t>Reiss, J; Schmid-Araya, JM</t>
  </si>
  <si>
    <t>Reiss, Julia; Schmid-Araya, Jenny M.</t>
  </si>
  <si>
    <t>Feeding response of a benthic copepod to ciliate prey type, prey concentration and habitat complexity</t>
  </si>
  <si>
    <t>Reiss, Julia/0000-0002-3740-0046</t>
  </si>
  <si>
    <t>10.1111/j.1365-2427.2011.02590.x</t>
  </si>
  <si>
    <t>WOS:000292446700005</t>
  </si>
  <si>
    <t>Vanschoenwinkel, B; Waterkeyn, A; Nhiwatiwa, T; Pinceel, T; Spooren, E; Geerts, A; Clegg, B; Brendonck, L</t>
  </si>
  <si>
    <t>Vanschoenwinkel, Bram; Waterkeyn, Aline; Nhiwatiwa, Tamuka; Pinceel, Tom; Spooren, Elien; Geerts, Aurora; Clegg, Bruce; Brendonck, Luc</t>
  </si>
  <si>
    <t>Passive external transport of freshwater invertebrates by elephant and other mud-wallowing mammals in an African savannah habitat</t>
  </si>
  <si>
    <t>Nhiwatiwa, Tamuka/AAR-2624-2021; Vanschoenwinkel, Bram/I-9021-2019</t>
  </si>
  <si>
    <t>10.1111/j.1365-2427.2011.02600.x</t>
  </si>
  <si>
    <t>WOS:000292446700012</t>
  </si>
  <si>
    <t>Wang, YY; Yu, XB; Xu, J</t>
  </si>
  <si>
    <t>Wang, Yuyu; Yu, Xiubo; Xu, Jun</t>
  </si>
  <si>
    <t>Decreased trophic position as a function of increasing body size of a benthic omnivorous fish from the largest freshwater lake in China</t>
  </si>
  <si>
    <t>ENVIRONMENTAL BIOLOGY OF FISHES</t>
  </si>
  <si>
    <t>Yu, Xiubo/A-5875-2016</t>
  </si>
  <si>
    <t>YU, Xiubo/0000-0002-8266-2432</t>
  </si>
  <si>
    <t>0378-1909</t>
  </si>
  <si>
    <t>1573-5133</t>
  </si>
  <si>
    <t>10.1007/s10641-011-9808-0</t>
  </si>
  <si>
    <t>WOS:000293297300012</t>
  </si>
  <si>
    <t>Chatzigeorgiou, G; Reizopoulou, S; Maidanou, M; Naletaki, M; Orneraki, E; Apostolaki, E; Arvanitidis, C</t>
  </si>
  <si>
    <t>Chatzigeorgiou, Georgios; Reizopoulou, Sophia; Maidanou, Maria; Naletaki, Maria; Orneraki, Eleni; Apostolaki, Eugenia; Arvanitidis, Christos</t>
  </si>
  <si>
    <t>Macrobenthic community changes due to dystrophic events and freshwater inflow: Changes in space and time in a Mediterranean lagoon (Gialova lagoon, SW Greece)</t>
  </si>
  <si>
    <t>Apostolaki, Eugenia/O-9739-2019; Apostolaki, Eugenia/G-9536-2011; Chatzigeorgiou, Giorgos/AAK-7339-2020; Arvanitidis, Christos/J-1540-2016</t>
  </si>
  <si>
    <t>Apostolaki, Eugenia/0000-0002-6520-6574; Arvanitidis, Christos/0000-0002-6924-5255; Chatzigeorgiou, Giorgos/0000-0003-3507-6542</t>
  </si>
  <si>
    <t>JUL 30</t>
  </si>
  <si>
    <t>10.1016/j.ecss.2011.06.001</t>
  </si>
  <si>
    <t>WOS:000294150400012</t>
  </si>
  <si>
    <t>Liu, LP; Li, K; Chen, TY; Dai, XL; Jiang, M; Diana, JS</t>
  </si>
  <si>
    <t>Liu Liping; Li Kang; Chen Taoying; Dai Xilin; Jiang Min; Diana, James S.</t>
  </si>
  <si>
    <t>Effects of Microcystis aeruginosa on life history of water flea Daphnia magna</t>
  </si>
  <si>
    <t>liu, li/HGC-0900-2022</t>
  </si>
  <si>
    <t>li, kang/0000-0002-3049-0552</t>
  </si>
  <si>
    <t>10.1007/s00343-011-0518-4</t>
  </si>
  <si>
    <t>WOS:000292558700018</t>
  </si>
  <si>
    <t>Mehner, T; Kasprzak, P</t>
  </si>
  <si>
    <t>Mehner, Thomas; Kasprzak, Peter</t>
  </si>
  <si>
    <t>Partial diel vertical migrations in pelagic fish</t>
  </si>
  <si>
    <t>Mehner, Thomas/B-8665-2008</t>
  </si>
  <si>
    <t>Mehner, Thomas/0000-0002-3619-165X</t>
  </si>
  <si>
    <t>10.1111/j.1365-2656.2011.01823.x</t>
  </si>
  <si>
    <t>WOS:000291309500006</t>
  </si>
  <si>
    <t>Teixeira, MC; Santana, NF; de Azevedo, JCR; Pagioro, TA</t>
  </si>
  <si>
    <t>Teixeira, Mariana Carolina; Santana, Natalia Fernanda; Rodrigues de Azevedo, Julio Cesar; Pagioro, Thomaz Aurelio</t>
  </si>
  <si>
    <t>BACTERIOPLANKTON FEATURES AND ITS RELATIONS WITH DOC CHARACTERISTICS AND OTHER LIMNOLOGICAL VARIABLES IN PARANA RIVER FLOODPLAIN ENVIRONMENTS (PR/MS-BRAZIL)</t>
  </si>
  <si>
    <t>BRAZILIAN JOURNAL OF MICROBIOLOGY</t>
  </si>
  <si>
    <t>Pagioro, Thomaz/D-5951-2013; Azevedo, Julio/AAE-2454-2020; Pagioro, Thomaz/AAE-4009-2020; Azevedo, Julio Cesar Rodrigues/GQA-8664-2022; Azevedo, Julio Cesar R/C-7466-2015</t>
  </si>
  <si>
    <t>Azevedo, Julio/0000-0001-5358-0713; Pagioro, Thomaz/0000-0002-2169-6989; Azevedo, Julio Cesar Rodrigues/0000-0001-5358-0713;</t>
  </si>
  <si>
    <t>1517-8382</t>
  </si>
  <si>
    <t>1678-4405</t>
  </si>
  <si>
    <t>10.1590/S1517-83822011000300008</t>
  </si>
  <si>
    <t>WOS:000297756800008</t>
  </si>
  <si>
    <t>Ward, B; Dutkiewicz, S; Barton, AD; Follows, MJ</t>
  </si>
  <si>
    <t>Ward, Ben A.; Dutkiewicz, Stephanie; Barton, Andrew D.; Follows, Michael J.</t>
  </si>
  <si>
    <t>Biophysical Aspects of Resource Acquisition and Competition in Algal Mixotrophs</t>
  </si>
  <si>
    <t>10.1086/660284</t>
  </si>
  <si>
    <t>WOS:000292040200011</t>
  </si>
  <si>
    <t>Hart, RC; Bychek, EA</t>
  </si>
  <si>
    <t>Hart, R. C.; Bychek, E. A.</t>
  </si>
  <si>
    <t>Body size in freshwater planktonic crustaceans: an overview of extrinsic determinants and modifying influences of biotic interactions</t>
  </si>
  <si>
    <t>Hart, Robert Clynton/0000-0002-3750-7724</t>
  </si>
  <si>
    <t>10.1007/s10750-010-0400-y</t>
  </si>
  <si>
    <t>WOS:000290177300006</t>
  </si>
  <si>
    <t>Van Donk, E; Ianora, A; Vos, M</t>
  </si>
  <si>
    <t>Van Donk, Ellen; Ianora, Adrianna; Vos, Matthijs</t>
  </si>
  <si>
    <t>Induced defences in marine and freshwater phytoplankton: a review</t>
  </si>
  <si>
    <t>van Donk, Ellen/B-7272-2008; Vos, Matthijs/B-3802-2009; Ianora, Adrianna/O-3408-2019</t>
  </si>
  <si>
    <t>van Donk, Ellen/0000-0003-3279-4936;</t>
  </si>
  <si>
    <t>10.1007/s10750-010-0395-4</t>
  </si>
  <si>
    <t>WOS:000290177300002</t>
  </si>
  <si>
    <t>Yen, J; Sehn, JK; Catton, K; Kramer, A; Sarnelle, O</t>
  </si>
  <si>
    <t>Yen, Jeannette; Sehn, Jennifer K.; Catton, Kimberly; Kramer, Andrew; Sarnelle, Orlando</t>
  </si>
  <si>
    <t>Pheromone trail following in three dimensions by the freshwater copepod Hesperodiaptomus shoshone</t>
  </si>
  <si>
    <t>Kramer, Andrew/C-5495-2008</t>
  </si>
  <si>
    <t>Kramer, Andrew/0000-0002-9031-6580</t>
  </si>
  <si>
    <t>10.1093/plankt/fbq164</t>
  </si>
  <si>
    <t>WOS:000290394300006</t>
  </si>
  <si>
    <t>Alverson, AJ; Beszteri, B; Julius, ML; Theriot, EC</t>
  </si>
  <si>
    <t>Alverson, Andrew J.; Beszteri, Bank; Julius, Matthew L.; Theriot, Edward C.</t>
  </si>
  <si>
    <t>The model marine diatom Thalassiosira pseudonana likely descended from a freshwater ancestor in the genus Cyclotella</t>
  </si>
  <si>
    <t>Beszteri, Bank/D-1961-2010; Julius, Matthew/M-1302-2014</t>
  </si>
  <si>
    <t>Beszteri, Bank/0000-0002-6852-1588; Alverson, Andrew/0000-0003-1241-2654; Julius, Matthew/0000-0003-1693-4644</t>
  </si>
  <si>
    <t>10.1186/1471-2148-11-125</t>
  </si>
  <si>
    <t>WOS:000292048000001</t>
  </si>
  <si>
    <t>Colombo-Corbi, V; Dellamano-Oliveira, MJ; Vieira, AAH</t>
  </si>
  <si>
    <t>Colombo-Corbi, Vanessa; Dellamano-Oliveira, Maria Jose; Henriques Vieira, Armando Augusto</t>
  </si>
  <si>
    <t>Glycolytic Activities in Size-Fractionated Water Samples: Emphasis on Rhamnosidase, Arabinosidase and Fucosidase Activities</t>
  </si>
  <si>
    <t>BRAZILIAN ARCHIVES OF BIOLOGY AND TECHNOLOGY</t>
  </si>
  <si>
    <t>Vieira, Armando AH/I-3894-2013; Corbi, Vanessa C/E-3231-2016</t>
  </si>
  <si>
    <t>1516-8913</t>
  </si>
  <si>
    <t>1678-4324</t>
  </si>
  <si>
    <t>10.1590/S1516-89132011000300013</t>
  </si>
  <si>
    <t>WOS:000291849900013</t>
  </si>
  <si>
    <t>Chaichana, R; Leah, R; Moss, B</t>
  </si>
  <si>
    <t>Chaichana, Ratcha; Leah, Rick; Moss, Brian</t>
  </si>
  <si>
    <t>Conservation of pond systems: a case study of intractability, Brown Moss, UK</t>
  </si>
  <si>
    <t>Chaichana, Ratcha/0000-0003-0244-9736</t>
  </si>
  <si>
    <t>10.1007/s10750-010-0579-y</t>
  </si>
  <si>
    <t>WOS:000288562800002</t>
  </si>
  <si>
    <t>Hahn, MW; Lang, E; Tarao, M; Brandt, U</t>
  </si>
  <si>
    <t>Hahn, Martin W.; Lang, Elke; Tarao, Mitsunori; Brandt, Ulrike</t>
  </si>
  <si>
    <t>Polynucleobacter rarus sp. nov., a free-living planktonic bacterium isolated from an acidic lake</t>
  </si>
  <si>
    <t>Hahn, Martin W./B-9998-2008; TARAO, Mitsunori/G-1142-2013</t>
  </si>
  <si>
    <t>Hahn, Martin W./0000-0003-0501-2556;</t>
  </si>
  <si>
    <t>10.1099/ijs.0.017350-0</t>
  </si>
  <si>
    <t>WOS:000290135000015</t>
  </si>
  <si>
    <t>Hahn, MW; Lang, E; Brandt, U; Spröer, C</t>
  </si>
  <si>
    <t>Hahn, Martin W.; Lang, Eike; Brandt, Ulrike; Sproeer, Cathrin</t>
  </si>
  <si>
    <t>Polynucleobacter acidiphobus sp. nov., a representative of an abundant group of planktonic freshwater bacteria</t>
  </si>
  <si>
    <t>10.1099/ijs.0.023929-0</t>
  </si>
  <si>
    <t>WOS:000290135000016</t>
  </si>
  <si>
    <t>Yvon-Durocher, G; Montoya, JM; Trimmer, M; Woodward, G</t>
  </si>
  <si>
    <t>Yvon-Durocher, Gabriel; Montoya, Jose M.; Trimmer, Mark; Woodward, Guy</t>
  </si>
  <si>
    <t>Warming alters the size spectrum and shifts the distribution of biomass in freshwater ecosystems</t>
  </si>
  <si>
    <t>Trimmer, Mark/0000-0002-9859-5537; Montoya, Jose M./0000-0002-6676-7592; Yvon-Durocher, Gabriel/0000-0002-1749-3417</t>
  </si>
  <si>
    <t>10.1111/j.1365-2486.2010.02321.x</t>
  </si>
  <si>
    <t>WOS:000287853000015</t>
  </si>
  <si>
    <t>Kramer, AM; Sarnelle, O; Yen, J</t>
  </si>
  <si>
    <t>Kramer, Andrew M.; Sarnelle, Orlando; Yen, Jeannette</t>
  </si>
  <si>
    <t>The effect of mating behavior and temperature variation on the critical population density of a freshwater copepod</t>
  </si>
  <si>
    <t>10.4319/lo.2011.56.2.0707</t>
  </si>
  <si>
    <t>WOS:000290677800025</t>
  </si>
  <si>
    <t>Schwaderer, AS; Yoshiyama, K; Pinto, PT; Swenson, NG; Klausmeier, CA; Litchman, E</t>
  </si>
  <si>
    <t>Schwaderer, Anne S.; Yoshiyama, Kohei; de Tezanos Pinto, Paula; Swenson, Nathan G.; Klausmeier, Christopher A.; Litchman, Elena</t>
  </si>
  <si>
    <t>Eco-evolutionary differences in light utilization traits and distributions of freshwater phytoplankton</t>
  </si>
  <si>
    <t>10.4319/lo.2011.56.2.0589</t>
  </si>
  <si>
    <t>WOS:000290677800015</t>
  </si>
  <si>
    <t>Ackermann, B; Esser, M; Scherwass, A; Arndt, H</t>
  </si>
  <si>
    <t>Ackermann, Barbara; Esser, Markus; Scherwass, Anja; Arndt, Hartmut</t>
  </si>
  <si>
    <t>Long-Term Dynamics of Microbial Biofilm Communities of the River Rhine with Special References to Ciliates</t>
  </si>
  <si>
    <t>Arndt, Hartmut/K-9364-2017</t>
  </si>
  <si>
    <t>Arndt, Hartmut/0000-0003-2811-3595</t>
  </si>
  <si>
    <t>10.1002/iroh.201011286</t>
  </si>
  <si>
    <t>WOS:000288099500001</t>
  </si>
  <si>
    <t>Bruggeman, J</t>
  </si>
  <si>
    <t>Bruggeman, Jorn</t>
  </si>
  <si>
    <t>A PHYLOGENETIC APPROACH TO THE ESTIMATION OF PHYTOPLANKTON TRAITS</t>
  </si>
  <si>
    <t>Bruggeman, Jorn/0000-0003-2493-2323</t>
  </si>
  <si>
    <t>10.1111/j.1529-8817.2010.00946.x</t>
  </si>
  <si>
    <t>WOS:000287492700007</t>
  </si>
  <si>
    <t>Awiti, AO</t>
  </si>
  <si>
    <t>Awiti, Alex O.</t>
  </si>
  <si>
    <t>Biological Diversity and Resilience: Lessons from the Recovery of Cichlid Species in Lake Victoria</t>
  </si>
  <si>
    <t>ECOLOGY AND SOCIETY</t>
  </si>
  <si>
    <t>Awiti, Alex O./J-6389-2019</t>
  </si>
  <si>
    <t>1708-3087</t>
  </si>
  <si>
    <t>WOS:000289081200029</t>
  </si>
  <si>
    <t>Bec, B; Collos, Y; Souchu, P; Vaquer, A; Lautier, J; Fiandrino, A; Benau, L; Orsoni, V; Laugier, T</t>
  </si>
  <si>
    <t>Bec, Beatrice; Collos, Yves; Souchu, Philippe; Vaquer, Andre; Lautier, Jacques; Fiandrino, Annie; Benau, Laurent; Orsoni, Valerie; Laugier, Thierry</t>
  </si>
  <si>
    <t>Distribution of picophytoplankton and nanophytoplankton along an anthropogenic eutrophication gradient in French Mediterranean coastal lagoons</t>
  </si>
  <si>
    <t>Laugier, Thierry/0000-0003-0409-4510</t>
  </si>
  <si>
    <t>10.3354/ame01480</t>
  </si>
  <si>
    <t>WOS:000287818000004</t>
  </si>
  <si>
    <t>Dzialowski, AR; Smith, VH; Wang, SH; Martin, MC; deNoyelles, F</t>
  </si>
  <si>
    <t>Dzialowski, Andrew R.; Smith, Val H.; Wang, Shih-Hsien; Martin, Michael C.; deNoyelles, F., Jr.</t>
  </si>
  <si>
    <t>Effects of non-algal turbidity on cyanobacterial biomass in seven turbid Kansas reservoirs</t>
  </si>
  <si>
    <t>LAKE AND RESERVOIR MANAGEMENT</t>
  </si>
  <si>
    <t>Martin, Michael C./ABH-9841-2020</t>
  </si>
  <si>
    <t>Martin, Michael C./0000-0002-6611-070X</t>
  </si>
  <si>
    <t>1040-2381</t>
  </si>
  <si>
    <t>2151-5530</t>
  </si>
  <si>
    <t>PII 934984675</t>
  </si>
  <si>
    <t>10.1080/07438141.2011.551027</t>
  </si>
  <si>
    <t>WOS:000288676400002</t>
  </si>
  <si>
    <t>Gagneten, AM</t>
  </si>
  <si>
    <t>Ansari, AA; Gill, SS; Lanza, GR; Rast, W</t>
  </si>
  <si>
    <t>Gagneten, Ana Maria</t>
  </si>
  <si>
    <t>Effects of Contamination by Heavy Metals and Eutrophication on Zooplankton, and Their Possible Effects on the Trophic Webs of Freshwater Aquatic Ecosystems</t>
  </si>
  <si>
    <t>EUTROPHICATION: CAUSES, CONSEQUENCES AND CONTROL</t>
  </si>
  <si>
    <t>Gagneten, Ana Maria/0000-0001-6402-2389</t>
  </si>
  <si>
    <t>978-90-481-9624-1</t>
  </si>
  <si>
    <t>10.1007/978-90-481-9625-8_10</t>
  </si>
  <si>
    <t>10.1007/978-90-481-9625-8</t>
  </si>
  <si>
    <t>WOS:000283620400010</t>
  </si>
  <si>
    <t>Silva-Briano, M; Suárez-Morales, E; Ortiz, AA; Reyes-Flores, M</t>
  </si>
  <si>
    <t>Silva-Briano, Marcelo; Suarez-Morales, Eduardo; Adabache Ortiz, Araceli; Reyes-Flores, Montserrat</t>
  </si>
  <si>
    <t>Two species of Mastigodiaptomus (Copepoda: Diaptomidae), hosts of the epibiotic ciliate Trichodina diaptomi (Peritricha) in North America</t>
  </si>
  <si>
    <t>JOURNAL OF LIMNOLOGY</t>
  </si>
  <si>
    <t>1129-5767</t>
  </si>
  <si>
    <t>1723-8633</t>
  </si>
  <si>
    <t>10.4081/jlimnol.2011.329</t>
  </si>
  <si>
    <t>WOS:000294320400020</t>
  </si>
  <si>
    <t>Kasalicky, V; Jezbera, J; Simek, K; Hahn, MW</t>
  </si>
  <si>
    <t>Kasalicky, Vojtech; Jezbera, Jan; Simek, Karel; Hahn, Martin W.</t>
  </si>
  <si>
    <t>Limnohabitans planktonicus sp nov and Limnohabitans parvus sp nov., planktonic betaproteobacteria isolated from a freshwater reservoir, and emended description of the genus Limnohabitans</t>
  </si>
  <si>
    <t>10.1099/ijs.0.018952-0</t>
  </si>
  <si>
    <t>WOS:000286169100003</t>
  </si>
  <si>
    <t>Chakri, K; Touati, L; Alfarhan, AH; Al-Rasheid, KAS; Samraoui, B</t>
  </si>
  <si>
    <t>Chakri, Khemissa; Touati, Laid; Alfarhan, Ahmed H.; Al-Rasheid, Khaled A. S.; Samraoui, Boudjema</t>
  </si>
  <si>
    <t>Effect of vertebrate and invertebrate kairomones on the life history of Daphnia magna Straus (Crustacea: Branchiopoda)</t>
  </si>
  <si>
    <t>COMPTES RENDUS BIOLOGIES</t>
  </si>
  <si>
    <t>AL-Rasheid, Khaled/C-2486-2008; Touati, Laid/ABI-3161-2020; Samraoui, Boudjéma/E-6761-2011; Alfarhan, Ahmed/GQH-6118-2022</t>
  </si>
  <si>
    <t>AL-Rasheid, Khaled/0000-0002-3404-3397; Touati, Laid/0000-0002-6716-9914; Samraoui, Boudjéma/0000-0002-0608-9021;</t>
  </si>
  <si>
    <t>1631-0691</t>
  </si>
  <si>
    <t>1768-3238</t>
  </si>
  <si>
    <t>NOV-DEC</t>
  </si>
  <si>
    <t>11-12</t>
  </si>
  <si>
    <t>10.1016/j.crvi.2010.09.004</t>
  </si>
  <si>
    <t>WOS:000286037900010</t>
  </si>
  <si>
    <t>Mano, H; Sakamoto, M; Tanaka, Y</t>
  </si>
  <si>
    <t>Mano, Hiroyuki; Sakamoto, Masaki; Tanaka, Yoshinari</t>
  </si>
  <si>
    <t>A comparative study of insecticide toxicity among seven cladoceran species</t>
  </si>
  <si>
    <t>10.1007/s10646-010-0547-3</t>
  </si>
  <si>
    <t>WOS:000284363800025</t>
  </si>
  <si>
    <t>Yin, XW; Liu, PF; Zhu, SS; Chen, XX</t>
  </si>
  <si>
    <t>Yin, Xu Wang; Liu, Peng Fei; Zhu, Sha Sha; Chen, Xiao Xia</t>
  </si>
  <si>
    <t>Food selectivity of the herbivore Daphnia magna (Cladocera) and its impact on competition outcome between two freshwater green algae</t>
  </si>
  <si>
    <t>10.1007/s10750-010-0399-0</t>
  </si>
  <si>
    <t>WOS:000282179900002</t>
  </si>
  <si>
    <t>Litchman, E; Pinto, PD; Klausmeier, CA; Thomas, MK; Yoshiyama, K</t>
  </si>
  <si>
    <t>Litchman, Elena; Pinto, Paula de Tezanos; Klausmeier, Christopher A.; Thomas, Mridul K.; Yoshiyama, Kohei</t>
  </si>
  <si>
    <t>Linking traits to species diversity and community structure in phytoplankton</t>
  </si>
  <si>
    <t>10.1007/s10750-010-0341-5</t>
  </si>
  <si>
    <t>WOS:000280092100003</t>
  </si>
  <si>
    <t>Rojo, C; Salazar, G</t>
  </si>
  <si>
    <t>Rojo, Carmen; Salazar, Guillem</t>
  </si>
  <si>
    <t>Why are there so many kinds of planktonic consumers? The answer lies in the allometric diet breadth</t>
  </si>
  <si>
    <t>Rojo, Carmen/L-5358-2014; Salazar, Guillem/L-5868-2014</t>
  </si>
  <si>
    <t>Salazar, Guillem/0000-0002-9786-1493; Rojo, Carmen/0000-0003-1034-0175</t>
  </si>
  <si>
    <t>10.1007/s10750-010-0346-0</t>
  </si>
  <si>
    <t>WOS:000280092100008</t>
  </si>
  <si>
    <t>Dineen, G; Robertson, AL</t>
  </si>
  <si>
    <t>Dineen, Gerard; Robertson, Anne L.</t>
  </si>
  <si>
    <t>Subtle top-down control of a freshwater meiofaunal assemblage by juvenile fish</t>
  </si>
  <si>
    <t>robertson, anne/0000-0001-8398-3556</t>
  </si>
  <si>
    <t>10.1111/j.1365-2427.2010.02416.x</t>
  </si>
  <si>
    <t>WOS:000280997300002</t>
  </si>
  <si>
    <t>Escrivà, A; Armengol, X; Mezquita, F</t>
  </si>
  <si>
    <t>Escriva, Andreu; Armengol, Xavier; Mezquita, Francesc</t>
  </si>
  <si>
    <t>Microcrustacean and Rotiferan Communities of Two Close Mediterranean Mountain Ponds, Lagunas de Bezas and Rubiales (Spain)</t>
  </si>
  <si>
    <t>Armengol, Javier/AFX-9563-2022; Armengol, Javier/H-2325-2015; Mesquita-Joanes, Francesc/F-3200-2011</t>
  </si>
  <si>
    <t>Armengol, Javier/0000-0002-0312-0396; Armengol, Javier/0000-0002-0312-0396; Mesquita-Joanes, Francesc/0000-0001-7168-1980</t>
  </si>
  <si>
    <t>10.1080/02705060.2010.9664386</t>
  </si>
  <si>
    <t>WOS:000281047300013</t>
  </si>
  <si>
    <t>Wyatt, KH; Stevenson, RJ; Turetsky, MR</t>
  </si>
  <si>
    <t>Wyatt, Kevin H.; Stevenson, R. Jan; Turetsky, Merritt R.</t>
  </si>
  <si>
    <t>The importance of nutrient co-limitation in regulating algal community composition, productivity and algal-derived DOC in an oligotrophic marsh in interior Alaska</t>
  </si>
  <si>
    <t>Turetsky, Merritt R./B-1255-2013</t>
  </si>
  <si>
    <t>10.1111/j.1365-2427.2010.02419.x</t>
  </si>
  <si>
    <t>WOS:000280997300004</t>
  </si>
  <si>
    <t>Low, EW; Clews, E; Todd, PA; Tai, YC; Ng, PKL</t>
  </si>
  <si>
    <t>Low, E. W.; Clews, E.; Todd, P. A.; Tai, Y. C.; Ng, Peter K. L.</t>
  </si>
  <si>
    <t>TOP-DOWN CONTROL OF PHYTOPLANKTON BY ZOOPLANKTON IN TROPICAL RESERVOIRS IN SINGAPORE?</t>
  </si>
  <si>
    <t>RAFFLES BULLETIN OF ZOOLOGY</t>
  </si>
  <si>
    <t>0217-2445</t>
  </si>
  <si>
    <t>WOS:000282419800014</t>
  </si>
  <si>
    <t>Asaduzzaman, M; Rahman, MM; Azim, ME; Islam, MA; Wahab, MA; Verdegem, MCJ; Verreth, JAJ</t>
  </si>
  <si>
    <t>Asaduzzaman, M.; Rahman, M. M.; Azim, M. E.; Islam, M. Ashraful; Wahab, M. A.; Verdegem, M. C. J.; Verreth, J. A. J.</t>
  </si>
  <si>
    <t>Effects of C/N ratio and substrate addition on natural food communities in freshwater prawn monoculture ponds</t>
  </si>
  <si>
    <t>Rahman, Mustafizur M./H-9290-2019; Verreth, Johan/ABD-7198-2020; Verdegem, Marc/C-6659-2014</t>
  </si>
  <si>
    <t>1-4</t>
  </si>
  <si>
    <t>10.1016/j.aquaculture.2010.05.035</t>
  </si>
  <si>
    <t>WOS:000280735200016</t>
  </si>
  <si>
    <t>Brucet, S; Boix, D; Quintana, XD; Jensen, E; Nathansen, LW; Trochine, C; Meerhoff, M; Gascón, S; Jeppesen, E</t>
  </si>
  <si>
    <t>Brucet, Sandra; Boix, Dani; Quintana, Xavier D.; Jensen, Elisabeth; Nathansen, Louise W.; Trochine, Carolina; Meerhoff, Mariana; Gascon, Stephanie; Jeppesen, Erik</t>
  </si>
  <si>
    <t>Factors influencing zooplankton size structure at contrasting temperatures in coastal shallow lakes: Implications for effects of climate change</t>
  </si>
  <si>
    <t>10.4319/lo.2010.55.4.1697</t>
  </si>
  <si>
    <t>WOS:000283657000018</t>
  </si>
  <si>
    <t>Alves, JM; Caliman, A; Guariento, RD; Figueiredo-Barros, MP; Carneiro, LS; Farjalla, VF; Bozelli, RL; Esteves, FA</t>
  </si>
  <si>
    <t>Alves, Joao M.; Caliman, Adriano; Guariento, Rafael D.; Figueiredo-Barros, Marcos P.; Carneiro, Luciana S.; Farjalla, Vinicius F.; Bozelli, Reinaldo L.; Esteves, Francisco A.</t>
  </si>
  <si>
    <t>Stoichiometry of benthic invertebrate nutrient recycling: interspecific variation and the role of body mass</t>
  </si>
  <si>
    <t>10.1007/s10452-009-9302-3</t>
  </si>
  <si>
    <t>WOS:000277425000009</t>
  </si>
  <si>
    <t>Dean, AP; Sigee, DC; Estrada, B; Pittman, JK</t>
  </si>
  <si>
    <t>Dean, Andrew P.; Sigee, David C.; Estrada, Beatriz; Pittman, Jon K.</t>
  </si>
  <si>
    <t>Using FTIR spectroscopy for rapid determination of lipid accumulation in response to nitrogen limitation in freshwater microalgae</t>
  </si>
  <si>
    <t>BIORESOURCE TECHNOLOGY</t>
  </si>
  <si>
    <t>Dean, Andrew Peter/R-1949-2017</t>
  </si>
  <si>
    <t>Dean, Andrew Peter/0000-0001-6893-5118; Pittman, Jon/0000-0001-7197-1494</t>
  </si>
  <si>
    <t>0960-8524</t>
  </si>
  <si>
    <t>1873-2976</t>
  </si>
  <si>
    <t>10.1016/j.biortech.2010.01.065</t>
  </si>
  <si>
    <t>WOS:000276374500034</t>
  </si>
  <si>
    <t>Hahn, MW; Kasalicky, V; Jezbera, J; Brandt, U; Jezberová, J; Simek, K</t>
  </si>
  <si>
    <t>Hahn, Martin W.; Kasalicky, Vojtech; Jezbera, Jan; Brandt, Ulrike; Jezberova, Jitka; Simek, Karel</t>
  </si>
  <si>
    <t>Limnohabitans curvus gen. nov., sp nov., a planktonic bacterium isolated from a freshwater lake</t>
  </si>
  <si>
    <t>Kasalicky, Vojtech/AAC-2903-2021; Šimek, Karel/AAB-1956-2021; Jezbera, Jan/B-5657-2015; Simek, Karel/F-8930-2014; Hahn, Martin W./B-9998-2008; Jezberova, Jitka/G-1024-2014</t>
  </si>
  <si>
    <t>Kasalicky, Vojtech/0000-0002-9132-8321; Šimek, Karel/0000-0002-7058-9063; Hahn, Martin W./0000-0003-0501-2556; Jezberova, Jitka/0000-0001-5000-9319</t>
  </si>
  <si>
    <t>10.1099/ijs.0.013292-0</t>
  </si>
  <si>
    <t>WOS:000279369100019</t>
  </si>
  <si>
    <t>Reyna-Fabián, ME; Laclette, JP; Cummings, MP; García-Varela, M</t>
  </si>
  <si>
    <t>Reyna-Fabian, Miriam E.; Pedro Laclette, Juan; Cummings, Michael P.; Garcia-Varela, Martin</t>
  </si>
  <si>
    <t>Validating the systematic position of Plationus Segers, Murugan &amp; Dumont, 1993 (Rotifera: Brachionidae) using sequences of the large subunit of the nuclear ribosomal DNA and of cytochrome C oxidase</t>
  </si>
  <si>
    <t>Reyna-Fabián, Miriam E/AAS-2335-2020</t>
  </si>
  <si>
    <t>Reyna-Fabián, Miriam E/0000-0003-3123-8305</t>
  </si>
  <si>
    <t>10.1007/s10750-010-0203-1</t>
  </si>
  <si>
    <t>WOS:000276071600026</t>
  </si>
  <si>
    <t>Bergamino, N; Horion, S; Stenuite, S; Cornet, Y; Loiselle, S; Plisnier, PD; Descy, JP</t>
  </si>
  <si>
    <t>Bergamino, N.; Horion, S.; Stenuite, S.; Cornet, Y.; Loiselle, S.; Plisnier, P. -D.; Descy, J-P.</t>
  </si>
  <si>
    <t>Spatio-temporal dynamics of phytoplankton and primary production in Lake Tanganyika using a MODIS based bio-optical time series</t>
  </si>
  <si>
    <t>Loiselle, Steven/0000-0001-7414-0389; Descy, Jean-Pierre/0000-0003-1649-7800; Horion, Stephanie/0000-0001-6716-1333</t>
  </si>
  <si>
    <t>APR 15</t>
  </si>
  <si>
    <t>10.1016/j.rse.2009.11.013</t>
  </si>
  <si>
    <t>WOS:000274982700007</t>
  </si>
  <si>
    <t>Kruk, C; Huszar, VLM; Peeters, ETHM; Bonilla, S; Costa, L; Lürling, M; Reynolds, CS; Scheffer, M</t>
  </si>
  <si>
    <t>Kruk, Carla; Huszar, Vera L. M.; Peeters, Edwin T. H. M.; Bonilla, Sylvia; Costa, Luciana; Lurling, Miquel; Reynolds, Colin S.; Scheffer, Marten</t>
  </si>
  <si>
    <t>A morphological classification capturing functional variation in phytoplankton</t>
  </si>
  <si>
    <t>Scheffer, Marten/C-1852-2012; Huszar, Vera L M/J-7126-2012</t>
  </si>
  <si>
    <t>10.1111/j.1365-2427.2009.02298.x</t>
  </si>
  <si>
    <t>WOS:000274814100009</t>
  </si>
  <si>
    <t>Ventura, SPM; Gonçalves, AMM; Gonçalves, F; Coutinho, JAP</t>
  </si>
  <si>
    <t>Ventura, Sonia P. M.; Goncalves, Ana M. M.; Goncalves, Fernando; Coutinho, Joao A. P.</t>
  </si>
  <si>
    <t>Assessing the toxicity on [C3mim][Tf2N] to aquatic organisms of different trophic levels</t>
  </si>
  <si>
    <t>AQUATIC TOXICOLOGY</t>
  </si>
  <si>
    <t>0166-445X</t>
  </si>
  <si>
    <t>1879-1514</t>
  </si>
  <si>
    <t>MAR 1</t>
  </si>
  <si>
    <t>10.1016/j.aquatox.2009.11.008</t>
  </si>
  <si>
    <t>WOS:000275763900006</t>
  </si>
  <si>
    <t>Seidendorf, B; Meier, N; Petrusek, A; Boersma, M; Streit, B; Schwenk, K</t>
  </si>
  <si>
    <t>Seidendorf, Bernd; Meier, Nadine; Petrusek, Adam; Boersma, Maarten; Streit, Bruno; Schwenk, Klaus</t>
  </si>
  <si>
    <t>Sensitivity of Daphnia species to phosphorus-deficient diets</t>
  </si>
  <si>
    <t>Petrusek, Adam/0000-0001-5150-4370; Schwenk, Klaus/0000-0003-2427-4332; Boersma, Maarten/0000-0003-1010-026X; Hallmann, Nadine/0000-0002-5642-9944</t>
  </si>
  <si>
    <t>10.1007/s00442-009-1452-4</t>
  </si>
  <si>
    <t>WOS:000273795200009</t>
  </si>
  <si>
    <t>Jewson, DH; Granin, NG; Zhdarnov, AA; Gorbunova, LA; Gnatovsky, RY</t>
  </si>
  <si>
    <t>Jewson, David H.; Granin, Nick G.; Zhdarnov, Andre A.; Gorbunova, Ludmilla A.; Gnatovsky, Ruslan Yu</t>
  </si>
  <si>
    <t>Vertical mixing, size change and resting stage formation of the planktonic diatom Aulacoseira baicalensis</t>
  </si>
  <si>
    <t>Granin, Nikolay Grigorievich/J-4801-2018</t>
  </si>
  <si>
    <t>10.1080/09670262.2010.492915</t>
  </si>
  <si>
    <t>WOS:000288374100002</t>
  </si>
  <si>
    <t>Rezácová-Skaloudová, M; Neustupa, J; Nemcová, Y</t>
  </si>
  <si>
    <t>Rezacova-Skaloudova, Magda; Neustupa, Jiri; Nemcova, Yvonne</t>
  </si>
  <si>
    <t>Effect of temperature on the variability of silicate structures in Mallomonas kalinae and Synura curtispina (Synurophyceae)</t>
  </si>
  <si>
    <t>NOVA HEDWIGIA</t>
  </si>
  <si>
    <t>7th International Chrysophyte Symposium</t>
  </si>
  <si>
    <t>JUN 22-27, 2008</t>
  </si>
  <si>
    <t>Connecticut Coll, New London, CT</t>
  </si>
  <si>
    <t>Connecticut Coll</t>
  </si>
  <si>
    <t>Nemcova, Yvonne/I-6989-2015; Nemcova, Yvonne/HGC-1581-2022; Neustupa, Jiri/J-1610-2015</t>
  </si>
  <si>
    <t>Nemcova, Yvonne/0000-0002-5396-5717; Neustupa, Jiri/0000-0003-3610-8120</t>
  </si>
  <si>
    <t>0029-5035</t>
  </si>
  <si>
    <t>2363-7188</t>
  </si>
  <si>
    <t>10.1127/1438-9134/2010/0136-0055</t>
  </si>
  <si>
    <t>WOS:000279419900006</t>
  </si>
  <si>
    <t>Visconti, A; Manca, M</t>
  </si>
  <si>
    <t>Visconti, Anna; Manca, Marina</t>
  </si>
  <si>
    <t>The invasive appearance of Eudiaptomus gracilis (GO Sars 1863) in Lago Maggiore</t>
  </si>
  <si>
    <t>10.4081/jlimnol.2010.353</t>
  </si>
  <si>
    <t>WOS:000282859700017</t>
  </si>
  <si>
    <t>Sato, M; Takeda, S; Furuya, K</t>
  </si>
  <si>
    <t>Sato, Mitsuhide; Takeda, Shigenobu; Furuya, Ken</t>
  </si>
  <si>
    <t>Responses of pico- and nanophytoplankton to artificial iron infusions observed during the second iron enrichment experiment in the western subarctic Pacific (SEEDS II)</t>
  </si>
  <si>
    <t>DEEP-SEA RESEARCH PART II-TOPICAL STUDIES IN OCEANOGRAPHY</t>
  </si>
  <si>
    <t>furuya, ken/0000-0002-3507-5489; Sato, Mitsuhide/0000-0002-4449-7050</t>
  </si>
  <si>
    <t>0967-0645</t>
  </si>
  <si>
    <t>10.1016/j.dsr2.2009.06.002</t>
  </si>
  <si>
    <t>WOS:000273147300003</t>
  </si>
  <si>
    <t>Mize, SV; Demcheck, DK</t>
  </si>
  <si>
    <t>Mize, Scott V.; Demcheck, Dennis K.</t>
  </si>
  <si>
    <t>Water quality and phytoplankton communities in Lake Pontchartrain during and after the Bonnet Carr, Spillway opening, April to October 2008, in Louisiana, USA</t>
  </si>
  <si>
    <t>GEO-MARINE LETTERS</t>
  </si>
  <si>
    <t>0276-0460</t>
  </si>
  <si>
    <t>10.1007/s00367-009-0157-3</t>
  </si>
  <si>
    <t>WOS:000271949800008</t>
  </si>
  <si>
    <t>Puebla, O</t>
  </si>
  <si>
    <t>Puebla, O.</t>
  </si>
  <si>
    <t>Ecological speciation in marine v. freshwater fishes</t>
  </si>
  <si>
    <t>Puebla, Oscar/0000-0001-9700-5841</t>
  </si>
  <si>
    <t>10.1111/j.1095-8649.2009.02358.x</t>
  </si>
  <si>
    <t>WOS:000271496400002</t>
  </si>
  <si>
    <t>Baek, SH; Shimode, S; Shin, K; Han, MS; Kikuchi, T</t>
  </si>
  <si>
    <t>Baek, Seung Ho; Shimode, Shinji; Shin, Kyoungsoon; Han, Myung-Soo; Kikuchi, Tomohiko</t>
  </si>
  <si>
    <t>Growth of dinoflagellates, Ceratium furca and Ceratium fusus in Sagami Bay, Japan: The role of vertical migration and cell division</t>
  </si>
  <si>
    <t>10.1016/j.hal.2009.04.001</t>
  </si>
  <si>
    <t>WOS:000270494600004</t>
  </si>
  <si>
    <t>Wang, YY; Hammes, F; Boon, N; Chami, M; Egli, T</t>
  </si>
  <si>
    <t>Wang, Yingying; Hammes, Frederik; Boon, Nico; Chami, Mohamed; Egli, Thomas</t>
  </si>
  <si>
    <t>Isolation and characterization of low nucleic acid (LNA)-content bacteria</t>
  </si>
  <si>
    <t>10.1038/ismej.2009.46</t>
  </si>
  <si>
    <t>WOS:000268741300003</t>
  </si>
  <si>
    <t>Lemke, AM; Benke, AC</t>
  </si>
  <si>
    <t>Lemke, A. Maria; Benke, Arthur C.</t>
  </si>
  <si>
    <t>Spatial and temporal patterns of microcrustacean assemblage structure and secondary production in a wetland ecosystem</t>
  </si>
  <si>
    <t>10.1111/j.1365-2427.2009.02193.x</t>
  </si>
  <si>
    <t>WOS:000266637400003</t>
  </si>
  <si>
    <t>Sakamoto, M; Hanazato, T; Tanaka, Y</t>
  </si>
  <si>
    <t>Sakamoto, Masaki; Hanazato, Takayuki; Tanaka, Yoshinari</t>
  </si>
  <si>
    <t>Impact of an Insecticide on Persistence of Inherent Antipredator Morphology of a Small Cladoceran, Bosmina</t>
  </si>
  <si>
    <t>ARCHIVES OF ENVIRONMENTAL CONTAMINATION AND TOXICOLOGY</t>
  </si>
  <si>
    <t>0090-4341</t>
  </si>
  <si>
    <t>1432-0703</t>
  </si>
  <si>
    <t>10.1007/s00244-008-9247-x</t>
  </si>
  <si>
    <t>WOS:000266266200008</t>
  </si>
  <si>
    <t>Jones, LE; Becks, L; Ellner, SP; Hairston, NG; Yoshida, T; Fussmann, GF</t>
  </si>
  <si>
    <t>Jones, Laura E.; Becks, Lutz; Ellner, Stephen P.; Hairston, Nelson G., Jr.; Yoshida, Takehito; Fussmann, Gregor F.</t>
  </si>
  <si>
    <t>Rapid contemporary evolution and clonal food web dynamics</t>
  </si>
  <si>
    <t>PHILOSOPHICAL TRANSACTIONS OF THE ROYAL SOCIETY B-BIOLOGICAL SCIENCES</t>
  </si>
  <si>
    <t>Yoshida, Takehito/ABB-2490-2020; Yoshida, Takehito/O-9983-2014; Becks, Lutz/I-8256-2012</t>
  </si>
  <si>
    <t>Yoshida, Takehito/0000-0001-9178-3634; Fussmann, Gregor/0000-0001-9576-0122; Jones, Laura E./0000-0003-4446-650X</t>
  </si>
  <si>
    <t>0962-8436</t>
  </si>
  <si>
    <t>1471-2970</t>
  </si>
  <si>
    <t>JUN 12</t>
  </si>
  <si>
    <t>10.1098/rstb.2009.0004</t>
  </si>
  <si>
    <t>WOS:000265732200010</t>
  </si>
  <si>
    <t>Sanvicente-Añorve, L; Alba, C; Flores-Coto, C; Castillo-Rivera, M</t>
  </si>
  <si>
    <t>Sanvicente-Anorve, Laura; Alba, Claudia; Flores-Coto, Cesar; Castillo-Rivera, Manuel</t>
  </si>
  <si>
    <t>Siphonophores off a riverine system in the southern Gulf of Mexico: factors affecting their distribution and spatial niche breadth and overlap</t>
  </si>
  <si>
    <t>Sanvicente-Añorve, Laura/JQI-3608-2023</t>
  </si>
  <si>
    <t>Flores Coto, Cesar/0000-0003-3426-439X; Castillo Rivera, Manuel Arnoldo/0000-0002-7088-1769; Sanvicente Anorve, Laura Elena/0000-0002-0951-4564</t>
  </si>
  <si>
    <t>10.1007/s10452-008-9172-0</t>
  </si>
  <si>
    <t>WOS:000265439800020</t>
  </si>
  <si>
    <t>Vuorio, K; Meili, M; Sarvala, J</t>
  </si>
  <si>
    <t>Vuorio, Kristiina; Meili, Markus; Sarvala, Jouko</t>
  </si>
  <si>
    <t>Natural isotopic composition of carbon (δ13C) correlates with colony size in the planktonic cyanobacterium Gloeotrichia echinulata</t>
  </si>
  <si>
    <t>Sarvala, Jouko/J-8962-2019; Meili, Markus/B-1336-2013</t>
  </si>
  <si>
    <t>Sarvala, Jouko/0000-0002-5016-3049; Vuorio, Kristiina/0000-0001-7974-0092</t>
  </si>
  <si>
    <t>10.4319/lo.2009.54.3.0925</t>
  </si>
  <si>
    <t>WOS:000268325000024</t>
  </si>
  <si>
    <t>Meakin, CA; Qin, JG; Mair, GC</t>
  </si>
  <si>
    <t>Meakin, Craig A.; Qin, Jian G.; Mair, Graham C.</t>
  </si>
  <si>
    <t>Zooplankton Predation and Consumption by Freshwater Crayfish, Cherax tenuimanus, at Different Sizes and Light Conditions</t>
  </si>
  <si>
    <t>Qin, Jianguang/0000-0003-2448-8058</t>
  </si>
  <si>
    <t>10.1080/02705060.2009.9664276</t>
  </si>
  <si>
    <t>WOS:000263434300018</t>
  </si>
  <si>
    <t>Ki, JS; Cho, SY; Katano, T; Jung, SW; Lee, J; Park, BS; Kang, SH; Han, MS</t>
  </si>
  <si>
    <t>Ki, Jang-Seu; Cho, Soo-Yeon; Katano, Toshiya; Jung, Seung Won; Lee, Juyun; Park, Bum Soo; Kang, Sung-Ho; Han, Myung-Soo</t>
  </si>
  <si>
    <t>Comprehensive comparisons of three pennate diatoms, Diatoma tenuae, Fragilaria vaucheriae, and Navicula pelliculosa, isolated from summer Arctic reservoirs (Svalbard 79A°N), by fine-scale morphology and nuclear 18S ribosomal DNA</t>
  </si>
  <si>
    <t>Jung, Seung Won/L-9467-2016; katano, toshiya/O-1904-2014; PARK, Bum Soo/W-3178-2017</t>
  </si>
  <si>
    <t>katano, toshiya/0000-0001-5184-3065; PARK, Bum Soo/0000-0002-5441-6779</t>
  </si>
  <si>
    <t>10.1007/s00300-008-0514-0</t>
  </si>
  <si>
    <t>WOS:000262439300002</t>
  </si>
  <si>
    <t>Palkovacs, EP; Post, DM</t>
  </si>
  <si>
    <t>Palkovacs, Eric P.; Post, David M.</t>
  </si>
  <si>
    <t>Experimental evidence that phenotypic divergence in predators drives community divergence in prey</t>
  </si>
  <si>
    <t>10.1890/08-1673.1</t>
  </si>
  <si>
    <t>WOS:000263570800002</t>
  </si>
  <si>
    <t>Shurin, JB; Cottenie, K; Hillebrand, H</t>
  </si>
  <si>
    <t>Shurin, Jonathan B.; Cottenie, Karl; Hillebrand, Helmut</t>
  </si>
  <si>
    <t>Spatial autocorrelation and dispersal limitation in freshwater organisms</t>
  </si>
  <si>
    <t>10.1007/s00442-008-1174-z</t>
  </si>
  <si>
    <t>WOS:000262576700014</t>
  </si>
  <si>
    <t>Ahlgren, G; Vrede, T; Goedkoop, W</t>
  </si>
  <si>
    <t>Arts, MT; Brett, MT; Kainz, MJ</t>
  </si>
  <si>
    <t>Ahlgren, Gunnel; Vrede, Tobias; Goedkoop, Willem</t>
  </si>
  <si>
    <t>Fatty Acid Ratios in Freshwater Fish, Zooplankton and Zoobenthos - Are There Specific Optima?</t>
  </si>
  <si>
    <t>LIPIDS IN AQUATIC ECOSYSTEMS</t>
  </si>
  <si>
    <t>Vrede, Tobias/C-1956-2015; Vrede, Tobias/AAC-6469-2019</t>
  </si>
  <si>
    <t>Vrede, Tobias/0000-0001-8235-9890; Vrede, Tobias/0000-0001-8235-9890; Goedkoop, Willem/0000-0002-4775-5676</t>
  </si>
  <si>
    <t>978-0-387-88607-7</t>
  </si>
  <si>
    <t>10.1007/978-0-387-89366-2_7</t>
  </si>
  <si>
    <t>10.1007/978-0-387-89366-2</t>
  </si>
  <si>
    <t>WOS:000268354200008</t>
  </si>
  <si>
    <t>Baretta-Bekker, JG; Baretta, JW; Latuhihin, MJ; Desmit, X; Prins, TC</t>
  </si>
  <si>
    <t>Baretta-Bekker, J. G.; Baretta, J. W.; Latuhihin, M. J.; Desmit, X.; Prins, T. C.</t>
  </si>
  <si>
    <t>Description of the long-term (1991-2005) temporal and spatial distribution of phytoplankton carbon biomass in the Dutch North Sea</t>
  </si>
  <si>
    <t>Workshop on Time Series Data Relevant to Eutrophication and Ecological Quality Indicators</t>
  </si>
  <si>
    <t>SEP 11-14, 2006</t>
  </si>
  <si>
    <t>Tisvildeleje, DENMARK</t>
  </si>
  <si>
    <t>Prins, Theo/0000-0003-4339-1454</t>
  </si>
  <si>
    <t>1-2</t>
  </si>
  <si>
    <t>10.1016/j.seares.2008.10.007</t>
  </si>
  <si>
    <t>WOS:000263197000007</t>
  </si>
  <si>
    <t>Harrison, JW; Smith, REH</t>
  </si>
  <si>
    <t>Harrison, Joel W.; Smith, Ralph E. H.</t>
  </si>
  <si>
    <t>Effects of ultraviolet radiation on the productivity and composition of freshwater phytoplankton communities</t>
  </si>
  <si>
    <t>PHOTOCHEMICAL &amp; PHOTOBIOLOGICAL SCIENCES</t>
  </si>
  <si>
    <t>Smith, Ralph E.H./F-3655-2010</t>
  </si>
  <si>
    <t>Harrison, Joel/0000-0002-6024-7166</t>
  </si>
  <si>
    <t>1474-905X</t>
  </si>
  <si>
    <t>1474-9092</t>
  </si>
  <si>
    <t>10.1039/b902604e</t>
  </si>
  <si>
    <t>WOS:000269327900002</t>
  </si>
  <si>
    <t>Pestana, D; Ostrensky, A; Boeger, WAP; Pie, MR</t>
  </si>
  <si>
    <t>Pestana, Debora; Ostrensky, Antonio; Pereira Boeger, Walter Antonio; Pie, Marcio Roberto</t>
  </si>
  <si>
    <t>The Effect of Temperature and Body Size on Filtration Rates of Limnoperna Fortunei (Bivalvia, Mytilidae) under Laboratory Conditions</t>
  </si>
  <si>
    <t>Ostrensky, Antonio/A-8704-2014; Ostrensky, Antonio/E-4169-2014; Neto, Antonio/HSE-4895-2023; Pie, Marcio MRP/B-7684-2008; Boeger, Walter/G-1820-2012</t>
  </si>
  <si>
    <t>Ostrensky, Antonio/0000-0001-8858-7552; Boeger, Walter/0000-0002-6004-2822</t>
  </si>
  <si>
    <t>10.1590/S1516-89132009000100018</t>
  </si>
  <si>
    <t>WOS:000264779400017</t>
  </si>
  <si>
    <t>Willis, TV</t>
  </si>
  <si>
    <t>Haro, A; Smith, KL; Rulifson, RA; Moffitt, CM; Klauda, RJ; Dadswell, MJ; Cunjak, RA; Cooper, JE; Beal, KL; Avery, TS</t>
  </si>
  <si>
    <t>Willis, Theodore V.</t>
  </si>
  <si>
    <t>How Policy, Politics, and Science Shaped a 25-Year Conflict over Alewife in the St. Croix River, New Brunswick-Maine</t>
  </si>
  <si>
    <t>CHALLENGES FOR DIADROMOUS FISHES IN A DYNAMIC GLOBAL ENVIRONMENT</t>
  </si>
  <si>
    <t>American Fisheries Society Symposium</t>
  </si>
  <si>
    <t>International Symposium on Challenges for Diadromous Fishes in a Dynamic Global Environment</t>
  </si>
  <si>
    <t>JUN 18-21, 2007</t>
  </si>
  <si>
    <t>Halifax, CANADA</t>
  </si>
  <si>
    <t>Amer Fisheries Soc, NE Div</t>
  </si>
  <si>
    <t>0892-2284</t>
  </si>
  <si>
    <t>978-1-934874-08-0</t>
  </si>
  <si>
    <t>WOS:000270598800050</t>
  </si>
  <si>
    <t>Wong, LC; Kwok, KWH; Leung, KMY; Wong, CK</t>
  </si>
  <si>
    <t>Wong, L. C.; Kwok, Kevin W. H.; Leung, Kenneth M. Y.; Wong, C. K.</t>
  </si>
  <si>
    <t>Relative Sensitivity Distribution of Freshwater Planktonic Crustaceans to Trace Metals</t>
  </si>
  <si>
    <t>HUMAN AND ECOLOGICAL RISK ASSESSMENT</t>
  </si>
  <si>
    <t>1080-7039</t>
  </si>
  <si>
    <t>1549-7860</t>
  </si>
  <si>
    <t>10.1080/10807030903307115</t>
  </si>
  <si>
    <t>WOS:000273022500015</t>
  </si>
  <si>
    <t>Montagnes, DJS; Morgan, G; Bissinger, JE; Atkinson, D; Weisse, TS</t>
  </si>
  <si>
    <t>Montagnes, David J. S.; Morgan, Gareth; Bissinger, Jan E.; Atkinson, David; Weisse, Thoma S.</t>
  </si>
  <si>
    <t>Short-term temperature change may impact freshwater carbon flux: a microbial perspective</t>
  </si>
  <si>
    <t>Atkinson, David/D-4664-2009; Atkinson, David/Q-6933-2019</t>
  </si>
  <si>
    <t>Atkinson, David/0000-0002-9956-2454; Atkinson, David/0000-0002-9956-2454; Weisse, Thomas/0000-0001-6103-6558</t>
  </si>
  <si>
    <t>10.1111/j.1365-2486.2008.01700.x</t>
  </si>
  <si>
    <t>WOS:000261061000004</t>
  </si>
  <si>
    <t>Smith, AS; Alexander, JE</t>
  </si>
  <si>
    <t>Smith, Allison S.; Alexander, James E., Jr.</t>
  </si>
  <si>
    <t>Potential effects of the freshwater jellyfish Craspedacusta sowerbii on zooplankton community abundance</t>
  </si>
  <si>
    <t>10.1093/plankt/fbn093</t>
  </si>
  <si>
    <t>WOS:000261170400001</t>
  </si>
  <si>
    <t>Stoecker, DK; Thessen, AE; Gustafson, DE</t>
  </si>
  <si>
    <t>Stoecker, Diane K.; Thessen, Anne E.; Gustafson, Daniel E.</t>
  </si>
  <si>
    <t>Windows of opportunity for dinoflagellate blooms: Reduced microzooplankton net growth coupled to eutrophication</t>
  </si>
  <si>
    <t>10.1016/j.hal.2008.08.021</t>
  </si>
  <si>
    <t>WOS:000261762400019</t>
  </si>
  <si>
    <t>Medeiros, ESF; Arthington, AH</t>
  </si>
  <si>
    <t>Medeiros, Elvio S. F.; Arthington, Angela H.</t>
  </si>
  <si>
    <t>The importance of zooplankton in the diets of three native fish species in floodplain waterholes of a dryland river, the Macintyre River, Australia</t>
  </si>
  <si>
    <t>4th Plankton Symposium</t>
  </si>
  <si>
    <t>APR, 2007</t>
  </si>
  <si>
    <t>Joao Pessoa, BRAZIL</t>
  </si>
  <si>
    <t>Soc Brasileira Planeton,IMAR CIC,Inst Marine Res &amp; CESAM,Univ Aveiro</t>
  </si>
  <si>
    <t>Arthington, Angela/0000-0001-5967-7954</t>
  </si>
  <si>
    <t>10.1007/s10750-008-9533-7</t>
  </si>
  <si>
    <t>WOS:000259569000003</t>
  </si>
  <si>
    <t>Wiedner, C; Rücker, J; Fastner, J; Chorus, I; Nixdorf, B</t>
  </si>
  <si>
    <t>Wiedner, Claudia; Ruecker, Jacqueline; Fastner, Jutta; Chorus, Ingrid; Nixdorf, Brigitte</t>
  </si>
  <si>
    <t>Seasonal dynamics of cylindrospermopsin and cyanobacteria in two German lakes</t>
  </si>
  <si>
    <t>TOXICON</t>
  </si>
  <si>
    <t>Rücker, Jacqueline/H-8994-2019; Chorus, Ingrid/AAY-1326-2021</t>
  </si>
  <si>
    <t>Rücker, Jacqueline/0000-0001-6841-7724; Chorus, Ingrid/0000-0001-6714-7865</t>
  </si>
  <si>
    <t>0041-0101</t>
  </si>
  <si>
    <t>10.1016/j.toxicon.2008.07.017</t>
  </si>
  <si>
    <t>WOS:000261013300003</t>
  </si>
  <si>
    <t>Matthews, B; Mazumder, A</t>
  </si>
  <si>
    <t>Matthews, Blake; Mazumder, Asit</t>
  </si>
  <si>
    <t>Detecting trophic-level variation in consumer assemblages</t>
  </si>
  <si>
    <t>Matthews, Blake/B-5608-2009</t>
  </si>
  <si>
    <t>Matthews, Blake/0000-0001-9089-704X</t>
  </si>
  <si>
    <t>10.1111/j.1365-2427.2008.02018.x</t>
  </si>
  <si>
    <t>WOS:000259148200003</t>
  </si>
  <si>
    <t>Eco-evolutionary interactions between predators and prey: can predator-induced changes to prey communities feed back to shape predator foraging traits?</t>
  </si>
  <si>
    <t>EVOLUTIONARY ECOLOGY RESEARCH</t>
  </si>
  <si>
    <t>1522-0613</t>
  </si>
  <si>
    <t>1937-3791</t>
  </si>
  <si>
    <t>WOS:000258747100004</t>
  </si>
  <si>
    <t>Rohrlack, T; Edvardsen, B; Skulberg, R; Halstvedt, CB; Utkilen, HC; Ptacnik, R; Skulberg, OM</t>
  </si>
  <si>
    <t>Rohrlack, Thomas; Edvardsen, Bente; Skulberg, Randi; Halstvedt, Camilla B.; Utkilen, Hans C.; Ptacnik, Robert; Skulberg, Olav M.</t>
  </si>
  <si>
    <t>Oligopeptide chemotypes of the toxic freshwater cyanobacterium Planktothrix can form subpopulations with dissimilar ecological traits</t>
  </si>
  <si>
    <t>Ptacnik, Robert/B-1347-2012</t>
  </si>
  <si>
    <t>Ptacnik, Robert/0000-0001-7176-7653; Edvardsen, Bente/0000-0002-6806-4807</t>
  </si>
  <si>
    <t>10.4319/lo.2008.53.4.1279</t>
  </si>
  <si>
    <t>WOS:000257773700008</t>
  </si>
  <si>
    <t>Feeding behaviour, efficiency and food preference in yabbies Cherax destructor</t>
  </si>
  <si>
    <t>10.1007/s10750-008-9297-0</t>
  </si>
  <si>
    <t>WOS:000254750900004</t>
  </si>
  <si>
    <t>Jeong, KS; Kim, DK; Jung, JM; Kim, MC; Joo, GJ</t>
  </si>
  <si>
    <t>Jeong, Kwang-Seuk; Kim, Dong-Kyun; Jung, Jong-Mun; Kim, Myoung-Chul; Joo, Gea-Jae</t>
  </si>
  <si>
    <t>Non-linear autoregressive modelling by Temporal Recurrent Neural Networks for the prediction of freshwater phytoplankton dynamics</t>
  </si>
  <si>
    <t>Jeong, Kwang-Seuk/O-6355-2014</t>
  </si>
  <si>
    <t>MAR 10</t>
  </si>
  <si>
    <t>10.1016/j.ecolmodel.2007.09.029</t>
  </si>
  <si>
    <t>WOS:000253700900004</t>
  </si>
  <si>
    <t>Howeth, JG; Leibold, MA</t>
  </si>
  <si>
    <t>Howeth, Jennifer G.; Leibold, Mathew A.</t>
  </si>
  <si>
    <t>Planktonic dispersal dampens temporal trophic cascades in pond metacommunities</t>
  </si>
  <si>
    <t>10.1111/j.1461-0248.2007.01143.x</t>
  </si>
  <si>
    <t>WOS:000252807500006</t>
  </si>
  <si>
    <t>Sand-Jensen, K; Pedersen, NL; Thorsgaard, I; Moeslund, B; Borum, J; Brodersen, KP</t>
  </si>
  <si>
    <t>Sand-Jensen, Kaj; Pedersen, Niels Lagergaard; Thorsgaard, Inge; Moeslund, Bjarne; Borum, Jens; Brodersen, Klaus Peter</t>
  </si>
  <si>
    <t>100 years of vegetation decline and recovery in Lake Fure, Denmark</t>
  </si>
  <si>
    <t>Borum, Jens/K-5167-2014; Sand-Jensen, Kaj/F-3041-2015</t>
  </si>
  <si>
    <t>Borum, Jens/0000-0002-4861-6563; Sand-Jensen, Kaj/0000-0003-2534-4638</t>
  </si>
  <si>
    <t>10.1111/j.1365-2745.2007.01339.x</t>
  </si>
  <si>
    <t>WOS:000252899300003</t>
  </si>
  <si>
    <t>Schramm, KW; Jaser, W; Welzl, G; Pfister, G; Wöhler-Moorhoff, GF; Hense, BA</t>
  </si>
  <si>
    <t>Schramm, Karl-Werner; Jaser, Wolfgang; Welzl, Gerhard; Pfister, Gerd; Woehler-Moorhoff, Gabriele F.; Hense, Burkhard A.</t>
  </si>
  <si>
    <t>Impact of 17α-ethinylestradiol on the plankton in freshwater microcosms-I:: Response of zooplankton and abiotic variables</t>
  </si>
  <si>
    <t>Schramm, Karl-Werner/C-7438-2013</t>
  </si>
  <si>
    <t>10.1016/j.ecoenv.2007.01.015</t>
  </si>
  <si>
    <t>WOS:000254728800014</t>
  </si>
  <si>
    <t>Iafrate, J; Oliveira, K</t>
  </si>
  <si>
    <t>Iafrate, Joseph; Oliveira, Kenneth</t>
  </si>
  <si>
    <t>Factors affecting migration patterns of juvenile river herring in a coastal Massachusetts stream</t>
  </si>
  <si>
    <t>10.1007/s10641-006-9178-1</t>
  </si>
  <si>
    <t>WOS:000250721600012</t>
  </si>
  <si>
    <t>Kiorboe, T; Hirst, AG</t>
  </si>
  <si>
    <t>Kiorboe, Thomas; Hirst, Andrew G.</t>
  </si>
  <si>
    <t>Optimal development time in pelagic copepods</t>
  </si>
  <si>
    <t>Kiørboe, Thomas/0000-0002-3265-336X; Hirst, Andrew/0000-0001-9132-1886</t>
  </si>
  <si>
    <t>10.3354/meps07572</t>
  </si>
  <si>
    <t>WOS:000260017900002</t>
  </si>
  <si>
    <t>Litchman, E; Klausmeier, CA</t>
  </si>
  <si>
    <t>Litchman, Elena; Klausmeier, Christopher A.</t>
  </si>
  <si>
    <t>Trait-Based Community Ecology of Phytoplankton</t>
  </si>
  <si>
    <t>ANNUAL REVIEW OF ECOLOGY EVOLUTION AND SYSTEMATICS</t>
  </si>
  <si>
    <t>Annual Review of Ecology Evolution and Systematics</t>
  </si>
  <si>
    <t>1543-592X</t>
  </si>
  <si>
    <t>1545-2069</t>
  </si>
  <si>
    <t>10.1146/annurev.ecolsys.39.110707.173549</t>
  </si>
  <si>
    <t>WOS:000261725500029</t>
  </si>
  <si>
    <t>Pereira, JL; Gonçalves, F</t>
  </si>
  <si>
    <t>Pereira, J. L.; Goncalves, F.</t>
  </si>
  <si>
    <t>Daphnia fitness over a food gradient:: is body size the single trait predicting exploitative ability?</t>
  </si>
  <si>
    <t>ANNALES DE LIMNOLOGIE-INTERNATIONAL JOURNAL OF LIMNOLOGY</t>
  </si>
  <si>
    <t>Goncalves, Fernando J. M./B-8000-2008; Pereira, Joana Luísa/A-5003-2009; Pereira, Joana/IQT-1620-2023</t>
  </si>
  <si>
    <t>Goncalves, Fernando J. M./0000-0002-9326-187X; Pereira, Joana Luísa/0000-0001-7573-6184;</t>
  </si>
  <si>
    <t>0003-4088</t>
  </si>
  <si>
    <t>10.1051/limn:2008001</t>
  </si>
  <si>
    <t>WOS:000259736500001</t>
  </si>
  <si>
    <t>Rojo, C; Rodrigo, MA; Salazar, G; Alvarez-Cobelas, M</t>
  </si>
  <si>
    <t>Rojo, Carmen; Rodrigo, Maria A.; Salazar, Guillem; Alvarez-Cobelas, Miguel</t>
  </si>
  <si>
    <t>Nitrate uptake rates in freshwater plankton: the effect of food web structure</t>
  </si>
  <si>
    <t>Rodrigo, Maria/K-9079-2014; Rojo, Carmen/L-5358-2014; Salazar, Guillem/L-5868-2014</t>
  </si>
  <si>
    <t>Rodrigo, Maria/0000-0003-4106-0643; Salazar, Guillem/0000-0002-9786-1493</t>
  </si>
  <si>
    <t>10.1071/MF08023</t>
  </si>
  <si>
    <t>WOS:000258642400007</t>
  </si>
  <si>
    <t>Verbitsky, VB</t>
  </si>
  <si>
    <t>Verbitsky, V. B.</t>
  </si>
  <si>
    <t>The notion of ecological optimum and the determination of this optimum in freshwater poikilothermic animals</t>
  </si>
  <si>
    <t>ZHURNAL OBSHCHEI BIOLOGII</t>
  </si>
  <si>
    <t>Verbitsky, Vladimir/Q-5475-2016; , Verbitskii/AAD-5232-2020</t>
  </si>
  <si>
    <t>Verbitsky, Vladimir/0000-0002-0255-3800; , Verbitskii/0000-0002-0255-3800</t>
  </si>
  <si>
    <t>0044-4596</t>
  </si>
  <si>
    <t>WOS:000253332100005</t>
  </si>
  <si>
    <t>Rowe, CL; Adamowicz, SJ; Hebert, PDN</t>
  </si>
  <si>
    <t>Rowe, Chad L.; Adamowicz, Sarah J.; Hebert, Paul D. N.</t>
  </si>
  <si>
    <t>Three new cryptic species of the freshwater zooplankton genus Holopedium (Crustacea: Branchiopoda: Ctenopoda), revealed by genetic methods</t>
  </si>
  <si>
    <t>Hebert, Paul/C-4161-2013</t>
  </si>
  <si>
    <t>Hebert, Paul/0000-0002-3081-6700</t>
  </si>
  <si>
    <t>DEC 7</t>
  </si>
  <si>
    <t>WOS:000251533200001</t>
  </si>
  <si>
    <t>Levy, JL; Stauber, JL; Jolley, DF</t>
  </si>
  <si>
    <t>Levy, Jacqueline L.; Stauber, Jennifer L.; Jolley, Dianne F.</t>
  </si>
  <si>
    <t>Sensitivity of marine microalgae to copper: The effect of biotic factors on copper adsorption and toxicity</t>
  </si>
  <si>
    <t>Levy, Jacqueline/A-5118-2009; Stauber, Jenny/G-8418-2011; Jolley, Dianne/D-1597-2009</t>
  </si>
  <si>
    <t>Jolley, Dianne/0000-0003-1028-1603</t>
  </si>
  <si>
    <t>1-3</t>
  </si>
  <si>
    <t>10.1016/j.scitotenv.2007.07.016</t>
  </si>
  <si>
    <t>WOS:000250420200013</t>
  </si>
  <si>
    <t>Pereira, JL; Mendes, CD; Gonçalves, F</t>
  </si>
  <si>
    <t>Pereira, Joana Luisa; Mendes, Cristiana Duarte; Gonçalves, Fernando</t>
  </si>
  <si>
    <t>Short- and long-term responses of Daphnia spp. to propanil exposures in distinct food supply scenarios</t>
  </si>
  <si>
    <t>10.1016/j.ecoenv.2006.10.012</t>
  </si>
  <si>
    <t>WOS:000251067500009</t>
  </si>
  <si>
    <t>Pereira, Joana Luisa; Goncalves, Femando</t>
  </si>
  <si>
    <t>Effects of food availability on the acute and chronic toxicity of the insecticide methomyl to Daphnia spp.</t>
  </si>
  <si>
    <t>10.1016/j.scitotenv.2007.07.040</t>
  </si>
  <si>
    <t>WOS:000250241700002</t>
  </si>
  <si>
    <t>Phlips, EJ; Hendrickson, J; Quinlan, EL; Cichra, M</t>
  </si>
  <si>
    <t>Phlips, Edward J.; Hendrickson, John; Quinlan, Erin L.; Cichra, M.</t>
  </si>
  <si>
    <t>Meteorological influences on algal bloom potential in a nutrient-rich blackwater river</t>
  </si>
  <si>
    <t>10.1111/j.1365-2427.2007.01844.x</t>
  </si>
  <si>
    <t>WOS:000250145600007</t>
  </si>
  <si>
    <t>Hong, Y; Hu, HY</t>
  </si>
  <si>
    <t>Hong, Yu; Hu, Hong-Ying</t>
  </si>
  <si>
    <t>Effects of the aquatic extracts of Arundo donax L. on the growth of freshwater algae</t>
  </si>
  <si>
    <t>ALLELOPATHY JOURNAL</t>
  </si>
  <si>
    <t>HONG, YU/L-8373-2015</t>
  </si>
  <si>
    <t>HONG, YU/0000-0002-3344-4113</t>
  </si>
  <si>
    <t>0971-4693</t>
  </si>
  <si>
    <t>0974-1240</t>
  </si>
  <si>
    <t>WOS:000250933600009</t>
  </si>
  <si>
    <t>Danaher, JJ; Tidwell, JH; Coyle, SD; Dasgupta, S</t>
  </si>
  <si>
    <t>Danaher, Jason J.; Tidwell, James H.; Coyle, Shawn D.; Dasgupta, Siddhartha</t>
  </si>
  <si>
    <t>Effects of two densities of caged monosex nile tilapia, Oreochromis niloticus, on water quality, phytoplankton populations, and production when polycultured with Macrobrachium rosenbergii in temperate ponds</t>
  </si>
  <si>
    <t>JOURNAL OF THE WORLD AQUACULTURE SOCIETY</t>
  </si>
  <si>
    <t>zimba, paul/0000-0001-6541-2055</t>
  </si>
  <si>
    <t>0893-8849</t>
  </si>
  <si>
    <t>1749-7345</t>
  </si>
  <si>
    <t>10.1111/j.1749-7345.2007.00109.x</t>
  </si>
  <si>
    <t>WOS:000249184100003</t>
  </si>
  <si>
    <t>Sigee, DC; Bahram, F; Estrada, B; Webster, RE; Dean, AP</t>
  </si>
  <si>
    <t>Sigee, David Charles; Bahram, Fariba; Estrada, Beatriz; Webster, Rachel Elizabeth; Dean, Andrew Peter</t>
  </si>
  <si>
    <t>The influence of phosphorus availability on carbon allocation and P quota in Scenedesmus subspicatus:: A synchrotron-based FTIR analysis</t>
  </si>
  <si>
    <t>Dean, Andrew Peter/0000-0001-6893-5118</t>
  </si>
  <si>
    <t>10.2216/07-14.1</t>
  </si>
  <si>
    <t>WOS:000249353600009</t>
  </si>
  <si>
    <t>Domingues, RB; Sobrino, C; Galvao, H</t>
  </si>
  <si>
    <t>Domingues, Rita B.; Sobrino, Cristina; Galvao, Helena</t>
  </si>
  <si>
    <t>Impact of reservoir filling on phytoplankton succession and cyanobacteria blooms in a temperate estuary</t>
  </si>
  <si>
    <t>Sobrino, Cristina/J-3534-2012; Domingues, Rita B./C-2597-2011; Galvão, Helena/AFL-8576-2022</t>
  </si>
  <si>
    <t>Sobrino, Cristina/0000-0003-0431-1220; Domingues, Rita B./0000-0002-7107-8222; Galvão, Helena/0000-0003-0939-8994</t>
  </si>
  <si>
    <t>10.1016/j.ecss.2007.03.021</t>
  </si>
  <si>
    <t>WOS:000247907900004</t>
  </si>
  <si>
    <t>Hansson, LA; Hylander, S; Sommaruga, R</t>
  </si>
  <si>
    <t>Hansson, Lars-Anders; Hylander, Samuel; Sommaruga, Ruben</t>
  </si>
  <si>
    <t>Escape from UV threats in zooplankton: A cocktail of behavior and protective pigmentation</t>
  </si>
  <si>
    <t>Hansson, Lars-Anders/HCI-2735-2022; Sommaruga, Ruben/E-5335-2011; Sommaruga, Ruben/P-6626-2019</t>
  </si>
  <si>
    <t>Sommaruga, Ruben/0000-0002-1055-2461; Sommaruga, Ruben/0000-0002-1055-2461; Hylander, Samuel/0000-0002-3740-5998; Hansson, Lars-Anders/0000-0002-3035-1317</t>
  </si>
  <si>
    <t>10.1890/06-2038.1</t>
  </si>
  <si>
    <t>WOS:000248620500010</t>
  </si>
  <si>
    <t>Phelps, QE; Powell, KA; Chipps, SR; Willis, DW</t>
  </si>
  <si>
    <t>Phelps, Quinton E.; Powell, Kipp A.; Chipps, Steven R.; Willis, David W.</t>
  </si>
  <si>
    <t>A method for determining stomach fullness for planktivorous fishes</t>
  </si>
  <si>
    <t>NORTH AMERICAN JOURNAL OF FISHERIES MANAGEMENT</t>
  </si>
  <si>
    <t>Willis, David W/D-3400-2009</t>
  </si>
  <si>
    <t>0275-5947</t>
  </si>
  <si>
    <t>10.1577/M06-066.1</t>
  </si>
  <si>
    <t>WOS:000249158900022</t>
  </si>
  <si>
    <t>Pannard, A; Bormans, M; Lefebvre, S; Claquin, P; Lagadeuc, Y</t>
  </si>
  <si>
    <t>Pannard, Alexandrine; Bormans, Myriam; Lefebvre, Sebastien; Claquin, Pascal; Lagadeuc, Yvan</t>
  </si>
  <si>
    <t>Phytoplankton size distribution and community structure: influence of nutrient input and sedimentary loss</t>
  </si>
  <si>
    <t>Lefebvre, Sébastien/G-8562-2011; Claquin, Pascal/H-4078-2011; Lagadeuc, Yvan/AAH-9472-2019</t>
  </si>
  <si>
    <t>Lefebvre, Sébastien/0000-0002-7152-5897; Claquin, Pascal/0000-0002-5183-203X; Pannard, Alexandrine/0000-0003-2997-5744; Bormans, Myriam/0000-0002-4755-6327</t>
  </si>
  <si>
    <t>10.1093/plankt/fbm040</t>
  </si>
  <si>
    <t>WOS:000248086500002</t>
  </si>
  <si>
    <t>Sanvicente-Añorve, L; Alba, C; Alatorre, MA; Flores-Coto, C</t>
  </si>
  <si>
    <t>Sanvicente-Anorve, Laura; Alba, Claudia; Alatorre, Miguel A.; Flores-Coto, Cesar</t>
  </si>
  <si>
    <t>Cross-shelf and vertical distribution of siphonophore assemblages under the influence of freshwater outflows in the southern Gulf of Mexico</t>
  </si>
  <si>
    <t>Flores Coto, Cesar/0000-0003-3426-439X; Sanvicente Anorve, Laura Elena/0000-0002-0951-4564</t>
  </si>
  <si>
    <t>10.1007/s10750-006-0492-6</t>
  </si>
  <si>
    <t>WOS:000246612800006</t>
  </si>
  <si>
    <t>Wiedner, C; Rücker, J; Brüggemann, R; Nixdorf, B</t>
  </si>
  <si>
    <t>Wiedner, Claudia; Ruecker, Jacqueline; Brueggemann, Rainer; Nixdorf, Brigitte</t>
  </si>
  <si>
    <t>Climate change affects timing and size of populations of an invasive cyanobacterium in temperate regions</t>
  </si>
  <si>
    <t>Rücker, Jacqueline/H-8994-2019</t>
  </si>
  <si>
    <t>Rücker, Jacqueline/0000-0001-6841-7724</t>
  </si>
  <si>
    <t>10.1007/s00442-007-0683-5</t>
  </si>
  <si>
    <t>WOS:000246614700008</t>
  </si>
  <si>
    <t>Atienza, D; Calbet, A; Saiz, E; Lopes, RM</t>
  </si>
  <si>
    <t>Atienza, Dacha; Calbet, Albert; Saiz, Enric; Lopes, Rubens M.</t>
  </si>
  <si>
    <t>Ecological success of the cladoceran Penilia avirostris in the marine environment:: feeding performance, gross growth efficiencies and life history</t>
  </si>
  <si>
    <t>Atienza, Dacha/HOA-7371-2023; Atienza, Dacha/I-2162-2015; Calbet, Albert/A-7779-2008; Saiz, Enric/K-4263-2014; Lopes, Rubens/C-6335-2012</t>
  </si>
  <si>
    <t>Atienza, Dacha/0000-0002-3342-5297; Calbet, Albert/0000-0003-1069-212X; Saiz, Enric/0000-0003-2611-0067; Lopes, Rubens/0000-0002-9709-073X</t>
  </si>
  <si>
    <t>10.1007/s00227-006-0578-8</t>
  </si>
  <si>
    <t>WOS:000246099000017</t>
  </si>
  <si>
    <t>Barnett, AJ; Finlay, K; Beisner, BE</t>
  </si>
  <si>
    <t>Barnett, Allain J.; Finlay, Kerri; Beisner, Beatrix E.</t>
  </si>
  <si>
    <t>Functional diversity of crustacean zooplankton communities: towards a trait-based classification</t>
  </si>
  <si>
    <t>Beisner, Beatrix/0000-0001-6972-6887; Barnett, Allain/0000-0002-7248-3107</t>
  </si>
  <si>
    <t>10.1111/j.1365-2427.2007.01733.x</t>
  </si>
  <si>
    <t>WOS:000245987200003</t>
  </si>
  <si>
    <t>Sigee, DC; Selwyn, A; Gallois, P; Dean, AP</t>
  </si>
  <si>
    <t>Sigee, D. C.; Selwyn, A.; Gallois, P.; Dean, A. P.</t>
  </si>
  <si>
    <t>Patterns of cell death in freshwater colonial cyanobacteria during the late summer bloom</t>
  </si>
  <si>
    <t>Dean, Andrew Peter/0000-0001-6893-5118; GALLOIS, Patrick/0000-0002-6305-2807</t>
  </si>
  <si>
    <t>10.2216/06-69.1</t>
  </si>
  <si>
    <t>WOS:000246241300007</t>
  </si>
  <si>
    <t>Karatayev, AY; Boltovskoy, D; Padilla, DK; Burlakova, LE</t>
  </si>
  <si>
    <t>Karatayev, Alexander Y.; Boltovskoy, Demetrio; Padilla, Dianna K.; Burlakova, Lyubov E.</t>
  </si>
  <si>
    <t>The invasive bivalves Dreissena polymorpha and Limnoperna fortunei:: Parallels, contrasts, potential spread and invasion impacts</t>
  </si>
  <si>
    <t>JOURNAL OF SHELLFISH RESEARCH</t>
  </si>
  <si>
    <t>Padilla, Dianna/0000-0002-5530-9131; Burlakova, Lyubov/0000-0002-2995-919X; Boltovskoy, Demetrio/0000-0003-3484-2954</t>
  </si>
  <si>
    <t>0730-8000</t>
  </si>
  <si>
    <t>1943-6319</t>
  </si>
  <si>
    <t>10.2983/0730-8000(2007)26[205:TIBDPA]2.0.CO;2</t>
  </si>
  <si>
    <t>WOS:000246255800025</t>
  </si>
  <si>
    <t>Rossa, DC; Bonecker, CC; Fulone, LJ</t>
  </si>
  <si>
    <t>Rossa, Dayane Christian; Bonecker, Claudia Costa; Fulone, Leandro Junio</t>
  </si>
  <si>
    <t>Rotifer biomass in freshwater environments: Review of methods and influencing factors</t>
  </si>
  <si>
    <t>INTERCIENCIA</t>
  </si>
  <si>
    <t>Bonecker, Claudia C/D-5946-2013</t>
  </si>
  <si>
    <t>Bonecker, Claudia C/0000-0003-4338-9012</t>
  </si>
  <si>
    <t>0378-1844</t>
  </si>
  <si>
    <t>WOS:000246780500002</t>
  </si>
  <si>
    <t>Butler, J; Croome, R; Rees, GN</t>
  </si>
  <si>
    <t>Butler, Jessica; Croome, Roger; Rees, Gavin N.</t>
  </si>
  <si>
    <t>The composition and importance of the phytoneuston in two floodplain lakes in south-eastern Australia</t>
  </si>
  <si>
    <t>Rees, Gavin/E-6869-2011; Rees, Gavin/U-5653-2019</t>
  </si>
  <si>
    <t>Rees, Gavin/0000-0002-5270-8559; Rees, Gavin/0000-0002-5270-8559</t>
  </si>
  <si>
    <t>10.1007/s10750-006-0397-4</t>
  </si>
  <si>
    <t>WOS:000244187200011</t>
  </si>
  <si>
    <t>Castro, BB; Marques, SM; Gonçalves, F</t>
  </si>
  <si>
    <t>Castro, Bruno B.; Marques, Sergio M.; Goncalves, F.</t>
  </si>
  <si>
    <t>Habitat selection and diel distribution of the crustacean zooplankton from a shallow Mediterranean lake during the turbid and clear water phases</t>
  </si>
  <si>
    <t>10.1111/j.1365-2427.2006.01717.x</t>
  </si>
  <si>
    <t>WOS:000244111400003</t>
  </si>
  <si>
    <t>Jezberová, J; Komárková, J</t>
  </si>
  <si>
    <t>Jezberova, Jitka; Komarkova, Jaroslava</t>
  </si>
  <si>
    <t>Morphometry and growth of three Synechococcus-like picoplanktic cyanobacteria at different culture conditions</t>
  </si>
  <si>
    <t>14th Workshop of the International-Association-of-Phytoplankton-Taxonomy-and-Ecology</t>
  </si>
  <si>
    <t>SEP 04-11, 2005</t>
  </si>
  <si>
    <t>Sapanca, TURKEY</t>
  </si>
  <si>
    <t>Int Assoc Phytoplankton Taxon &amp; Ecol</t>
  </si>
  <si>
    <t>Komarkova, Jaroslava/G-1149-2014; Jezberova, Jitka/G-1024-2014</t>
  </si>
  <si>
    <t>Jezberova, Jitka/0000-0001-5000-9319</t>
  </si>
  <si>
    <t>10.1007/s10750-006-0429-0</t>
  </si>
  <si>
    <t>WOS:000244308300003</t>
  </si>
  <si>
    <t>Vantrepotte, V; Brunet, C; Mériaux, X; Lécuyer, E; Vellucci, V; Santer, R</t>
  </si>
  <si>
    <t>Vantrepotte, Vincent; Brunet, Christophe; Meriaux, Xavier; Lecuyer, Eric; Vellucci, Vincenzo; Santer, Richard</t>
  </si>
  <si>
    <t>Bio-optical properties of coastal waters in the Eastern English Channel</t>
  </si>
  <si>
    <t>brunet, christophe/AAD-7817-2021</t>
  </si>
  <si>
    <t>Vellucci, Vincenzo/0000-0001-5392-7457</t>
  </si>
  <si>
    <t>10.1016/j.ecss.2006.10.016</t>
  </si>
  <si>
    <t>WOS:000244862400017</t>
  </si>
  <si>
    <t>Tonk, L; Bosch, K; Visser, PM; Huisman, J</t>
  </si>
  <si>
    <t>Tonk, Linda; Bosch, Kim; Visser, Petra M.; Huisman, Jef</t>
  </si>
  <si>
    <t>Salt tolerance of the harmful cyanobacterium Microcystis aeruginosa</t>
  </si>
  <si>
    <t>Huisman, Jef/0000-0001-9598-3211; Visser, Petra/0000-0003-3294-1908; Tonk, Linda/0000-0002-6248-3605</t>
  </si>
  <si>
    <t>FEB 2</t>
  </si>
  <si>
    <t>10.3354/ame046117</t>
  </si>
  <si>
    <t>WOS:000244426800002</t>
  </si>
  <si>
    <t>Scotti, MAL; Foster, SA</t>
  </si>
  <si>
    <t>Scotti, Melissa-Ann L.; Foster, Susan A.</t>
  </si>
  <si>
    <t>Phenotypic plasticity and the ecotypic differentiation of aggressive behavior in threespine stickleback</t>
  </si>
  <si>
    <t>10.1111/j.1439-0310.2006.01311.x</t>
  </si>
  <si>
    <t>WOS:000244003600009</t>
  </si>
  <si>
    <t>Anabalón, V; Morales, CE; Escribano, R; Varas, MA</t>
  </si>
  <si>
    <t>Anabalon, V.; Morales, C. E.; Escribano, R.; Varas, M. Angelica</t>
  </si>
  <si>
    <t>The contribution of nano- and micro-planktonic assemblages in the surface laver (0-30 m) under different hydrographic conditions in the upwelling area off Concepcion, central Chile</t>
  </si>
  <si>
    <t>Escribano, Ruben/IAN-0878-2023</t>
  </si>
  <si>
    <t>10.1016/j.pocean.2007.08.023</t>
  </si>
  <si>
    <t>WOS:000251752700005</t>
  </si>
  <si>
    <t>Anger, K; Torres, G; Nettelmann, U</t>
  </si>
  <si>
    <t>Anger, Klaus; Torres, Gabriela; Nettelmann, Uwe</t>
  </si>
  <si>
    <t>Adaptive traits in ecology, reproduction and early life history of Sesarma meridies, an endemic stream crab from Jamaica</t>
  </si>
  <si>
    <t>Torres, Gabriela/HMO-4877-2023; Torres, Gabriela/S-2405-2016</t>
  </si>
  <si>
    <t>Torres, Gabriela/0000-0002-4064-0585</t>
  </si>
  <si>
    <t>10.1071/MF06176</t>
  </si>
  <si>
    <t>WOS:000248985000007</t>
  </si>
  <si>
    <t>Bittencourt-Oliveira, MD; Moura, AD; Gouvea-Barros, S; Pinto, E</t>
  </si>
  <si>
    <t>Bittencourt-Oliveira, Maria Do Carmo; Moura, Ariadne Do Nascimento; Gouvea-Barros, Selma; Pinto, Ernani</t>
  </si>
  <si>
    <t>HIP1 DNA fingerprinting in Microcystis panniformis (Chroococcales, Cyanobacteria)</t>
  </si>
  <si>
    <t>Pinto, Ernani/A-4617-2010; do Carmo Bittencourt-Oliveira, Maria/ABE-8482-2021; Gouvea-Barros, Selma/AFV-3332-2022</t>
  </si>
  <si>
    <t>Pinto, Ernani/0000-0001-7614-3014; do Carmo Bittencourt-Oliveira, Maria/0000-0002-4198-8110; Gouvea-Barros, Selma/0000-0002-1641-4828</t>
  </si>
  <si>
    <t>10.2216/06-01.1</t>
  </si>
  <si>
    <t>WOS:000243447300002</t>
  </si>
  <si>
    <t>Castro, BB; Gonçalves, F</t>
  </si>
  <si>
    <t>Castro, Bruno B.; Goncalves, Fernando</t>
  </si>
  <si>
    <t>Seasonal dynamics of the crustacean zooplankton of a shallow eutrophic lake from the Mediterranean region</t>
  </si>
  <si>
    <t>Castro, Bruno B./0000-0002-7130-6061; Goncalves, Fernando J. M./0000-0002-9326-187X</t>
  </si>
  <si>
    <t>10.1127/1863-9135/2007/0169-0189</t>
  </si>
  <si>
    <t>WOS:000249479600002</t>
  </si>
  <si>
    <t>Dantas, MC; Attayde, JL</t>
  </si>
  <si>
    <t>Dantas, M. C.; Attayde, J. L.</t>
  </si>
  <si>
    <t>Nitrogen and phosphorus content of some temperate and tropical freshwater fishes</t>
  </si>
  <si>
    <t>Attayde, José L/C-4009-2015</t>
  </si>
  <si>
    <t>Attayde, Jose/0000-0002-8372-4172</t>
  </si>
  <si>
    <t>10.1111/j.1095-8649.2006.01277.x</t>
  </si>
  <si>
    <t>WOS:000244096000007</t>
  </si>
  <si>
    <t>Pinto, PD; Allende, L; O'Farrell, I</t>
  </si>
  <si>
    <t>de Tezanos Pinto, Paula; Allende, Luz; O'Farrell, Ines</t>
  </si>
  <si>
    <t>Influence of free-floating plants on the structure of a natural phytoplankton assemblage: an experimental approach</t>
  </si>
  <si>
    <t>O'Farrell, Ines/0000-0002-2236-2905</t>
  </si>
  <si>
    <t>10.1093/plankt/fb1056</t>
  </si>
  <si>
    <t>WOS:000245354000005</t>
  </si>
  <si>
    <t>Gamble, AE; Lloyd, R; Aiken, J; Johannsson, OE; Mills, EL</t>
  </si>
  <si>
    <t>Gamble, Allison E.; Lloyd, Russ; Aiken, John; Johannsson, Ora E.; Mills, Edward L.</t>
  </si>
  <si>
    <t>Using zooplankton biomass size spectra to assess ecological change in a well-studied freshwater lake ecosystem: Oneida Lake, New York</t>
  </si>
  <si>
    <t>10.1139/F06-153</t>
  </si>
  <si>
    <t>WOS:000243945200008</t>
  </si>
  <si>
    <t>Sastri, AR; Dower, JF</t>
  </si>
  <si>
    <t>Sastri, Akash R.; Dower, John F.</t>
  </si>
  <si>
    <t>Field validation of an instantaneous estimate of in situ development and growth for marine copepod communities</t>
  </si>
  <si>
    <t>Sastri, Akash/D-7798-2013</t>
  </si>
  <si>
    <t>Sastri, Akash/0000-0001-8075-0917</t>
  </si>
  <si>
    <t>10.1139/F06-149</t>
  </si>
  <si>
    <t>WOS:000243945200004</t>
  </si>
  <si>
    <t>Nelson, SAC; Cheruvelil, KS; Soranno, PA</t>
  </si>
  <si>
    <t>Nelson, Stacy A. C.; Cheruvelil, Kendra Spence; Soranno, Patricia A.</t>
  </si>
  <si>
    <t>Satellite remote sensing of freshwater macrophytes and the influence of water clarity</t>
  </si>
  <si>
    <t>Nelson, Stacy/W-4315-2019</t>
  </si>
  <si>
    <t>Nelson, Stacy/0000-0003-4681-7270; Soranno, Patricia/0000-0003-1668-9271</t>
  </si>
  <si>
    <t>10.1016/j.aquabot.2006.06.003</t>
  </si>
  <si>
    <t>WOS:000241426900003</t>
  </si>
  <si>
    <t>Nandini, S; Sarma, SSS</t>
  </si>
  <si>
    <t>Nandini, S.; Sarma, S. S. S.</t>
  </si>
  <si>
    <t>Ratio of neonate to adult size explains life history characteristics in cladoceran zooplankton</t>
  </si>
  <si>
    <t>ACTA HYDROCHIMICA ET HYDROBIOLOGICA</t>
  </si>
  <si>
    <t>0323-4320</t>
  </si>
  <si>
    <t>10.1002/aheh.200600642</t>
  </si>
  <si>
    <t>WOS:000241779200007</t>
  </si>
  <si>
    <t>Thomas, S; Gaiser, EE; Tobias, FA</t>
  </si>
  <si>
    <t>Thomas, Serge; Gaiser, Evelyn E.; Tobias, Franco A.</t>
  </si>
  <si>
    <t>Effects of shading on calcareous benthic periphyton in a short-hydroperiod oligotrophic wetland (Everglades, FL, USA)</t>
  </si>
  <si>
    <t>Thomas, Serge/JVY-6896-2024; Gaiser, Evelyn/ABG-2507-2020</t>
  </si>
  <si>
    <t>Gaiser, Evelyn/0000-0003-2065-4821</t>
  </si>
  <si>
    <t>10.1007/s10750-006-0133-0</t>
  </si>
  <si>
    <t>WOS:000240576200016</t>
  </si>
  <si>
    <t>DeNicola, DM; de Eyto, E; Wemaere, A; Irvine, K</t>
  </si>
  <si>
    <t>DeNicola, Dean M.; de Eyto, Elvira; Wemaere, Alice; Irvine, Kenneth</t>
  </si>
  <si>
    <t>Periphyton response to nutrient addition in 3 lakes of different benthic productivity</t>
  </si>
  <si>
    <t>JOURNAL OF THE NORTH AMERICAN BENTHOLOGICAL SOCIETY</t>
  </si>
  <si>
    <t>0887-3593</t>
  </si>
  <si>
    <t>10.1899/0887-3593(2006)25[616:PRTNAI]2.0.CO;2</t>
  </si>
  <si>
    <t>WOS:000239769000008</t>
  </si>
  <si>
    <t>Freshwater ciliates as ecophysiological model organisms -: lessons from Daphnia, major achievements, and future perspectives</t>
  </si>
  <si>
    <t>ARCHIV FUR HYDROBIOLOGIE</t>
  </si>
  <si>
    <t>0003-9136</t>
  </si>
  <si>
    <t>10.1127/0003-9136/2006/0167-0371</t>
  </si>
  <si>
    <t>WOS:000241402800023</t>
  </si>
  <si>
    <t>Mouillot, D; Spatharis, S; Reizopoulou, S; Laugier, T; Sabetta, L; Basset, A; Chi, TD</t>
  </si>
  <si>
    <t>Mouillot, D.; Spatharis, S.; Reizopoulou, S.; Laugier, T.; Sabetta, L.; Basset, A.; Chi, T. Do</t>
  </si>
  <si>
    <t>Alternatives to taxonomic-based approaches to assess changes in transitional water communities</t>
  </si>
  <si>
    <t>AQUATIC CONSERVATION-MARINE AND FRESHWATER ECOSYSTEMS</t>
  </si>
  <si>
    <t>Workshop on a Forum on Major Challenges Bridging Basic Sciences to Applications</t>
  </si>
  <si>
    <t>JUN 17-19, 2004</t>
  </si>
  <si>
    <t>Naples, ITALY</t>
  </si>
  <si>
    <t>Spatharis, Sofie/I-9193-2019</t>
  </si>
  <si>
    <t>Spatharis, Sofie/0000-0003-1030-9821; Laugier, Thierry/0000-0003-0409-4510</t>
  </si>
  <si>
    <t>1052-7613</t>
  </si>
  <si>
    <t>1099-0755</t>
  </si>
  <si>
    <t>10.1002/aqc.769</t>
  </si>
  <si>
    <t>WOS:000239357000004</t>
  </si>
  <si>
    <t>Patoine, A; Pinel-Alloul, B; Méthot, G; Leblanc, MJ</t>
  </si>
  <si>
    <t>Patoine, Alain; Pinel-Alloul, B.; Methot, G.; Leblanc, M. -J.</t>
  </si>
  <si>
    <t>Correspondence among methods of zooplankton biomass measurement in lakes:: effect of community composition on optical plankton counter and size-fractionated seston data</t>
  </si>
  <si>
    <t>Pinel-Alloul, Bernadette/U-9107-2019</t>
  </si>
  <si>
    <t>Pinel-Alloul, Bernadette/0000-0002-1070-2968; Patoine, Alain/0000-0003-1322-919X</t>
  </si>
  <si>
    <t>10.1093/plankt/fbl006</t>
  </si>
  <si>
    <t>WOS:000238949400007</t>
  </si>
  <si>
    <t>Weisse, T; Stadler, P</t>
  </si>
  <si>
    <t>Weisse, Thomas; Stadler, Peter</t>
  </si>
  <si>
    <t>Effect of pH on growth, cell volume, and production of freshwater ciliates, and implications for their distribution</t>
  </si>
  <si>
    <t>10.4319/lo.2006.51.4.1708</t>
  </si>
  <si>
    <t>WOS:000239262200015</t>
  </si>
  <si>
    <t>Passarge, J; Hol, S; Escher, M; Huisman, J</t>
  </si>
  <si>
    <t>Competition for nutrients and light: Stable coexistence, alternative stable states, or competitive exclusion?</t>
  </si>
  <si>
    <t>Huisman, Jef/A-1089-2013</t>
  </si>
  <si>
    <t>10.1890/04-1824</t>
  </si>
  <si>
    <t>WOS:000236562100005</t>
  </si>
  <si>
    <t>Flöder, S; Combüchen, A; Pasternak, A; Hillebrand, H</t>
  </si>
  <si>
    <t>Floeder, Sabine; Combuechen, Anja; Pasternak, Annika; Hillebrand, Helmut</t>
  </si>
  <si>
    <t>Competition between pelagic and benthic microalgae for phosphorus and light</t>
  </si>
  <si>
    <t>Hillebrand, Helmut/I-1717-2014</t>
  </si>
  <si>
    <t>Hillebrand, Helmut/0000-0001-7449-1613</t>
  </si>
  <si>
    <t>10.1007/s00027-006-0824-7</t>
  </si>
  <si>
    <t>WOS:000242997400002</t>
  </si>
  <si>
    <t>Lampert, W</t>
  </si>
  <si>
    <t>Lampert, Winfried</t>
  </si>
  <si>
    <t>Daphnia: Model herbivore, predator and prey</t>
  </si>
  <si>
    <t>POLISH JOURNAL OF ECOLOGY</t>
  </si>
  <si>
    <t>4th Symposium for European Freshwater Science (SEFS 4)</t>
  </si>
  <si>
    <t>AUG, 2005</t>
  </si>
  <si>
    <t>Jagiellonian Univ, Cracow, POLAND</t>
  </si>
  <si>
    <t>Jagiellonian Univ</t>
  </si>
  <si>
    <t>1505-2249</t>
  </si>
  <si>
    <t>WOS:000243236300006</t>
  </si>
  <si>
    <t>Strom, SL; Olson, MB; Macri, EL; Mordy, CW</t>
  </si>
  <si>
    <t>Strom, Suzanne L.; Olson, M. Brady; Macri, Erin L.; Mordy, Calvin W.</t>
  </si>
  <si>
    <t>Cross-shelf gradients in phytoplankton community structure, nutrient utilization, and growth rate in the coastal Gulf of Alaska</t>
  </si>
  <si>
    <t>Mordy, Calvin W/J-6808-2017</t>
  </si>
  <si>
    <t>10.3354/meps328075</t>
  </si>
  <si>
    <t>WOS:000245319400007</t>
  </si>
  <si>
    <t>Traunspurger, W; Bergtold, M</t>
  </si>
  <si>
    <t>Abebe, E; Andrassy, I; Traunspurger, W</t>
  </si>
  <si>
    <t>Traunspurger, W.; Bergtold, M.</t>
  </si>
  <si>
    <t>Patterns in the Size Structure of Freshwater Nematode Communities: the Cases of Lakes Konigssee and Brunnsee, Germany</t>
  </si>
  <si>
    <t>FRESHWATER NEMATODES: ECOLOGY AND TAXONOMY</t>
  </si>
  <si>
    <t>Traunspurger, Walter/KGL-7190-2024</t>
  </si>
  <si>
    <t>Traunspurger, Walter/0000-0002-9828-8430</t>
  </si>
  <si>
    <t>978-0-85199-009-5</t>
  </si>
  <si>
    <t>10.1079/9780851990095.0132</t>
  </si>
  <si>
    <t>WOS:000291209600010</t>
  </si>
  <si>
    <t>Weisse, T; Rammer, S</t>
  </si>
  <si>
    <t>Pronounced ecophysiological clonal differences of two common freshwater ciliates, Coleps spetai (Prostomatida) and Rimostrombidium lacustris (Oligotrichida), challenge the morphospecies concept</t>
  </si>
  <si>
    <t>10.1093/plankt/fbi100</t>
  </si>
  <si>
    <t>WOS:000235606600004</t>
  </si>
  <si>
    <t>Bonilia, S; Conde, D; Aubriot, L; Pérez, MD</t>
  </si>
  <si>
    <t>Influence of hydrology on phytoplankton species composition and life strategies in a subtropical coastal lagoon periodically connected with the Atlantic Ocean</t>
  </si>
  <si>
    <t>ESTUARIES</t>
  </si>
  <si>
    <t>Bonilla, Sylvia/0000-0002-1772-9899; conde, daniel/0000-0002-4088-0589</t>
  </si>
  <si>
    <t>0160-8347</t>
  </si>
  <si>
    <t>10.1007/BF02696017</t>
  </si>
  <si>
    <t>WOS:000234637800008</t>
  </si>
  <si>
    <t>Kuczynska-Kippen, N</t>
  </si>
  <si>
    <t>On body size and habitat selection in rotifers in a macrophye-dominated lake Budzynskie, Poland</t>
  </si>
  <si>
    <t>Kuczyńska-Kippen, Natalia/AAC-1955-2022</t>
  </si>
  <si>
    <t>10.1007/s10452-005-9003-5</t>
  </si>
  <si>
    <t>WOS:000233733400006</t>
  </si>
  <si>
    <t>Toepel, J; Langner, U; Wilhelm, C</t>
  </si>
  <si>
    <t>Combination of flow cytometry and single cell absorption spectroscopy to study the phytoplankton structure and to calculate the chl a specific absorption coefficients at the taxon level</t>
  </si>
  <si>
    <t>10.1111/j.1529-8817.2005.00137.x</t>
  </si>
  <si>
    <t>WOS:000233829500005</t>
  </si>
  <si>
    <t>Chang, KH; Hanazato, T</t>
  </si>
  <si>
    <t>Impact of selective predation by Mesocyclops pehpeiensis on a zooplankton community:: experimental analysis using mesocosms</t>
  </si>
  <si>
    <t>chang, Kwang-Hyeon/0000-0002-7952-4047</t>
  </si>
  <si>
    <t>10.1007/s11284-005-0089-y</t>
  </si>
  <si>
    <t>WOS:000233245400012</t>
  </si>
  <si>
    <t>Hawkins, PR; Holliday, J; Kathuria, A; Bowling, L</t>
  </si>
  <si>
    <t>Change in cyanobacterial biovolume due to preservation by Lugol's Iodine</t>
  </si>
  <si>
    <t>10.1016/j.hal.2005.03.001</t>
  </si>
  <si>
    <t>WOS:000233325900007</t>
  </si>
  <si>
    <t>Drake, JM; Lodge, DM; Lewis, M</t>
  </si>
  <si>
    <t>Theory and preliminary analysis of species invasions from ballast water: Controlling discharge volume and location</t>
  </si>
  <si>
    <t>AMERICAN MIDLAND NATURALIST</t>
  </si>
  <si>
    <t>Lewis, Mark A/0000-0002-7155-7426; Drake, John/0000-0003-4646-1235</t>
  </si>
  <si>
    <t>0003-0031</t>
  </si>
  <si>
    <t>1938-4238</t>
  </si>
  <si>
    <t>10.1674/0003-0031(2005)154[0459:TAPAOS]2.0.CO;2</t>
  </si>
  <si>
    <t>WOS:000232670900017</t>
  </si>
  <si>
    <t>Nishimura, Y; Kim, C; Nagata, T</t>
  </si>
  <si>
    <t>Vertical and seasonal variations of bacterioplankton subgroups with different nucleic acid contents: possible regulation by phosphorus</t>
  </si>
  <si>
    <t>10.1128/AEM.71.10.5828-5836.2005</t>
  </si>
  <si>
    <t>WOS:000232504000021</t>
  </si>
  <si>
    <t>Domingues, RB; Barbosa, A; Galvao, H</t>
  </si>
  <si>
    <t>Nutrients, light and phytoplankton succession in a temperate. estuary (the Guadiana, south-western Iberia)</t>
  </si>
  <si>
    <t>2-3</t>
  </si>
  <si>
    <t>10.1016/j.ecss.2005.02.017</t>
  </si>
  <si>
    <t>WOS:000230873200011</t>
  </si>
  <si>
    <t>Jankowski, T; Strauss, T; Ratte, HT</t>
  </si>
  <si>
    <t>Trophic interactions of the freshwater jellyfish Craspedacusta sowerbii</t>
  </si>
  <si>
    <t>Strauss, Tido/0000-0002-7821-7387</t>
  </si>
  <si>
    <t>10.1093/plankt/fbi055</t>
  </si>
  <si>
    <t>WOS:000232593000009</t>
  </si>
  <si>
    <t>Hülsmann, S; Rinke, K; Mooij, WM</t>
  </si>
  <si>
    <t>A quantitative test of the size efficiency hypothesis by means of a physiologically structured model</t>
  </si>
  <si>
    <t>Hülsmann, Stephan/N-3889-2018; Rinke, Karsten/E-6163-2016; Mooij, Wolf/C-2677-2008</t>
  </si>
  <si>
    <t>Hülsmann, Stephan/0000-0002-9569-7626; Rinke, Karsten/0000-0003-0864-6722; Mooij, Wolf/0000-0001-5586-8200</t>
  </si>
  <si>
    <t>10.1111/j.0030-1299.2005.13341.x</t>
  </si>
  <si>
    <t>WOS:000229069700004</t>
  </si>
  <si>
    <t>Sarma, SSS; Nandini, S; Gulati, RD</t>
  </si>
  <si>
    <t>Life history strategies of cladocerans: comparisons of tropical and temperate taxa</t>
  </si>
  <si>
    <t>Nandini, S./0000-0001-5614-6234; Sarma, S.S.S./0000-0003-2820-1579;</t>
  </si>
  <si>
    <t>JUL 1</t>
  </si>
  <si>
    <t>10.1007/s10750-004-3247-2</t>
  </si>
  <si>
    <t>WOS:000231879200030</t>
  </si>
  <si>
    <t>Christensen, BT; Lauridsen, TL; Ravn, HW; Bayley, M</t>
  </si>
  <si>
    <t>A comparison of feeding efficiency and swimming ability of Daphnia magna exposed to cypermethrin</t>
  </si>
  <si>
    <t>Lauridsen, Torben L/JAX-3118-2023; Bayley, Mark/J-5947-2013; Lauridsen, Torben L/K-9417-2013; Ravn, Helle Weber/J-7883-2013</t>
  </si>
  <si>
    <t>Bayley, Mark/0000-0001-8052-2551; Ravn, Helle Weber/0000-0001-5500-7494; Lauridsen, Torben/0000-0003-0139-2395</t>
  </si>
  <si>
    <t>10.1016/j.aquatox.2005.03.011</t>
  </si>
  <si>
    <t>WOS:000229719500008</t>
  </si>
  <si>
    <t>Caquet, T; Deydier-Stephan, L; Lacroix, G; Le Rouzic, B; Lescher-Moutoué, F</t>
  </si>
  <si>
    <t>Effects of fomesafen, alone and in combination with an adjuvant, on plankton communities in freshwater outdoor pond mesocosms</t>
  </si>
  <si>
    <t>Lagadic, Laurent/0000-0002-2469-8541</t>
  </si>
  <si>
    <t>10.1897/04-228R.1</t>
  </si>
  <si>
    <t>WOS:000228627100014</t>
  </si>
  <si>
    <t>Hopp, U; Maier, G</t>
  </si>
  <si>
    <t>Implication of the feeding limb morphology for herbivorous feeding in some freshwater cyclopoid copepods</t>
  </si>
  <si>
    <t>10.1111/j.1365-2427.2005.01362.x</t>
  </si>
  <si>
    <t>WOS:000228690300002</t>
  </si>
  <si>
    <t>Weider, LJ; Makino, W; Acharya, K; Glenn, KL; Kyle, M; Urabe, J; Elser, JJ</t>
  </si>
  <si>
    <t>Genotype x environment interactions, stoichiometric food quality effects, and clonal coexistence in Daphnia pulex</t>
  </si>
  <si>
    <t>10.1007/s00442-005-0003-x</t>
  </si>
  <si>
    <t>WOS:000229781100006</t>
  </si>
  <si>
    <t>Larson, C; Passy, SI</t>
  </si>
  <si>
    <t>Spectral fingerprinting of algal communities: a novel approach to biofilm analysis and biomonitoring</t>
  </si>
  <si>
    <t>Passy, Sophia I./I-1449-2019</t>
  </si>
  <si>
    <t>Larson, Chad/0000-0002-0329-8979</t>
  </si>
  <si>
    <t>10.1111/j.1529-8817.2005.04162.x</t>
  </si>
  <si>
    <t>WOS:000227859400021</t>
  </si>
  <si>
    <t>Dudycha, JL; Lynch, M</t>
  </si>
  <si>
    <t>Conserved ontogeny and allometric scaling of resource acquisition and allocation in the Daphniidae</t>
  </si>
  <si>
    <t>EVOLUTION</t>
  </si>
  <si>
    <t>0014-3820</t>
  </si>
  <si>
    <t>1558-5646</t>
  </si>
  <si>
    <t>WOS:000227943400009</t>
  </si>
  <si>
    <t>Buchanan, C; Lacouture, RV; Marshall, HG; Olson, M; Johnson, JM</t>
  </si>
  <si>
    <t>Phytoplankton reference communities for Chesapeake Bay and its tidal tributaries</t>
  </si>
  <si>
    <t>Buchanan, Claire/0000-0001-5627-448X</t>
  </si>
  <si>
    <t>10.1007/BF02732760</t>
  </si>
  <si>
    <t>WOS:000227944300011</t>
  </si>
  <si>
    <t>Fejes, E; Roelke, D; Gable, G; Heilman, J; McInnes, K; Zuberer, D</t>
  </si>
  <si>
    <t>Microalgal productivity, community composition, and pelagic food web dynamics in a subtropical, turbid salt marsh isolated from freshwater inflow</t>
  </si>
  <si>
    <t>10.1007/BF02732757</t>
  </si>
  <si>
    <t>WOS:000227944300008</t>
  </si>
  <si>
    <t>Nichols, SJ; Silverman, H; Dietz, TH; Lynn, JW; Garling, DL</t>
  </si>
  <si>
    <t>Pathways of food uptake in native (Unionidae) and introduced (Corbiculidae and Dreissenidae) freshwater bivalves</t>
  </si>
  <si>
    <t>10.1016/S0380-1330(05)70240-9</t>
  </si>
  <si>
    <t>WOS:000230145500008</t>
  </si>
  <si>
    <t>Peña-Castro, JM; Martínez-Jerónimo, F; Esparza-García, F; Cañizares-Villanueva, RO</t>
  </si>
  <si>
    <t>Phenotypic plasticity in Scenedesmus incrassatulus (Chlorophyceae) in response to heavy metals stress</t>
  </si>
  <si>
    <t>, Julian/GOV-3380-2022; Cañizares Villanueva, Rosa Olivia/B-8653-2013</t>
  </si>
  <si>
    <t>, Julian/0000-0001-6057-5357; Martinez-Jeronimo, Fernando/0000-0003-1484-9817</t>
  </si>
  <si>
    <t>10.1016/j.chemosphere.2004.06.041</t>
  </si>
  <si>
    <t>WOS:000225053400006</t>
  </si>
  <si>
    <t>Jankowski, T</t>
  </si>
  <si>
    <t>Predation of freshwater jellyfish on Bosmina:: the consequences for population dynamics, body size, and morphology</t>
  </si>
  <si>
    <t>7th International Conference on Coelenterate Biology</t>
  </si>
  <si>
    <t>JUL 06-11, 2003</t>
  </si>
  <si>
    <t>Univ Kansas, Lawrence, KS</t>
  </si>
  <si>
    <t>Univ Kansas</t>
  </si>
  <si>
    <t>10.1007/s10750-004-2648-6</t>
  </si>
  <si>
    <t>WOS:000226416700060</t>
  </si>
  <si>
    <t>Basset, A; Sangiorgio, F; Pinna, M</t>
  </si>
  <si>
    <t>Monitoring with benthic macroinvertebrates: advantages and disadvantages of body size descriptors</t>
  </si>
  <si>
    <t>Pinna, Maurizio/AGM-1535-2022; sangiorgio, franca/C-4052-2009</t>
  </si>
  <si>
    <t>Pinna, Maurizio/0000-0001-8335-4098; sangiorgio, franca/0000-0002-0837-6673</t>
  </si>
  <si>
    <t>S58</t>
  </si>
  <si>
    <t>10.1002/aqc.649</t>
  </si>
  <si>
    <t>WOS:000225589300005</t>
  </si>
  <si>
    <t>Badylak, S; Phlips, EJ</t>
  </si>
  <si>
    <t>Spatial and temporal patterns of phytoplankton composition in subtropical coastal lagoon, the Indian River Lagoon, Florida, USA</t>
  </si>
  <si>
    <t>10.1093/plankt/fbh114</t>
  </si>
  <si>
    <t>WOS:000224078700009</t>
  </si>
  <si>
    <t>Boenigk, J; Stadler, P; Wiedlroither, A; Hahn, MW</t>
  </si>
  <si>
    <t>Strain-specific differences in the grazing sensitivities of closely related ultramicrobacteria affiliated with the Polynucleobacter cluster</t>
  </si>
  <si>
    <t>Hahn, Martin W./B-9998-2008; Boenigk, Jens/A-9377-2013</t>
  </si>
  <si>
    <t>10.1128/AEM.70.10.5787-5793.2004</t>
  </si>
  <si>
    <t>WOS:000224356200010</t>
  </si>
  <si>
    <t>Mueller, CR; Eversole, AG; Turker, H; Brune, DE</t>
  </si>
  <si>
    <t>Effect of silver carp Hypophthalmichthys molitrix and freshwater mussel Elliptio complanata filtration on the phytoplankton community of Partitioned Aquaculture System units</t>
  </si>
  <si>
    <t>10.1111/j.1749-7345.2004.tb00101.x</t>
  </si>
  <si>
    <t>WOS:000223960100008</t>
  </si>
  <si>
    <t>Verleyen, E; Hodgson, DA; Leavitt, PR; Sabbe, K; Vyverman, W</t>
  </si>
  <si>
    <t>Quantifying habitat-specific diatom production: A critical assessment using morphological and biogeochemical markers in Antarctic marine and lake sediments</t>
  </si>
  <si>
    <t>Dasseville, Renaat/B-3561-2010; Leavitt, Peter R/A-1048-2013</t>
  </si>
  <si>
    <t>Leavitt, Peter R/0000-0001-9805-9307</t>
  </si>
  <si>
    <t>10.4319/lo.2004.49.5.1528</t>
  </si>
  <si>
    <t>WOS:000224979900006</t>
  </si>
  <si>
    <t>Dorn, NJ; Wojdak, JM</t>
  </si>
  <si>
    <t>The role of omnivorous crayfish in littoral communities</t>
  </si>
  <si>
    <t>Dorn, Nathan/0000-0001-5516-0253</t>
  </si>
  <si>
    <t>10.1007/s00442-004-1548-9</t>
  </si>
  <si>
    <t>WOS:000221850300017</t>
  </si>
  <si>
    <t>Franklin, NM; Stauber, JL; Lim, RP</t>
  </si>
  <si>
    <t>Development of multispecies algal bioassays using flow cytometry</t>
  </si>
  <si>
    <t>Stauber, Jenny/G-8418-2011; Lim, Richard/A-1481-2011</t>
  </si>
  <si>
    <t>Lim, Richard/0000-0002-4916-5688</t>
  </si>
  <si>
    <t>10.1897/03-250</t>
  </si>
  <si>
    <t>WOS:000221825600012</t>
  </si>
  <si>
    <t>Ibelings, BW; De Bruin, A; Kagami, M; Rijkeboer, M; Brehm, M; van Donk, E</t>
  </si>
  <si>
    <t>Host parasite interactions between freshwater phytoplankton and chytrid fungi (Chytridiomycota)</t>
  </si>
  <si>
    <t>10.1111/j.1529-8817.2004.03117.x</t>
  </si>
  <si>
    <t>WOS:000221644400001</t>
  </si>
  <si>
    <t>Laybourn-Parry, J; Henshaw, T; Jones, DJ; Quayle, W</t>
  </si>
  <si>
    <t>Bacterioplankton production in freshwater Antarctic lakes</t>
  </si>
  <si>
    <t>QUAYLE, WENDY C/Q-3719-2016; jones, davey/C-7411-2011; Jones, Davey/AAD-6037-2020</t>
  </si>
  <si>
    <t>QUAYLE, WENDY C/0000-0003-0622-1915; jones, davey/0000-0002-1482-4209;</t>
  </si>
  <si>
    <t>10.1111/j.1365-2427.2004.01221.x</t>
  </si>
  <si>
    <t>WOS:000221492000005</t>
  </si>
  <si>
    <t>Devreker, D; Souissi, S; Seuront, L</t>
  </si>
  <si>
    <t>Development and mortality of the first naupliar stages of Eurytemora affinis (Copepoda, Calanoida) under different conditions of salinity and temperature</t>
  </si>
  <si>
    <t>JOURNAL OF EXPERIMENTAL MARINE BIOLOGY AND ECOLOGY</t>
  </si>
  <si>
    <t>Souissi, Sami/C-5146-2018; Devreker, David/C-7278-2011</t>
  </si>
  <si>
    <t>Souissi, Sami/0000-0002-6720-0096; Seuront, Laurent/0000-0002-0051-5202</t>
  </si>
  <si>
    <t>0022-0981</t>
  </si>
  <si>
    <t>1879-1697</t>
  </si>
  <si>
    <t>10.1016/j.jembe.2003.11.002</t>
  </si>
  <si>
    <t>WOS:000221482300004</t>
  </si>
  <si>
    <t>Carotenuto, Y; Lampert, W</t>
  </si>
  <si>
    <t>Ingestion and incorporation of freshwater diatoms by Daphnia pulicaria:: do morphology and oxylipin production matter?</t>
  </si>
  <si>
    <t>Carotenuto, Ylenia/ABG-4872-2021</t>
  </si>
  <si>
    <t>Carotenuto, Ylenia/0000-0002-7188-9279</t>
  </si>
  <si>
    <t>10.1093/plankt/fbh053</t>
  </si>
  <si>
    <t>WOS:000221296000006</t>
  </si>
  <si>
    <t>Gasiunaite, ZR; Razinkovas, A</t>
  </si>
  <si>
    <t>Temporal and spatial patterns of crustacean zooplankton dynamics in a transitional lagoon ecosystem</t>
  </si>
  <si>
    <t>17th Baltic Marine Biologists Symposium</t>
  </si>
  <si>
    <t>NOV 25-29, 2001</t>
  </si>
  <si>
    <t>Stockholm, SWEDEN</t>
  </si>
  <si>
    <t>Gasiunaite, Zita Rasuole/AAT-7108-2021</t>
  </si>
  <si>
    <t>Gasiunaite, Zita R./0000-0002-8598-0524</t>
  </si>
  <si>
    <t>10.1023/B:hydr.0000018214.93205.32</t>
  </si>
  <si>
    <t>WOS:000220784400014</t>
  </si>
  <si>
    <t>Bernot, RJ; Dodds, WK; Quist, MC; Guy, CS</t>
  </si>
  <si>
    <t>Larval fish-induced phenotypic plasticity of coexisting Daphnia:: an enclosure experiment</t>
  </si>
  <si>
    <t>Dodds, Walter/0000-0002-6666-8930</t>
  </si>
  <si>
    <t>10.1046/j.1365-2426.2003.01171.x</t>
  </si>
  <si>
    <t>WOS:000187405500008</t>
  </si>
  <si>
    <t>Kimmel, DG; Roman, MR</t>
  </si>
  <si>
    <t>Long-term trends in mesozooplankton abundance in Chesapeake Bay, USA: influence of freshwater input</t>
  </si>
  <si>
    <t>Kimmel, David/0000-0001-7232-7801; Kimmel, David/0000-0001-7232-7801</t>
  </si>
  <si>
    <t>10.3354/meps267071</t>
  </si>
  <si>
    <t>WOS:000220562100006</t>
  </si>
  <si>
    <t>Sandberg, J; Andersson, A; Johansson, S; Wikner, J</t>
  </si>
  <si>
    <t>Pelagic food web structure and carbon budget in the northern Baltic Sea: potential importance of terrigenous carbon</t>
  </si>
  <si>
    <t>Wikner, Johan/0000-0001-6061-8257; Wikner, Johan/0000-0001-6061-8257</t>
  </si>
  <si>
    <t>10.3354/meps268013</t>
  </si>
  <si>
    <t>WOS:000220739000002</t>
  </si>
  <si>
    <t>Borel, CM; Guerstein, GR; Prieto, AR</t>
  </si>
  <si>
    <t>Holocene aquatic palynomorphs (algae and acritarchs) from Laguna Hinojales (Buenos Aires, Argentina): paleoecological interpretation</t>
  </si>
  <si>
    <t>AMEGHINIANA</t>
  </si>
  <si>
    <t>Borel, C. Marcela/0000-0001-5772-4534</t>
  </si>
  <si>
    <t>0002-7014</t>
  </si>
  <si>
    <t>1851-8044</t>
  </si>
  <si>
    <t>DEC 30</t>
  </si>
  <si>
    <t>WOS:000220070400002</t>
  </si>
  <si>
    <t>Atkinson, D; Ciotti, BJ; Montagnes, DJS</t>
  </si>
  <si>
    <t>Protists decrease in size linearly with temperature:: ca. 2.5% °C-1</t>
  </si>
  <si>
    <t>Atkinson, David/0000-0002-9956-2454; Atkinson, David/0000-0002-9956-2454; Ciotti, Benjamin/0000-0001-5769-1437</t>
  </si>
  <si>
    <t>10.1098/rspb.2003.2538</t>
  </si>
  <si>
    <t>WOS:000187989900011</t>
  </si>
  <si>
    <t>Cohen, GM; Shurin, JB</t>
  </si>
  <si>
    <t>Scale-dependence and mechanisms of dispersal in freshwater zooplankton</t>
  </si>
  <si>
    <t>10.1034/j.1600-0706.2003.12660.x</t>
  </si>
  <si>
    <t>WOS:000186985900016</t>
  </si>
  <si>
    <t>Thys, I; Leporcq, B; Descy, JP</t>
  </si>
  <si>
    <t>Seasonal shifts in phytoplankton ingestion by Daphnia galeata, assessed by analysis of marker pigments</t>
  </si>
  <si>
    <t>Descy, Jean-Pierre/0000-0003-1649-7800</t>
  </si>
  <si>
    <t>10.1093/plankt/fbg103</t>
  </si>
  <si>
    <t>WOS:000187232500003</t>
  </si>
  <si>
    <t>Villena, MJ; Romo, S</t>
  </si>
  <si>
    <t>Phytoplankton changes in a shallow Mediterranean lake (Albufera of Valencia, Spain) after sewage diversion</t>
  </si>
  <si>
    <t>International Conference on Limnology of Shallow Lakes</t>
  </si>
  <si>
    <t>MAY 25-30, 2002</t>
  </si>
  <si>
    <t>BALATONFURED, HUNGARY</t>
  </si>
  <si>
    <t>Veszprem Univ, Acad Sci &amp; Dept Limnol,Balaton Linmol Inst Hungarian</t>
  </si>
  <si>
    <t>10.1023/B:HYDR.0000008565.23626.aa</t>
  </si>
  <si>
    <t>WOS:000188455600037</t>
  </si>
  <si>
    <t>Weliange, WS; Amarasinghe, US</t>
  </si>
  <si>
    <t>Seasonality in dietary shifts in size-structured freshwater fish assemblages in three reservoirs of Sri Lanka</t>
  </si>
  <si>
    <t>Amarasinghe, Upali S./AAI-7435-2021</t>
  </si>
  <si>
    <t>Amarasinghe, Upali S./0000-0002-0465-6950</t>
  </si>
  <si>
    <t>10.1023/A:1027384114802</t>
  </si>
  <si>
    <t>WOS:000186334300008</t>
  </si>
  <si>
    <t>Moss, B; Mckee, D; Atkinson, D; Collings, SE; Eaton, JW; Gill, AB; Harvey, I; Hatton, K; Heyes, T; Wilson, D</t>
  </si>
  <si>
    <t>How important is climate? Effects of warming, nutrient addition and fish on phytoplankton in shallow lake microcosms</t>
  </si>
  <si>
    <t>JOURNAL OF APPLIED ECOLOGY</t>
  </si>
  <si>
    <t>Gill, Andrew/ABE-1092-2020; Atkinson, David/D-4664-2009; Atkinson, David/Q-6933-2019</t>
  </si>
  <si>
    <t>Gill, Andrew/0000-0002-3379-6952; Atkinson, David/0000-0002-9956-2454; Atkinson, David/0000-0002-9956-2454</t>
  </si>
  <si>
    <t>0021-8901</t>
  </si>
  <si>
    <t>1365-2664</t>
  </si>
  <si>
    <t>10.1046/j.1365-2664.2003.00839.x</t>
  </si>
  <si>
    <t>WOS:000185552400002</t>
  </si>
  <si>
    <t>Winder, M; Buergi, HR; Spaak, P</t>
  </si>
  <si>
    <t>Seasonal vertical distribution of phytoplankton and copepod species in a high-mountain lake</t>
  </si>
  <si>
    <t>Winder, Monika/F-5318-2016</t>
  </si>
  <si>
    <t>Winder, Monika/0000-0001-9467-3035</t>
  </si>
  <si>
    <t>10.1127/0003-9136/2003/0158-0197</t>
  </si>
  <si>
    <t>WOS:000186564300004</t>
  </si>
  <si>
    <t>Simon, KS; Townsend, CR</t>
  </si>
  <si>
    <t>Impacts of freshwater invaders at different levels of ecological organisation, with emphasis on salmonids and ecosystem consequences</t>
  </si>
  <si>
    <t>Simon, Kevin/0000-0002-9537-2450</t>
  </si>
  <si>
    <t>10.1046/j.1365-2427.2003.01069.x</t>
  </si>
  <si>
    <t>WOS:000182948500004</t>
  </si>
  <si>
    <t>Lemke, AM; Stoeckel, JA; Pegg, MA</t>
  </si>
  <si>
    <t>Utilization of the exotic cladoceran Daphnia lumholtzi by juvenile fishes in an Illinois River floodplain lake</t>
  </si>
  <si>
    <t>Pegg, Mark/AAG-4197-2021; Stoeckel, James/IQT-4999-2023</t>
  </si>
  <si>
    <t>Stoeckel, James/0000-0001-5621-3185</t>
  </si>
  <si>
    <t>10.1046/j.1095-8649.2003.00090.x</t>
  </si>
  <si>
    <t>WOS:000185632100016</t>
  </si>
  <si>
    <t>Klemetsen, A; Amundsen, PA; Dempson, JB; Jonsson, B; Jonsson, N; O'Connell, MF; Mortensen, E</t>
  </si>
  <si>
    <t>Atlantic salmon Salmo salar L., brown trout Salmo trutta L. and Arctic charr Salvelinus alpinus (L.):: a review of aspects of their life histories</t>
  </si>
  <si>
    <t>Amundsen, Per-Arne/0000-0002-2203-8216</t>
  </si>
  <si>
    <t>10.1034/j.1600-0633.2003.00010.x</t>
  </si>
  <si>
    <t>WOS:000180927000001</t>
  </si>
  <si>
    <t>Black, AR; Dodson, SI</t>
  </si>
  <si>
    <t>Ethanol:: a better preservation technique for Daphnia</t>
  </si>
  <si>
    <t>10.4319/lom.2003.1.45</t>
  </si>
  <si>
    <t>WOS:000202872600006</t>
  </si>
  <si>
    <t>Plourde, S; Joly, P; Runge, JA; Dodson, J; Zakardjian, B</t>
  </si>
  <si>
    <t>Life cycle of Calanus hyperboreus in the lower St. Lawrence Estuary and its relationship to local environmental conditions</t>
  </si>
  <si>
    <t>Zakardjian, Bruno/AAL-9123-2021</t>
  </si>
  <si>
    <t>Zakardjian, Bruno/0000-0002-6667-3086</t>
  </si>
  <si>
    <t>10.3354/meps255219</t>
  </si>
  <si>
    <t>WOS:000184268600018</t>
  </si>
  <si>
    <t>Gattuso, JP; Peduzzi, S; Pizay, MD; Tonolla, M</t>
  </si>
  <si>
    <t>Changes in freshwater bacterial community composition during measurements of microbial and community respiration</t>
  </si>
  <si>
    <t>Gattuso, Jean-Pierre/E-6631-2010; Gattuso, Jean-Pierre/AAG-8643-2019</t>
  </si>
  <si>
    <t>Gattuso, Jean-Pierre/0000-0002-4533-4114</t>
  </si>
  <si>
    <t>10.1093/plankt/24.11.1197</t>
  </si>
  <si>
    <t>WOS:000179038500007</t>
  </si>
  <si>
    <t>Chaput, O; Carrias, JF</t>
  </si>
  <si>
    <t>Effects of commonly used fixatives on size parameters of freshwater planktonic protists</t>
  </si>
  <si>
    <t>Carrias, Jean-François/AAT-2738-2021</t>
  </si>
  <si>
    <t>Carrias, Jean-François/0000-0002-6201-1544</t>
  </si>
  <si>
    <t>WOS:000179384900010</t>
  </si>
  <si>
    <t>Nielsen, TG; Andersen, CM</t>
  </si>
  <si>
    <t>Plankton community structure and production along a freshwater-influenced Norwegian fjord system</t>
  </si>
  <si>
    <t>Nielsen, Torkel Gissel/HLQ-4981-2023</t>
  </si>
  <si>
    <t>Nielsen, Torkel Gissel/0000-0003-1057-158X</t>
  </si>
  <si>
    <t>10.1007/s00227-002-0868-8</t>
  </si>
  <si>
    <t>WOS:000179260900011</t>
  </si>
  <si>
    <t>Finlay, BJ; Monaghan, EB; Maberly, SC</t>
  </si>
  <si>
    <t>Hypothesis: The rate and scale of dispersal of freshwater diatom species is a function of their global abundance</t>
  </si>
  <si>
    <t>PROTIST</t>
  </si>
  <si>
    <t>Maberly, Stephen C/J-3361-2012</t>
  </si>
  <si>
    <t>1434-4610</t>
  </si>
  <si>
    <t>10.1078/1434-4610-00103</t>
  </si>
  <si>
    <t>WOS:000178463600006</t>
  </si>
  <si>
    <t>Quintana, XD; Moreno-Amich, R</t>
  </si>
  <si>
    <t>Quintana, Xavier D.; Moreno-Amich, Ramon</t>
  </si>
  <si>
    <t>Phytoplankton composition of Emporda salt marshes, Spain and its response to freshwater flux regulation</t>
  </si>
  <si>
    <t>JOURNAL OF COASTAL RESEARCH</t>
  </si>
  <si>
    <t>Quintana, Xavier/L-5083-2014</t>
  </si>
  <si>
    <t>0749-0208</t>
  </si>
  <si>
    <t>1551-5036</t>
  </si>
  <si>
    <t>FAL</t>
  </si>
  <si>
    <t>WOS:000209071900063</t>
  </si>
  <si>
    <t>Weisse, T; Stadler, P; Lindström, ES; Kimmance, SA; Montagnes, DJS</t>
  </si>
  <si>
    <t>Interactive effect of temperature and food concentration on growth rate:: A test case using the small freshwater ciliate Urotricha farcta</t>
  </si>
  <si>
    <t>Lindström, Eva/0000-0001-8920-3071; Weisse, Thomas/0000-0001-6103-6558</t>
  </si>
  <si>
    <t>10.4319/lo.2002.47.5.1447</t>
  </si>
  <si>
    <t>WOS:000178081800016</t>
  </si>
  <si>
    <t>McKee, D; Atkinson, D; Collings, S; Eaton, J; Harvey, I; Heyes, T; Hatton, K; Wilson, D; Moss, B</t>
  </si>
  <si>
    <t>Macro-zooplankter responses to simulated climate warming in experimental freshwater microcosms</t>
  </si>
  <si>
    <t>Atkinson, David/Q-6933-2019; Atkinson, David/D-4664-2009</t>
  </si>
  <si>
    <t>Atkinson, David/0000-0002-9956-2454; Atkinson, David/0000-0002-9956-2454</t>
  </si>
  <si>
    <t>10.1046/j.1365-2427.2002.00878.x</t>
  </si>
  <si>
    <t>WOS:000177025900017</t>
  </si>
  <si>
    <t>Hoyer, MV; Frazer, TK; Notestein, SK; Canfield, DE</t>
  </si>
  <si>
    <t>Nutrient, chlorophyll, and water clarity relationships in Florida's nearshore coastal waters with comparisons to freshwater lakes</t>
  </si>
  <si>
    <t>10.1139/F02-077</t>
  </si>
  <si>
    <t>WOS:000177786000011</t>
  </si>
  <si>
    <t>Yasindi, AW; Lynn, DH; Taylor, WD</t>
  </si>
  <si>
    <t>Ciliated protozoa in Lake Nakuru, a shallow alkaline-saline lake in Kenya: Seasonal variation, potential production and role in the food web</t>
  </si>
  <si>
    <t>Lynn, Denis H/F-4939-2010</t>
  </si>
  <si>
    <t>Taylor, William/0000-0001-8555-945X</t>
  </si>
  <si>
    <t>WOS:000176256400008</t>
  </si>
  <si>
    <t>Rocha, C; Galvao, H; Barbosa, A</t>
  </si>
  <si>
    <t>Role of transient silicon limitation in the development of cyanobacteria blooms in the Guadiana estuary, south-western Iberia</t>
  </si>
  <si>
    <t>Barbosa, Ana B./K-4244-2012; Galvão, Helena/AFL-8576-2022; Ross, Donald J/F-7607-2012; Rocha, Carlos/AAC-9617-2022</t>
  </si>
  <si>
    <t>Galvão, Helena/0000-0003-0939-8994; Barbosa, Ana/0000-0002-7402-246X</t>
  </si>
  <si>
    <t>10.3354/meps228035</t>
  </si>
  <si>
    <t>WOS:000174655000005</t>
  </si>
  <si>
    <t>Weisse, T; Frahm, A</t>
  </si>
  <si>
    <t>Direct and indirect impact of two common rotifer species (Keratella spp.) on two abundant ciliate species (Urotricha furcata, Balanion planctonicum)</t>
  </si>
  <si>
    <t>10.1046/j.1365-2427.2002.00780.x</t>
  </si>
  <si>
    <t>WOS:000173397900005</t>
  </si>
  <si>
    <t>Wellborn, GA</t>
  </si>
  <si>
    <t>Trade-off between competitive ability and antipredator adaptation in a freshwater amphipod species complex</t>
  </si>
  <si>
    <t>10.1890/0012-9658(2002)083[0129:TOBCAA]2.0.CO;2</t>
  </si>
  <si>
    <t>WOS:000173117700012</t>
  </si>
  <si>
    <t>Mages, M; Woelfl, S; von Tümpling, W</t>
  </si>
  <si>
    <t>A method for trace element determination of single Daphnia specimens using total reflection X-ray fluorescence spectrometry</t>
  </si>
  <si>
    <t>SPECTROCHIMICA ACTA PART B-ATOMIC SPECTROSCOPY</t>
  </si>
  <si>
    <t>8th Conference on Total Reflection X-Ray Fluorescence Analysis and Related Methods</t>
  </si>
  <si>
    <t>SEP 25-29, 2000</t>
  </si>
  <si>
    <t>VIENNA, AUSTRIA</t>
  </si>
  <si>
    <t>von Tümpling, Wolf/H-9032-2013</t>
  </si>
  <si>
    <t>von Tümpling, Wolf/0000-0003-1815-4764; Woelfl, Stefan/0000-0001-5580-2383</t>
  </si>
  <si>
    <t>0584-8547</t>
  </si>
  <si>
    <t>10.1016/S0584-8547(01)00325-1</t>
  </si>
  <si>
    <t>WOS:000172711200025</t>
  </si>
  <si>
    <t>Alam, MGM; Jahan, N; Thalib, L; Wei, B; Maekawa, T</t>
  </si>
  <si>
    <t>Effects of environmental factors on the seasonally change of phytoplankton populations in a closed freshwater pond</t>
  </si>
  <si>
    <t>ENVIRONMENT INTERNATIONAL</t>
  </si>
  <si>
    <t>Thalib, Lukman/HAI-7553-2022</t>
  </si>
  <si>
    <t>Thalib, Lukman/0000-0002-1211-6495</t>
  </si>
  <si>
    <t>0160-4120</t>
  </si>
  <si>
    <t>1873-6750</t>
  </si>
  <si>
    <t>10.1016/S0160-4120(01)00087-3</t>
  </si>
  <si>
    <t>WOS:000172154700003</t>
  </si>
  <si>
    <t>Hairston, NG; Holtmeier, CL; Lampert, W; Weider, LJ; Post, DM; Fischer, JM; Cáceres, CE; Fox, JA; Gaedke, U</t>
  </si>
  <si>
    <t>Natural selection for grazer resistance to toxic cyanobacteria:: Evolution of phenotypic plasticity?</t>
  </si>
  <si>
    <t>Post, David M/0000-0003-1434-7729; Weider, Lawrence/0000-0003-1310-4418</t>
  </si>
  <si>
    <t>WOS:000172947000006</t>
  </si>
  <si>
    <t>Gagneten, AM; Vila, I</t>
  </si>
  <si>
    <t>Effects of Cu+2 and pH on the fitness of Ceriodaphnia dubia (Richard 1894) (Crustacea, Cladocera) in microcosm experiments</t>
  </si>
  <si>
    <t>ENVIRONMENTAL TOXICOLOGY</t>
  </si>
  <si>
    <t>1520-4081</t>
  </si>
  <si>
    <t>1522-7278</t>
  </si>
  <si>
    <t>10.1002/tox.10001</t>
  </si>
  <si>
    <t>WOS:000171299900009</t>
  </si>
  <si>
    <t>Posch, T; Loferer-Krössbacher, M; Gao, G; Alfreider, A; Pernthaler, J; Psenner, R</t>
  </si>
  <si>
    <t>Precision of bacterioplankton biomass determination:: a comparison of two fluorescent dyes, and of allometric and linear volume-to-carbon conversion factors</t>
  </si>
  <si>
    <t>Pernthaler, Jakob/0000-0001-7558-909X; Posch, Thomas/0000-0001-5145-3761; Alfreider, Albin/0000-0002-7644-7154</t>
  </si>
  <si>
    <t>AUG 10</t>
  </si>
  <si>
    <t>10.3354/ame025055</t>
  </si>
  <si>
    <t>WOS:000170816500006</t>
  </si>
  <si>
    <t>Jahan, N; Alam, MGM; Sugiura, N; Norman, CP; Maekawa, T</t>
  </si>
  <si>
    <t>Seasonal variation in frequency of dividing cells of freshwater phytoplankters</t>
  </si>
  <si>
    <t>ENVIRONMENTAL TECHNOLOGY</t>
  </si>
  <si>
    <t>0959-3330</t>
  </si>
  <si>
    <t>1479-487X</t>
  </si>
  <si>
    <t>10.1080/09593332208618267</t>
  </si>
  <si>
    <t>WOS:000168506200007</t>
  </si>
  <si>
    <t>Gliwicz, ZM</t>
  </si>
  <si>
    <t>Species-specific population-density thresholds in cladocerans?</t>
  </si>
  <si>
    <t>WOS:000167924900028</t>
  </si>
  <si>
    <t>Peterson, WT</t>
  </si>
  <si>
    <t>Patterns in stage duration and development among marine and freshwater calanoid and cyclopoid copepods: a review of rules, physiological constraints, and evolutionary significance</t>
  </si>
  <si>
    <t>10.1023/A:1013111832700</t>
  </si>
  <si>
    <t>WOS:000172600200008</t>
  </si>
  <si>
    <t>Kobayashi, T; Williams, S; Kotlash, A</t>
  </si>
  <si>
    <t>Autotrophic picoplankton in a regulated coastal river in New South Wales</t>
  </si>
  <si>
    <t>PROCEEDINGS OF THE LINNEAN SOCIETY OF NEW SOUTH WALES</t>
  </si>
  <si>
    <t>0370-047X</t>
  </si>
  <si>
    <t>WOS:000169255200005</t>
  </si>
  <si>
    <t>Cotner, JB</t>
  </si>
  <si>
    <t>Intense winter heterotrophic production stimulated by benthic resuspension</t>
  </si>
  <si>
    <t>Cotner, James B/D-8799-2013</t>
  </si>
  <si>
    <t>Cotner, James B/0000-0001-9792-467X</t>
  </si>
  <si>
    <t>10.4319/lo.2000.45.7.1672</t>
  </si>
  <si>
    <t>WOS:000165267100021</t>
  </si>
  <si>
    <t>Gosselain, V; Hamilton, PB; Descy, JP</t>
  </si>
  <si>
    <t>Estimating phytoplankton carbon from microscopic counts: an application for riverine systems</t>
  </si>
  <si>
    <t>10.1023/A:1004161928957</t>
  </si>
  <si>
    <t>WOS:000166048100006</t>
  </si>
  <si>
    <t>Shurin, JB; Havel, JE; Leibold, MA; Pinel-Alloul, B</t>
  </si>
  <si>
    <t>Local and regional zooplankton species richness: A scale-independent test for saturation</t>
  </si>
  <si>
    <t>Pinel-Alloul, Bernadette/0000-0002-1070-2968</t>
  </si>
  <si>
    <t>10.1890/0012-9658(2000)081[3062:LARZSR]2.0.CO;2</t>
  </si>
  <si>
    <t>WOS:000165384000010</t>
  </si>
  <si>
    <t>Sastri, AR; Roff, JC</t>
  </si>
  <si>
    <t>Rate of chitobiase degradation as a measure of development rate in planktonic Crustacea</t>
  </si>
  <si>
    <t>10.1139/cjfas-57-10-1965</t>
  </si>
  <si>
    <t>WOS:000165188300001</t>
  </si>
  <si>
    <t>Holfeld, H</t>
  </si>
  <si>
    <t>Relative abundance, rate of increase, and fungal infections of freshwater phytoplankton</t>
  </si>
  <si>
    <t>10.1093/plankt/22.5.987</t>
  </si>
  <si>
    <t>WOS:000087155100010</t>
  </si>
  <si>
    <t>McNamara, AE; Hill, WR</t>
  </si>
  <si>
    <t>UV-B irradiance gradient affects photosynthesis and pigments but not food quality of periphyton</t>
  </si>
  <si>
    <t>10.1046/j.1365-2427.2000.t01-1-00537.x</t>
  </si>
  <si>
    <t>WOS:000086330700010</t>
  </si>
  <si>
    <t>Tessier, AJ; Leibold, MA; Tsao, J</t>
  </si>
  <si>
    <t>A fundamental trade-off in resource exploitation by Daphnia and consequences to plankton communities</t>
  </si>
  <si>
    <t>WOS:000085611400019</t>
  </si>
  <si>
    <t>Diesel, R; Schubart, CD; Schuh, M</t>
  </si>
  <si>
    <t>A reconstruction of the invasion of land by Jamaican crabs (Grapsidae: Sesarminae)</t>
  </si>
  <si>
    <t>JOURNAL OF ZOOLOGY</t>
  </si>
  <si>
    <t>Schubart, Christoph D./B-5595-2012</t>
  </si>
  <si>
    <t>0952-8369</t>
  </si>
  <si>
    <t>1469-7998</t>
  </si>
  <si>
    <t>10.1017/S0952836900002016</t>
  </si>
  <si>
    <t>WOS:000085859900001</t>
  </si>
  <si>
    <t>Gillooly, JF</t>
  </si>
  <si>
    <t>Effect of body size and temperature on generation time in zooplankton</t>
  </si>
  <si>
    <t>10.1093/plankt/22.2.241</t>
  </si>
  <si>
    <t>WOS:000085216000003</t>
  </si>
  <si>
    <t>Twombly, S; Tisch, N</t>
  </si>
  <si>
    <t>Body size regulation in copepod crustaceans</t>
  </si>
  <si>
    <t>10.1007/s004420050037</t>
  </si>
  <si>
    <t>WOS:000085943100003</t>
  </si>
  <si>
    <t>Gillooly, JF; Dodson, SI</t>
  </si>
  <si>
    <t>Latitudinal patterns in the size distribution and seasonal dynamics of new world, freshwater cladocerans</t>
  </si>
  <si>
    <t>10.4319/lo.2000.45.1.0022</t>
  </si>
  <si>
    <t>WOS:000084949600003</t>
  </si>
  <si>
    <t>Straile, D; Hälbich, A</t>
  </si>
  <si>
    <t>Life history and multiple antipredator defenses of an invertebrate pelagic predator, Bythotrephes longimanus</t>
  </si>
  <si>
    <t>Straile, Dietmar/A-4065-2008</t>
  </si>
  <si>
    <t>Straile, Dietmar/0000-0002-7441-8552</t>
  </si>
  <si>
    <t>10.1890/0012-9658(2000)081[0150:LHAMAD]2.0.CO;2</t>
  </si>
  <si>
    <t>WOS:000084913400014</t>
  </si>
  <si>
    <t>Cecchine, G; Snell, TW</t>
  </si>
  <si>
    <t>Toxicant exposure increases threshold food levels in freshwater rotifer populations</t>
  </si>
  <si>
    <t>10.1002/(SICI)1522-7278(199912)14:5&lt;523::AID-TOX6&gt;3.0.CO;2-2</t>
  </si>
  <si>
    <t>WOS:000083912000006</t>
  </si>
  <si>
    <t>Dudycha, JL; Tessier, AJ</t>
  </si>
  <si>
    <t>Natural genetic variation of life span, reproduction, and juvenile growth in Daphnia</t>
  </si>
  <si>
    <t>10.2307/2640437</t>
  </si>
  <si>
    <t>WOS:000084703100010</t>
  </si>
  <si>
    <t>Martinez, G</t>
  </si>
  <si>
    <t>Feeding strategies of three freshwater zooplankton species (Cladocera)</t>
  </si>
  <si>
    <t>REVISTA CHILENA DE HISTORIA NATURAL</t>
  </si>
  <si>
    <t>0716-078X</t>
  </si>
  <si>
    <t>0717-6317</t>
  </si>
  <si>
    <t>WOS:000084976900016</t>
  </si>
  <si>
    <t>De Lange, HJ; Verschoor, AM; Gylstra, R; Cuppen, JGM; Van Donk, E</t>
  </si>
  <si>
    <t>Effects of artificial ultraviolet-B radiation on experimental aquatic microcosms</t>
  </si>
  <si>
    <t>van Donk, Ellen/B-7272-2008; Verschoor, Anthony/D-8446-2011</t>
  </si>
  <si>
    <t>10.1046/j.1365-2427.1999.00478.x</t>
  </si>
  <si>
    <t>WOS:000083843900013</t>
  </si>
  <si>
    <t>Preston, BL; Snell, TW; Dusenbery, DB</t>
  </si>
  <si>
    <t>The effects of sublethal pentachlorophenol exposure on predation risk in freshwater rotifer species</t>
  </si>
  <si>
    <t>Preston, Benjamin/B-9001-2012</t>
  </si>
  <si>
    <t>Preston, Benjamin/0000-0002-7966-2386</t>
  </si>
  <si>
    <t>10.1016/S0166-445X(99)00012-0</t>
  </si>
  <si>
    <t>WOS:000083718700002</t>
  </si>
  <si>
    <t>Ringelberg, J</t>
  </si>
  <si>
    <t>The photobehaviour of Daphnia spp. as a model to explain diel vertical migration in zooplankton</t>
  </si>
  <si>
    <t>10.1017/S0006323199005381</t>
  </si>
  <si>
    <t>WOS:000083662400002</t>
  </si>
  <si>
    <t>Byström, P; García-Berthou, E</t>
  </si>
  <si>
    <t>Density dependent growth and size specific competitive interactions in young fish</t>
  </si>
  <si>
    <t>García-Berthou, Emili/A-5392-2008</t>
  </si>
  <si>
    <t>García-Berthou, Emili/0000-0001-8412-741X</t>
  </si>
  <si>
    <t>10.2307/3546440</t>
  </si>
  <si>
    <t>WOS:000082100200004</t>
  </si>
  <si>
    <t>Pfister, G; Sonntag, B; Posch, T</t>
  </si>
  <si>
    <t>Comparison of a direct live count and an improved quantitative protargol stain (QPS) in determining abundance and cell volumes of pelagic freshwater protozoa</t>
  </si>
  <si>
    <t>JUL 16</t>
  </si>
  <si>
    <t>10.3354/ame018095</t>
  </si>
  <si>
    <t>WOS:000081787900009</t>
  </si>
  <si>
    <t>Müller, H; Schlegel, A</t>
  </si>
  <si>
    <t>Responses of three freshwater planktonic ciliates with different feeding modes to cryptophyte and diatom prey</t>
  </si>
  <si>
    <t>APR 30</t>
  </si>
  <si>
    <t>10.3354/ame017049</t>
  </si>
  <si>
    <t>WOS:000080660500005</t>
  </si>
  <si>
    <t>Hillebrand, H; Dürselen, CD; Kirschtel, D; Pollingher, U; Zohary, T</t>
  </si>
  <si>
    <t>Biovolume calculation for pelagic and benthic microalgae</t>
  </si>
  <si>
    <t>10.1046/j.1529-8817.1999.3520403.x</t>
  </si>
  <si>
    <t>WOS:000080222900021</t>
  </si>
  <si>
    <t>DeVries, DR; Bremigan, MT; Stein, RA</t>
  </si>
  <si>
    <t>Prey selection by larval fishes as influenced by available zooplankton and gape limitation</t>
  </si>
  <si>
    <t>TRANSACTIONS OF THE AMERICAN FISHERIES SOCIETY</t>
  </si>
  <si>
    <t>0002-8487</t>
  </si>
  <si>
    <t>10.1577/1548-8659(1998)127&lt;1040:PSBLFA&gt;2.0.CO;2</t>
  </si>
  <si>
    <t>WOS:000078728600014</t>
  </si>
  <si>
    <t>Carrias, JF; Amblard, C; Bourdier, G</t>
  </si>
  <si>
    <t>Seasonal dynamics and vertical distribution of planktonic ciliates and their relationship to microbial food resources in the oligomesotrophic Lake Pavin</t>
  </si>
  <si>
    <t>WOS:000076817700006</t>
  </si>
  <si>
    <t>Frenette, JJ; Vincent, WF; Legendre, L</t>
  </si>
  <si>
    <t>Size-dependent C:N uptake by phytoplankton as a function of irradiance:: Ecological implications</t>
  </si>
  <si>
    <t>Vincent, Warwick F/C-9522-2009; Vincent, Warwick/AAH-6152-2019</t>
  </si>
  <si>
    <t>10.4319/lo.1998.43.6.1362</t>
  </si>
  <si>
    <t>WOS:000076791700029</t>
  </si>
  <si>
    <t>McCollum, EW; Crowder, LB; McCollum, SA</t>
  </si>
  <si>
    <t>Complex interactions of fish, snails, and littoral zone periphyton</t>
  </si>
  <si>
    <t>WOS:000075752700011</t>
  </si>
  <si>
    <t>Tittel, J; Zippel, B; Geller, W; Seeger, J</t>
  </si>
  <si>
    <t>Relationships between plankton community structure and plankton size distribution in lakes of northern Germany</t>
  </si>
  <si>
    <t>10.4319/lo.1998.43.6.1119</t>
  </si>
  <si>
    <t>WOS:000076791700008</t>
  </si>
  <si>
    <t>Raven, JA</t>
  </si>
  <si>
    <t>The twelfth Tansley Lecture. Small is beautiful: the picophytoplankton</t>
  </si>
  <si>
    <t>Raven, John/JFS-3447-2023</t>
  </si>
  <si>
    <t>10.1046/j.1365-2435.1998.00233.x</t>
  </si>
  <si>
    <t>WOS:000076276900001</t>
  </si>
  <si>
    <t>Twombly, S; Clancy, N; Burns, CW</t>
  </si>
  <si>
    <t>Life history consequences of food quality in the freshwater copepod Boeckella triarticulata</t>
  </si>
  <si>
    <t>WOS:000074853000021</t>
  </si>
  <si>
    <t>Panov, VE; McQueen, DJ</t>
  </si>
  <si>
    <t>Effects of temperature on individual growth rate and body size of a freshwater amphipod</t>
  </si>
  <si>
    <t>Panov, Vadim/0009-0003-0738-0800</t>
  </si>
  <si>
    <t>10.1139/cjz-76-6-1107</t>
  </si>
  <si>
    <t>WOS:000077327300013</t>
  </si>
  <si>
    <t>Blanco, JM; Quinones, RA; Guerrero, F; Rodriguez, J</t>
  </si>
  <si>
    <t>The use of biomass spectra and allometric relations to estimate respiration of planktonic communities</t>
  </si>
  <si>
    <t>Guerrero, Francisco/E-7704-2012</t>
  </si>
  <si>
    <t>Guerrero, Francisco/0000-0002-8983-3003; Rodriguez, Jaime/0000-0002-4143-883X</t>
  </si>
  <si>
    <t>10.1093/plankt/20.5.887</t>
  </si>
  <si>
    <t>WOS:000074194600006</t>
  </si>
  <si>
    <t>Naef, J</t>
  </si>
  <si>
    <t>Life in Lake Leman at the microscopical scale, typical biocenoses of the limnic environment.</t>
  </si>
  <si>
    <t>ARCHIVES DES SCIENCES</t>
  </si>
  <si>
    <t>0252-9289</t>
  </si>
  <si>
    <t>WOS:000077897500003</t>
  </si>
  <si>
    <t>Kawabata, K; Urabe, J</t>
  </si>
  <si>
    <t>Length-weight relationships of eight freshwater planktonic crustacean species in Japan</t>
  </si>
  <si>
    <t>Urabe, Jotaro/ABI-7692-2020</t>
  </si>
  <si>
    <t>Urabe, Jotaro/0000-0001-5111-687X</t>
  </si>
  <si>
    <t>10.1046/j.1365-2427.1998.00267.x</t>
  </si>
  <si>
    <t>WOS:000072885600001</t>
  </si>
  <si>
    <t>Gómez, N; Bauer, DE</t>
  </si>
  <si>
    <t>Phytoplankton from the Southern Coastal Fringe of the Rio de la Plata (Buenos Aires, Argentina)</t>
  </si>
  <si>
    <t>10.1023/A:1003133106904</t>
  </si>
  <si>
    <t>WOS:000078946700001</t>
  </si>
  <si>
    <t>Hanazato, T</t>
  </si>
  <si>
    <t>Response of a zooplankton community to insecticide application in experimental ponds: a review and the implications of the effects of chemicals on the structure and functioning of freshwater communities</t>
  </si>
  <si>
    <t>10.1016/S0269-7491(98)00053-0</t>
  </si>
  <si>
    <t>WOS:000076267900007</t>
  </si>
  <si>
    <t>Kobayashi, T; Shiel, RJ; Gibbs, P</t>
  </si>
  <si>
    <t>Size structure of river zooplankton: seasonal variation, overall pattern and functional aspect</t>
  </si>
  <si>
    <t>Kobayashi, Tsuyoshi/B-6282-2012</t>
  </si>
  <si>
    <t>Kobayashi, Tsuyoshi/0000-0002-3641-4120</t>
  </si>
  <si>
    <t>10.1071/MF97254</t>
  </si>
  <si>
    <t>WOS:000078710100012</t>
  </si>
  <si>
    <t>Melack, JM; Jellison, R</t>
  </si>
  <si>
    <t>Limnological conditions in Mono Lake: contrasting monomixis and meromixis in the 1990s</t>
  </si>
  <si>
    <t>Jellison, Robert/E-4923-2012</t>
  </si>
  <si>
    <t>10.1023/A:1003352511328</t>
  </si>
  <si>
    <t>WOS:000078947900004</t>
  </si>
  <si>
    <t>Ryan, SM; Dodson, SI</t>
  </si>
  <si>
    <t>Seasonal analysis of Daphnia pulicaria swimming behavior</t>
  </si>
  <si>
    <t>10.1023/A:1003295210747</t>
  </si>
  <si>
    <t>WOS:000078947900011</t>
  </si>
  <si>
    <t>Telesh, IV; Rahkola, M; Viljanen, M</t>
  </si>
  <si>
    <t>Carbon content of some freshwater rotifers</t>
  </si>
  <si>
    <t>VIIIth International Rotifer Symposium</t>
  </si>
  <si>
    <t>JUN 22, 1997</t>
  </si>
  <si>
    <t>ST JOHNS UNIV, COLLEGEVILLE, MN</t>
  </si>
  <si>
    <t>ST JOHNS UNIV</t>
  </si>
  <si>
    <t>Telesh, Irena V./N-4342-2016</t>
  </si>
  <si>
    <t>Telesh, Irena V./0000-0002-4167-3821; Skarlato, Sergei/0000-0001-7579-7227</t>
  </si>
  <si>
    <t>10.1023/A:1017092021816</t>
  </si>
  <si>
    <t>WOS:000080234300049</t>
  </si>
  <si>
    <t>Vacelet, E; Arnoux, A; Thomassin, BA; Travers, M</t>
  </si>
  <si>
    <t>Influence of freshwater and terrigenous material on nutrients, bacteria and phytoplankton in a high island lagoon: Mayotte, Comoro Archipelago, Indian Ocean</t>
  </si>
  <si>
    <t>10.1023/A:1003432829602</t>
  </si>
  <si>
    <t>WOS:000078946700016</t>
  </si>
  <si>
    <t>Hessen, DO; De Lange, HJ; Van Donk, E</t>
  </si>
  <si>
    <t>UV-induced changes in phytoplankton cells and its effects on grazers</t>
  </si>
  <si>
    <t>1st International-Plankton-Ecology-Group Workshop on the Role of Food Quality for Zooplankton</t>
  </si>
  <si>
    <t>MAR 17-21, 1996</t>
  </si>
  <si>
    <t>CTR LIMNOL, NIEUWERSLUIS, NETHERLANDS</t>
  </si>
  <si>
    <t>Int Plankton Ecol Grp</t>
  </si>
  <si>
    <t>CTR LIMNOL</t>
  </si>
  <si>
    <t>van Donk, Ellen/B-7272-2008; Hessen, Dag/F-4039-2011; Hessen, Dag Olav/AFI-5448-2022</t>
  </si>
  <si>
    <t>van Donk, Ellen/0000-0003-3279-4936; Hessen, Dag Olav/0000-0002-0154-7847</t>
  </si>
  <si>
    <t>10.1046/j.1365-2427.1997.00223.x</t>
  </si>
  <si>
    <t>WOS:000071561200006</t>
  </si>
  <si>
    <t>Stockwell, JD; Johannsson, OE</t>
  </si>
  <si>
    <t>Temperature-dependent allometric models to estimate zooplankton production in temperate freshwater lakes</t>
  </si>
  <si>
    <t>Stockwell, Jason/0000-0003-3393-6799</t>
  </si>
  <si>
    <t>10.1139/cjfas-54-10-2350</t>
  </si>
  <si>
    <t>WOS:000071517900012</t>
  </si>
  <si>
    <t>VandenBrink, PJ; Hartgers, EM; Fettweis, U; Crum, SJH; VanDonk, E; Brock, TCM</t>
  </si>
  <si>
    <t>Sensitivity of macrophyte-dominated freshwater microcosms to chronic levels of the herbicide linuron .1. Primary producers</t>
  </si>
  <si>
    <t>van Donk, Ellen/B-7272-2008; van den brink, Paul/AAT-7144-2020; van den Brink, Paul J/E-8315-2013</t>
  </si>
  <si>
    <t>van Donk, Ellen/0000-0003-3279-4936; van den brink, Paul/0000-0002-7241-4347;</t>
  </si>
  <si>
    <t>10.1006/eesa.1997.1555</t>
  </si>
  <si>
    <t>WOS:A1997YC68800003</t>
  </si>
  <si>
    <t>Hansen, PJ; Bjornsen, PK; Hansen, BW</t>
  </si>
  <si>
    <t>Zooplankton grazing and growth:: Scaling within the 2-2,000-μm body size range</t>
  </si>
  <si>
    <t>Hansen, Per Juel/AAX-6193-2020; Hansen, Benni/K-3299-2015; Hansen, Per Juel/E-9969-2011</t>
  </si>
  <si>
    <t>Hansen, Benni/0000-0003-1145-561X; Hansen, Per Juel/0000-0003-0228-9621</t>
  </si>
  <si>
    <t>10.4319/lo.1997.42.4.0687</t>
  </si>
  <si>
    <t>WOS:000071037700007</t>
  </si>
  <si>
    <t>Jack, JD; Gilbert, JJ</t>
  </si>
  <si>
    <t>Effects of metazoan predators on ciliates in freshwater plankton communities</t>
  </si>
  <si>
    <t>Symposium on Protistan Predation - Morphologic and Ecologic Implications for Predator and Prey, at the 48th Annual Meeting of the Society-of-Protozoologists</t>
  </si>
  <si>
    <t>JUL 27, 1995</t>
  </si>
  <si>
    <t>UNIV ALABAMA, TUSCALOOSA, AL</t>
  </si>
  <si>
    <t>Soc Protozoologists</t>
  </si>
  <si>
    <t>UNIV ALABAMA</t>
  </si>
  <si>
    <t>10.1111/j.1550-7408.1997.tb05699.x</t>
  </si>
  <si>
    <t>WOS:A1997XC31700004</t>
  </si>
  <si>
    <t>Weisse, T; Kirchhoff, B</t>
  </si>
  <si>
    <t>Feeding of the heterotrophic freshwater dinoflagellate Peridiniopsis berolinense on cryptophytes: Analysis by flow cytometry and electronic particle counting</t>
  </si>
  <si>
    <t>APR 10</t>
  </si>
  <si>
    <t>10.3354/ame012153</t>
  </si>
  <si>
    <t>WOS:A1997WV12000006</t>
  </si>
  <si>
    <t>Stirnadel, HA; Ebert, D</t>
  </si>
  <si>
    <t>Prevalence, host specificity and impact on host fecundity of microparasites and epibionts in three sympatric Daphnia species</t>
  </si>
  <si>
    <t>Ebert, Dieter/P-6134-2019; Ebert, Dieter/B-5502-2009</t>
  </si>
  <si>
    <t>Ebert, Dieter/0000-0003-2653-3772; Ebert, Dieter/0000-0003-2653-3772</t>
  </si>
  <si>
    <t>10.2307/6023</t>
  </si>
  <si>
    <t>WOS:A1997WQ19600007</t>
  </si>
  <si>
    <t>Raabe, TU; Brockmann, UH; Durselen, CD; Krause, M; Rick, HJ</t>
  </si>
  <si>
    <t>Nutrient and plankton dynamics during a spring drift experiment in the German Bight</t>
  </si>
  <si>
    <t>Rick, Johannes J./O-2575-2017</t>
  </si>
  <si>
    <t>Rick, Johannes J./0000-0002-7842-9347</t>
  </si>
  <si>
    <t>10.3354/meps156275</t>
  </si>
  <si>
    <t>WOS:A1997XZ98100026</t>
  </si>
  <si>
    <t>Kalchev, RK; Beshkova, MB; Boumbarova, CS; Tsvetkova, RL; Sais, D</t>
  </si>
  <si>
    <t>Some allometric and non-allometric relationships between chlorophyll-alpha and abundance variables of phytoplankton</t>
  </si>
  <si>
    <t>Beshkova, Mihaela Bogomilova/HHR-9128-2022</t>
  </si>
  <si>
    <t>Beshkova, Mihaela Bogomilova/0000-0001-8259-5260</t>
  </si>
  <si>
    <t>DEC 27</t>
  </si>
  <si>
    <t>10.1007/BF00014688</t>
  </si>
  <si>
    <t>WOS:A1996WT11300005</t>
  </si>
  <si>
    <t>Hairston, NG; Kearns, CM; Ellner, SP</t>
  </si>
  <si>
    <t>Phenotypic variation in a zooplankton egg bank</t>
  </si>
  <si>
    <t>10.2307/2265740</t>
  </si>
  <si>
    <t>WOS:A1996VY49700011</t>
  </si>
  <si>
    <t>McKee, D; Ebert, D</t>
  </si>
  <si>
    <t>The effect of temperature on maturation threshold body-length in Daphnia magna</t>
  </si>
  <si>
    <t>10.1007/BF00329035</t>
  </si>
  <si>
    <t>WOS:A1996VX11000006</t>
  </si>
  <si>
    <t>Twombly, S; Burns, CW</t>
  </si>
  <si>
    <t>Effects of food quality on individual growth and development in the freshwater copepod Boeckella triarticulata</t>
  </si>
  <si>
    <t>10.1093/plankt/18.11.2179</t>
  </si>
  <si>
    <t>WOS:A1996VX63700011</t>
  </si>
  <si>
    <t>Pernthaler, J; Sattler, B; Simek, K; Schwarzenbacher, A; Psenner, R</t>
  </si>
  <si>
    <t>Top-down effects on the size-biomass distribution of a freshwater bacterioplankton community</t>
  </si>
  <si>
    <t>Pernthaler, Jakob/A-2257-2008; Šimek, Karel/AAB-1956-2021; Simek, Karel/F-8930-2014</t>
  </si>
  <si>
    <t>Šimek, Karel/0000-0002-7058-9063; Pernthaler, Jakob/0000-0001-7558-909X</t>
  </si>
  <si>
    <t>JUN 27</t>
  </si>
  <si>
    <t>10.3354/ame010255</t>
  </si>
  <si>
    <t>WOS:A1996UV15800005</t>
  </si>
  <si>
    <t>Gilbert, JJ</t>
  </si>
  <si>
    <t>Effect of temperature on the response of planktonic rotifers to a toxic cyanobacterium</t>
  </si>
  <si>
    <t>10.2307/2265586</t>
  </si>
  <si>
    <t>WOS:A1996UN89400020</t>
  </si>
  <si>
    <t>Hart, RC</t>
  </si>
  <si>
    <t>Naupliar and copepodite growth and survival of two freshwater calanoids at various food levels: Demographic contrasts, similarities, and food needs</t>
  </si>
  <si>
    <t>10.4319/lo.1996.41.4.0648</t>
  </si>
  <si>
    <t>WOS:A1996VD30600006</t>
  </si>
  <si>
    <t>Cresko, WA; Baker, JA</t>
  </si>
  <si>
    <t>Two morphotypes of lacustrine threespine sticklehack, Gasterosteus aculeatus, in Benka Lake, Alaska</t>
  </si>
  <si>
    <t>Cresko, William/H-4010-2014</t>
  </si>
  <si>
    <t>Cresko, William/0000-0002-3496-8074</t>
  </si>
  <si>
    <t>10.1007/BF00002526</t>
  </si>
  <si>
    <t>WOS:A1996UA94200003</t>
  </si>
  <si>
    <t>Macek, M; Simek, K; Pernthaler, J; Vyhnalek, V; Psenner, R</t>
  </si>
  <si>
    <t>Growth rates of dominant planktonic ciliates in two freshwater bodies of different trophic degree</t>
  </si>
  <si>
    <t>Simek, Karel/F-8930-2014; Šimek, Karel/AAB-1956-2021; Pernthaler, Jakob/A-2257-2008; Macek, Miroslav/B-5428-2015</t>
  </si>
  <si>
    <t>Šimek, Karel/0000-0002-7058-9063; Macek, Miroslav/0000-0003-0600-3539; Pernthaler, Jakob/0000-0001-7558-909X</t>
  </si>
  <si>
    <t>10.1093/plankt/18.4.463</t>
  </si>
  <si>
    <t>WOS:A1996UF93600001</t>
  </si>
  <si>
    <t>MalinskyRushansky, NZ; Legrand, C</t>
  </si>
  <si>
    <t>Excretion of dissolved organic carbon by phytoplankton of different sizes and subsequent bacterial uptake</t>
  </si>
  <si>
    <t>Legrand, Catherine/0000-0001-7155-3604</t>
  </si>
  <si>
    <t>10.3354/meps132249</t>
  </si>
  <si>
    <t>WOS:A1996UD22300023</t>
  </si>
  <si>
    <t>DeMeester, L</t>
  </si>
  <si>
    <t>Local genetic differentiation and adaptation in freshwater zooplankton populations: Patterns and processes</t>
  </si>
  <si>
    <t>ECOSCIENCE</t>
  </si>
  <si>
    <t>De Meester, Luc/F-3832-2015</t>
  </si>
  <si>
    <t>De Meester, Luc/0000-0001-5433-6843</t>
  </si>
  <si>
    <t>1195-6860</t>
  </si>
  <si>
    <t>2376-7626</t>
  </si>
  <si>
    <t>10.1080/11956860.1996.11682356</t>
  </si>
  <si>
    <t>WOS:A1996WD61600003</t>
  </si>
  <si>
    <t>Fauconneau, B; Laroche, M</t>
  </si>
  <si>
    <t>Characteristics of the flesh and quality of products of catfishes</t>
  </si>
  <si>
    <t>AQUATIC LIVING RESOURCES</t>
  </si>
  <si>
    <t>International Workshop on the Biological Bases for Aquaculture of SILuriformes (BASIL)</t>
  </si>
  <si>
    <t>MAY 24-27, 1994</t>
  </si>
  <si>
    <t>MONTPELLIER, FRANCE</t>
  </si>
  <si>
    <t>GAMET,CEMAGREF,CIRAD,ORSTOM</t>
  </si>
  <si>
    <t>FAUCONNEAU, Benoit/0000-0003-3275-7182</t>
  </si>
  <si>
    <t>0990-7440</t>
  </si>
  <si>
    <t>10.1051/alr:1996051</t>
  </si>
  <si>
    <t>WOS:A1996XJ35500014</t>
  </si>
  <si>
    <t>Kobayashi, T; Gibbs, P; Dixon, PI; Shiel, RJ</t>
  </si>
  <si>
    <t>Grazing by a river zooplankton community: Importance of microzooplankton</t>
  </si>
  <si>
    <t>10.1071/MF9961025</t>
  </si>
  <si>
    <t>WOS:A1996VX33500009</t>
  </si>
  <si>
    <t>Lei, J; Payne, BS; Wang, SY</t>
  </si>
  <si>
    <t>Filtration dynamics of the zebra mussel, Dreissena polymorpha</t>
  </si>
  <si>
    <t>10.1139/cjfas-53-1-29</t>
  </si>
  <si>
    <t>WOS:A1996UB97900003</t>
  </si>
  <si>
    <t>Moore, MV; Folt, CL; Stemberger, RS</t>
  </si>
  <si>
    <t>Consequences of elevated temperatures for zooplankton assemblages in temperate lakes</t>
  </si>
  <si>
    <t>WOS:A1996TT86100001</t>
  </si>
  <si>
    <t>Wellborn, GA; Skelly, DK; Werner, EE</t>
  </si>
  <si>
    <t>Mechanisms creating community structure across a freshwater habitat gradient</t>
  </si>
  <si>
    <t>ANNUAL REVIEW OF ECOLOGY AND SYSTEMATICS</t>
  </si>
  <si>
    <t>Skelly, David K/D-3878-2013</t>
  </si>
  <si>
    <t>0066-4162</t>
  </si>
  <si>
    <t>10.1146/annurev.ecolsys.27.1.337</t>
  </si>
  <si>
    <t>WOS:A1996VW79800011</t>
  </si>
  <si>
    <t>FOSTER, SA; BAKER, JA</t>
  </si>
  <si>
    <t>EVOLUTIONARY INTERPLAY BETWEEN ECOLOGY, MORPHOLOGY AND REPRODUCTIVE-BEHAVIOR IN THREESPINE STICKLEBACK, GASTEROSTEUS-ACULEATUS</t>
  </si>
  <si>
    <t>10.1007/BF00005917</t>
  </si>
  <si>
    <t>WOS:A1995TA16700016</t>
  </si>
  <si>
    <t>HAIRSTON, NG; VANBRUNT, RA; KEARNS, CM; ENGSTROM, DR</t>
  </si>
  <si>
    <t>AGE AND SURVIVORSHIP OF DIAPAUSING EGGS IN A SEDIMENT EGG BANK</t>
  </si>
  <si>
    <t>Engstrom, Daniel/0000-0002-8066-029X</t>
  </si>
  <si>
    <t>10.2307/1940704</t>
  </si>
  <si>
    <t>WOS:A1995RQ24800002</t>
  </si>
  <si>
    <t>SANTER, B; LAMPERT, W</t>
  </si>
  <si>
    <t>SUMMER DIAPAUSE IN CYCLOPOID COPEPODS - ADAPTIVE RESPONSE TO A FOOD BOTTLENECK</t>
  </si>
  <si>
    <t>10.2307/5803</t>
  </si>
  <si>
    <t>WOS:A1995RY35100006</t>
  </si>
  <si>
    <t>KENT, RA; CURRIE, D</t>
  </si>
  <si>
    <t>PREDICTING ALGAL SENSITIVITY TO A PESTICIDE STRESS</t>
  </si>
  <si>
    <t>Currie, David J./0000-0002-4906-2363</t>
  </si>
  <si>
    <t>10.1002/etc.5620140609</t>
  </si>
  <si>
    <t>WOS:A1995QZ39700009</t>
  </si>
  <si>
    <t>WALZ, N</t>
  </si>
  <si>
    <t>ROTIFER POPULATIONS IN PLANKTON COMMUNITIES - ENERGETICS AND LIFE-HISTORY STRATEGIES</t>
  </si>
  <si>
    <t>EXPERIENTIA</t>
  </si>
  <si>
    <t>0014-4754</t>
  </si>
  <si>
    <t>10.1007/BF02143197</t>
  </si>
  <si>
    <t>WOS:A1995QZ37900003</t>
  </si>
  <si>
    <t>ANGER, K</t>
  </si>
  <si>
    <t>STARVATION RESISTANCE IN LARVAE OF A SEMITERRESTRIAL CRAB, SESARMA-CURACAOENSE (DECAPODA, GRAPSIDAE)</t>
  </si>
  <si>
    <t>APR 28</t>
  </si>
  <si>
    <t>10.1016/0022-0981(94)00178-G</t>
  </si>
  <si>
    <t>WOS:A1995QX14600002</t>
  </si>
  <si>
    <t>POULIN, R</t>
  </si>
  <si>
    <t>CLUTCH SIZE AND EGG SIZE IN FREE-LIVING AND PARASITIC COPEPODS - A COMPARATIVE-ANALYSIS</t>
  </si>
  <si>
    <t>Poulin, Robert/GQO-8936-2022; Poulin, Robert/C-3117-2008</t>
  </si>
  <si>
    <t>Poulin, Robert/0000-0003-1390-1206; Poulin, Robert/0000-0003-1390-1206</t>
  </si>
  <si>
    <t>10.2307/2410343</t>
  </si>
  <si>
    <t>WOS:A1995RR18600011</t>
  </si>
  <si>
    <t>DEB, D</t>
  </si>
  <si>
    <t>SCALE-DEPENDENCE OF FOOD-WEB STRUCTURES - TROPICAL PONDS AS PARADIGM</t>
  </si>
  <si>
    <t>10.2307/3546227</t>
  </si>
  <si>
    <t>WOS:A1995QN42500010</t>
  </si>
  <si>
    <t>KOIVISTO, S</t>
  </si>
  <si>
    <t>IS DAPHNIA-MAGNA AN ECOLOGICALLY REPRESENTATIVE ZOOPLANKTON SPECIES IN TOXICITY TESTS</t>
  </si>
  <si>
    <t>10.1016/0269-7491(95)00029-Q</t>
  </si>
  <si>
    <t>WOS:A1995RP93200016</t>
  </si>
  <si>
    <t>WEN, YH; PETERS, RH</t>
  </si>
  <si>
    <t>EMPIRICAL-MODELS OF PHOSPHORUS AND NITROGEN-EXCRETION RATES BY ZOOPLANKTON</t>
  </si>
  <si>
    <t>10.4319/lo.1994.39.7.1669</t>
  </si>
  <si>
    <t>WOS:A1994PZ96700015</t>
  </si>
  <si>
    <t>BARETTA, JW; RUARDIJ, P; VESTED, HJ; BARETTABEKKER, JG</t>
  </si>
  <si>
    <t>EUTROPHICATION MODELING OF THE NORTH-SEA - 2 DIFFERENT APPROACHES</t>
  </si>
  <si>
    <t>8th International Conference of the International-Society-for-Ecological-Modelling</t>
  </si>
  <si>
    <t>SEP 28-OCT 02, 1992</t>
  </si>
  <si>
    <t>UNIV KIEL, KIEL, GERMANY</t>
  </si>
  <si>
    <t>INT SOC ECOL MODELLING</t>
  </si>
  <si>
    <t>UNIV KIEL</t>
  </si>
  <si>
    <t>10.1016/0304-3800(94)90041-8</t>
  </si>
  <si>
    <t>WOS:A1994PH55600040</t>
  </si>
  <si>
    <t>JURGENS, K; GUDE, H</t>
  </si>
  <si>
    <t>THE POTENTIAL IMPORTANCE OF GRAZING-RESISTANT BACTERIA IN PLANKTONIC SYSTEMS</t>
  </si>
  <si>
    <t>Jurgens, Klaus/0000-0002-7999-9368</t>
  </si>
  <si>
    <t>10.3354/meps112169</t>
  </si>
  <si>
    <t>WOS:A1994PG73100016</t>
  </si>
  <si>
    <t>RUCKELSHAUS, MH; WISSMAR, RC; SIMENSTAD, CA</t>
  </si>
  <si>
    <t>THE IMPORTANCE OF AUTOTROPH DISTRIBUTION TO MUSSEL GROWTH IN A WELL-MIXED, TEMPERATE ESTUARY</t>
  </si>
  <si>
    <t>10.2307/1352448</t>
  </si>
  <si>
    <t>WOS:A1993MW14700021</t>
  </si>
  <si>
    <t>BYROM, AE; BURNS, CW; WALLIS, GP</t>
  </si>
  <si>
    <t>EXPERIMENTAL HYBRIDIZATION OF ALPINE AND LOWLAND FORMS OF BOECKELLA-DILATATA, A CALANOID COPEPOD</t>
  </si>
  <si>
    <t>HEREDITY</t>
  </si>
  <si>
    <t>Wallis, Graham Peter/E-5410-2011</t>
  </si>
  <si>
    <t>Wallis, Graham Peter/0000-0002-6408-7868</t>
  </si>
  <si>
    <t>0018-067X</t>
  </si>
  <si>
    <t>10.1038/hdy.1993.169</t>
  </si>
  <si>
    <t>WOS:A1993MG42300008</t>
  </si>
  <si>
    <t>LAMBERT, DL; TAYLOR, PN; GOULDER, R</t>
  </si>
  <si>
    <t>BETWEEN-SITE COMPARISON OF FRESH-WATER BACTERIOPLANKTON BY DNA HYBRIDIZATION</t>
  </si>
  <si>
    <t>WOS:A1993MP10300001</t>
  </si>
  <si>
    <t>POFF, NL; PALMER, MA; ANGERMEIER, PL; VADAS, RL; HAKENKAMP, CC; BELY, A; ARENSBURGER, P; MARTIN, AP</t>
  </si>
  <si>
    <t>SIZE STRUCTURE OF THE METAZOAN COMMUNITY IN A PIEDMONT STREAM</t>
  </si>
  <si>
    <t>10.1007/BF00323491</t>
  </si>
  <si>
    <t>WOS:A1993LV56400007</t>
  </si>
  <si>
    <t>OJALA, A</t>
  </si>
  <si>
    <t>EFFECTS OF TEMPERATURE AND IRRADIANCE ON THE GROWTH OF 2 FRESH-WATER PHOTOSYNTHETIC CRYPTOPHYTES</t>
  </si>
  <si>
    <t>10.1111/j.0022-3646.1993.00278.x</t>
  </si>
  <si>
    <t>WOS:A1993LJ87600003</t>
  </si>
  <si>
    <t>HART, RC; JARVIS, AC</t>
  </si>
  <si>
    <t>INSITU DETERMINATIONS OF BACTERIAL SELECTIVITY AND FILTRATION-RATES BY 5 CLADOCERAN ZOOPLANKTERS IN A HYPERTROPHIC SUBTROPICAL RESERVOIR</t>
  </si>
  <si>
    <t>10.1093/plankt/15.3.295</t>
  </si>
  <si>
    <t>WOS:A1993KP15500003</t>
  </si>
  <si>
    <t>BIRD, DF; KALFF, J</t>
  </si>
  <si>
    <t>PROTOZOAN GRAZING AND THE SIZE ACTIVITY STRUCTURE OF LIMNETIC BACTERIAL COMMUNITIES</t>
  </si>
  <si>
    <t>10.1139/f93-042</t>
  </si>
  <si>
    <t>WOS:A1993LK29600018</t>
  </si>
  <si>
    <t>HAVENS, KE; HANAZATO, T</t>
  </si>
  <si>
    <t>ZOOPLANKTON COMMUNITY RESPONSES TO CHEMICAL STRESSORS - A COMPARISON OF RESULTS FROM ACIDIFICATION AND PESTICIDE CONTAMINATION RESEARCH</t>
  </si>
  <si>
    <t>10.1016/0269-7491(93)90130-G</t>
  </si>
  <si>
    <t>WOS:A1993LW73700009</t>
  </si>
  <si>
    <t>MULLER, H; GELLER, W</t>
  </si>
  <si>
    <t>MAXIMUM GROWTH-RATES OF AQUATIC CILIATED PROTOZOA - THE DEPENDENCE ON BODY SIZE AND TEMPERATURE RECONSIDERED</t>
  </si>
  <si>
    <t>WOS:A1993KN29800004</t>
  </si>
  <si>
    <t>EFFECTS OF LIGHT AND TEMPERATURE ON THE CELL-SIZE AND SOME BIOCHEMICAL-COMPONENTS IN 2 FRESH-WATER CRYPTOPHYTES</t>
  </si>
  <si>
    <t>NORDIC JOURNAL OF BOTANY</t>
  </si>
  <si>
    <t>0107-055X</t>
  </si>
  <si>
    <t>10.1111/j.1756-1051.1993.tb00114.x</t>
  </si>
  <si>
    <t>WOS:A1993MU26300011</t>
  </si>
  <si>
    <t>CHOWFRASER, P; SPRULES, WG</t>
  </si>
  <si>
    <t>TYPE-3 FUNCTIONAL-RESPONSE IN LIMNETIC SUSPENSION-FEEDERS, AS DEMONSTRATED BY INSITU GRAZING RATES</t>
  </si>
  <si>
    <t>APR 24</t>
  </si>
  <si>
    <t>10.1007/BF00013703</t>
  </si>
  <si>
    <t>WOS:A1992JA10200001</t>
  </si>
  <si>
    <t>VAQUE, D; PACE, ML</t>
  </si>
  <si>
    <t>GRAZING ON BACTERIA BY FLAGELLATES AND CLADOCERANS IN LAKES OF CONTRASTING FOOD-WEB STRUCTURE</t>
  </si>
  <si>
    <t>Fuentes, José/JZT-9323-2024; Vaque, Dolors/H-6973-2018</t>
  </si>
  <si>
    <t>Vaque, Dolors/0000-0002-0420-5914; Pace, Michael/0000-0001-5945-6131</t>
  </si>
  <si>
    <t>10.1093/plankt/14.2.307</t>
  </si>
  <si>
    <t>WOS:A1992HD36600009</t>
  </si>
  <si>
    <t>FLINKMAN, J; VUORINEN, I; ARO, E</t>
  </si>
  <si>
    <t>PLANKTIVOROUS BALTIC HERRING (CLUPEA-HARENGUS) PREY SELECTIVELY ON REPRODUCING COPEPODS AND CLADOCERANS</t>
  </si>
  <si>
    <t>10.1139/f92-008</t>
  </si>
  <si>
    <t>WOS:A1992HC98500008</t>
  </si>
  <si>
    <t>LAMI, A; GUILIZZONI, P; RUGGIU, D; POLLI, B; SIMONA, M; BARBIERI, A</t>
  </si>
  <si>
    <t>ROLE OF PIGMENTS ON ALGAL COMMUNITIES AND PHOTOSYNTHESIS</t>
  </si>
  <si>
    <t>Lami, Andrea/M-3982-2019; Lami, Andrea/F-1415-2013</t>
  </si>
  <si>
    <t>Lami, Andrea/0000-0003-3627-0363; Lami, Andrea/0000-0003-3627-0363</t>
  </si>
  <si>
    <t>10.1007/BF00878144</t>
  </si>
  <si>
    <t>WOS:A1992KD90400010</t>
  </si>
  <si>
    <t>GIBBONS, WN; MACKIE, GL</t>
  </si>
  <si>
    <t>THE RELATIONSHIP BETWEEN ENVIRONMENTAL VARIABLES AND DEMOGRAPHIC PATTERNS OF HYALELLA-AZTECA (CRUSTACEA, AMPHIPODA)</t>
  </si>
  <si>
    <t>10.2307/1467669</t>
  </si>
  <si>
    <t>WOS:A1991GV33700008</t>
  </si>
  <si>
    <t>HAVENS, KE</t>
  </si>
  <si>
    <t>ZOOPLANKTON DYNAMICS IN A FRESH-WATER ESTUARY</t>
  </si>
  <si>
    <t>WOS:A1991GT18500005</t>
  </si>
  <si>
    <t>AGUSTI, S</t>
  </si>
  <si>
    <t>LIGHT ENVIRONMENT WITHIN DENSE ALGAL POPULATIONS - CELL-SIZE INFLUENCES ON SELF-SHADING</t>
  </si>
  <si>
    <t>Agusti, Susana/H-8421-2012; Agusti, Susana/G-2864-2017</t>
  </si>
  <si>
    <t>Agusti, Susana/0000-0003-0536-7293</t>
  </si>
  <si>
    <t>10.1093/plankt/13.4.863</t>
  </si>
  <si>
    <t>WOS:A1991FV24100013</t>
  </si>
  <si>
    <t>SHERR, EB; SHERR, BF; BERMAN, T; HADAS, O</t>
  </si>
  <si>
    <t>HIGH ABUNDANCE OF PICOPLANKTON-INGESTING CILIATES DURING LATE FALL IN LAKE KINNERET, ISRAEL</t>
  </si>
  <si>
    <t>10.1093/plankt/13.4.789</t>
  </si>
  <si>
    <t>WOS:A1991FV24100008</t>
  </si>
  <si>
    <t>MACISAAC, HJ; GILBERT, JJ</t>
  </si>
  <si>
    <t>DISCRIMINATION BETWEEN EXPLOITATIVE AND INTERFERENCE COMPETITION BETWEEN CLADOCERA AND KERATELLA-COCHLEARIS</t>
  </si>
  <si>
    <t>macisaac, hugh/AAE-3742-2020</t>
  </si>
  <si>
    <t>10.2307/1940594</t>
  </si>
  <si>
    <t>WOS:A1991FM08400016</t>
  </si>
  <si>
    <t>CHOWFRASER, P; MALY, EJ</t>
  </si>
  <si>
    <t>FACTORS GOVERNING CLUTCH SIZE IN 2 SPECIES OF DIAPTOMUS (COPEPODA, CALANOIDA)</t>
  </si>
  <si>
    <t>10.1139/f91-048</t>
  </si>
  <si>
    <t>WOS:A1991EZ78800003</t>
  </si>
  <si>
    <t>GIANI, A</t>
  </si>
  <si>
    <t>IMPLICATIONS OF PHYTOPLANKTON CHEMICAL-COMPOSITION FOR ZOOPLANKTON PRODUCTION - EXPERIMENTAL-EVIDENCE</t>
  </si>
  <si>
    <t>Giani, Alessandra/H-9764-2012; Giani, Alessandra/HSD-4531-2023</t>
  </si>
  <si>
    <t>Giani, Alessandra/0000-0002-2524-8534; Giani, Alessandra/0000-0002-2524-8534</t>
  </si>
  <si>
    <t>10.1007/BF00634599</t>
  </si>
  <si>
    <t>WOS:A1991GA27000016</t>
  </si>
  <si>
    <t>KENT, RA; WEINBERGER, P</t>
  </si>
  <si>
    <t>MULTIBIOLOGICAL-LEVEL RESPONSES OF FRESH-WATER PHYTOPLANKTON TO PESTICIDE STRESS</t>
  </si>
  <si>
    <t>10.1002/etc.5620100209</t>
  </si>
  <si>
    <t>WOS:A1991EY87000009</t>
  </si>
  <si>
    <t>RASOANARIVO, R; FOLACK, J; CHAMPALBERT, G; BECKER, B</t>
  </si>
  <si>
    <t>RELATION BETWEEN PHYTOPLANKTON COMMUNITIES AND FEEDING-BEHAVIOR OF SARDINA-PILCHARDUS WALB. LARVAE IN THE GULF OF FOS (WESTERN MEDITERRANEAN) - EFFECT OF LIGHT ON FEEDING-BEHAVIOR OF LARVAE</t>
  </si>
  <si>
    <t>10.1016/0022-0981(91)90017-Q</t>
  </si>
  <si>
    <t>WOS:A1991GG85800007</t>
  </si>
  <si>
    <t>WHITE, PA; KALFF, J; RASMUSSEN, JB; GASOL, JM</t>
  </si>
  <si>
    <t>THE EFFECT OF TEMPERATURE AND ALGAL BIOMASS ON BACTERIAL PRODUCTION AND SPECIFIC GROWTH-RATE IN FRESH-WATER AND MARINE HABITATS</t>
  </si>
  <si>
    <t>10.1007/BF02539147</t>
  </si>
  <si>
    <t>WOS:A1991FN75600002</t>
  </si>
  <si>
    <t>HART, RC</t>
  </si>
  <si>
    <t>COPEPOD POSTEMBRYONIC DURATIONS - PATTERN, CONFORMITY, AND PREDICTABILITY - THE REALITIES OF ISOCHRONAL AND EQUIPROPORTIONAL DEVELOPMENT, AND TRENDS IN THE COPEPODID-NAUPLIAR DURATION RATIO</t>
  </si>
  <si>
    <t>OCT 29</t>
  </si>
  <si>
    <t>10.1007/BF00014085</t>
  </si>
  <si>
    <t>WOS:A1990EW45600001</t>
  </si>
  <si>
    <t>NAGATA, T; WATANABE, Y</t>
  </si>
  <si>
    <t>CARBON-TO-VOLUME AND NITROGEN-TO-VOLUME RATIOS OF BACTERIOPLANKTON GROWN UNDER DIFFERENT NUTRITIONAL CONDITIONS</t>
  </si>
  <si>
    <t>10.1128/AEM.56.5.1303-1309.1990</t>
  </si>
  <si>
    <t>WOS:A1990DB55400016</t>
  </si>
  <si>
    <t>MORIN, A; BACK, C; CHALIFOUR, A; BOISVERT, J; PETERS, RH</t>
  </si>
  <si>
    <t>EMPIRICAL-MODELS PREDICTING INGESTION RATES OF BLACK FLY LARVAE</t>
  </si>
  <si>
    <t>Morin, Antoine/J-9583-2013</t>
  </si>
  <si>
    <t>Morin, Antoine/0000-0003-0043-2391</t>
  </si>
  <si>
    <t>10.1139/f88-203</t>
  </si>
  <si>
    <t>WOS:A1988Q469800006</t>
  </si>
  <si>
    <t>PINELALLOUL, B; DOWNING, JA; PERUSSE, M; CODINBLUMER, G</t>
  </si>
  <si>
    <t>SPATIAL HETEROGENEITY IN FRESH-WATER ZOOPLANKTON - VARIATION WITH BODY SIZE, DEPTH, AND SCALE</t>
  </si>
  <si>
    <t>Pinel-Alloul, Bernadette/U-9107-2019; Downing, James R./N-8102-2018</t>
  </si>
  <si>
    <t>Pinel-Alloul, Bernadette/0000-0002-1070-2968; Downing, John/0000-0001-8547-0789</t>
  </si>
  <si>
    <t>10.2307/1941636</t>
  </si>
  <si>
    <t>WOS:A1988Q291900009</t>
  </si>
  <si>
    <t>BJORNSEN, PK</t>
  </si>
  <si>
    <t>AUTOMATIC-DETERMINATION OF BACTERIOPLANKTON BIOMASS BY IMAGE-ANALYSIS</t>
  </si>
  <si>
    <t>WOS:A1986C593100008</t>
  </si>
  <si>
    <t>JONSSON, B; GRAVEM, FR</t>
  </si>
  <si>
    <t>USE OF SPACE AND FOOD BY RESIDENT AND MIGRANT BROWN TROUT, SALMO-TRUTTA</t>
  </si>
  <si>
    <t>10.1007/BF00002633</t>
  </si>
  <si>
    <t>WOS:A1985AWL7500007</t>
  </si>
  <si>
    <t>ROCHA, O; DUNCAN, A</t>
  </si>
  <si>
    <t>THE RELATIONSHIP BETWEEN CELL CARBON AND CELL-VOLUME IN FRESH-WATER ALGAL SPECIES USED IN ZOOPLANKTONIC STUDIES</t>
  </si>
  <si>
    <t>10.1093/plankt/7.2.279</t>
  </si>
  <si>
    <t>WOS:A1985AFD3900010</t>
  </si>
  <si>
    <t>PRIDDLE, J; HAPPEYWOOD, CM</t>
  </si>
  <si>
    <t>SIGNIFICANCE OF SMALL SPECIES OF CHLOROPHYTA IN FRESH-WATER PHYTOPLANKTON COMMUNITIES WITH SPECIAL REFERENCE TO 5 WELSH LAKES</t>
  </si>
  <si>
    <t>10.2307/2259593</t>
  </si>
  <si>
    <t>WOS:A1983RR52200010</t>
  </si>
  <si>
    <t>SMITH, REH; KALFF, J</t>
  </si>
  <si>
    <t>COMPETITION FOR PHOSPHORUS AMONG CO-OCCURRING FRESH-WATER PHYTOPLANKTON</t>
  </si>
  <si>
    <t>10.4319/lo.1983.28.3.0448</t>
  </si>
  <si>
    <t>WOS:A1983QT11200004</t>
  </si>
  <si>
    <t>SIZE-DEPENDENT PHOSPHORUS UPTAKE KINETICS AND CELL QUOTA IN PHYTOPLANKTON</t>
  </si>
  <si>
    <t>WOS:A1982PJ07400014</t>
  </si>
  <si>
    <t>MURTAUGH, PA</t>
  </si>
  <si>
    <t>SIZE-SELECTIVE PREDATION ON DAPHNIA BY NEOMYSIS-MERCEDIS</t>
  </si>
  <si>
    <t>10.2307/1936986</t>
  </si>
  <si>
    <t>WOS:A1981MD82400003</t>
  </si>
  <si>
    <t>BORGMANN, U</t>
  </si>
  <si>
    <t>EFFECT OF TEMPERATURE AND BODY SIZE ON ELECTRON-TRANSPORT SYSTEM ACTIVITY IN FRESHWATER ZOOPLANKTON</t>
  </si>
  <si>
    <t>10.1139/z78-091</t>
  </si>
  <si>
    <t>WOS:A1978EX20600017</t>
  </si>
  <si>
    <t>Karpowicz, Maciej/GQH-3334-2022</t>
  </si>
  <si>
    <t>Karpowicz, Maciej/0000-0003-0711-5903; Irina, Feniova/0000-0002-8623-3491</t>
  </si>
  <si>
    <t>Thomas, Mridul/HZL-6270-2023; Klausmeier, Christopher A/J-9339-2012</t>
  </si>
  <si>
    <t>Huszar, Vera L M/0000-0002-8096-1404; Kruk, Carla/0000-0003-0760-1186; Bonilla, Sylvia/0000-0002-1772-9899; Peeters, Edwin T.H.M./0000-0003-2541-1829</t>
  </si>
  <si>
    <t>Barton, Andrew/0000-0002-6480-4433; Ward, Ben/0000-0003-1290-8270</t>
  </si>
  <si>
    <t>Stenger-Kovács, Csilla/0000-0001-6175-4904; Lengyel, Edina/0000-0003-3936-4154; jassam, tiba/0000-0002-8711-3088</t>
  </si>
  <si>
    <t>Wander, Heather/0000-0002-3762-6045</t>
  </si>
  <si>
    <t>MAY 31</t>
  </si>
  <si>
    <t>Grimm, C; Lehmann, K; Clemmesen, C; Brendelberger, H</t>
  </si>
  <si>
    <t>Grimm, Claudia; Lehmann, Kai; Clemmesen, Catriona; Brendelberger, Heinz</t>
  </si>
  <si>
    <t>RNA/DNA ratio is an early responding, accurate performance parameter in growth experiments of noble crayfish Astacus astacus (L.)</t>
  </si>
  <si>
    <t>AQUACULTURE RESEARCH</t>
  </si>
  <si>
    <t>Clemmesen, Catriona/B-1480-2014</t>
  </si>
  <si>
    <t>Clemmesen, Catriona/0000-0003-4102-7341</t>
  </si>
  <si>
    <t>1355-557X</t>
  </si>
  <si>
    <t>1365-2109</t>
  </si>
  <si>
    <t>10.1111/are.12348</t>
  </si>
  <si>
    <t>WOS:000357820100014</t>
  </si>
  <si>
    <t>; Hall, Matthew/A-2006-2009</t>
  </si>
  <si>
    <t>Drapes, Sally/0000-0002-9766-3825; Hall, Matthew/0000-0002-4738-203X</t>
  </si>
  <si>
    <t>Beardall, John/0000-0001-7684-446X; Lines, Thomas/0000-0002-6802-7694; Orr, Philip/0000-0003-1620-2531</t>
  </si>
  <si>
    <t>Cristescu, Melania Elena/0000-0002-0854-4040; Derry, Alison/0000-0001-5768-8027; Astorg, Louis/0000-0002-3256-7787</t>
  </si>
  <si>
    <t>Beisner, Beatrix/0000-0001-6972-6887; Gregory-Eaves, Irene/0000-0002-0380-5061; Paquette, Cindy/0000-0002-2909-2485</t>
  </si>
  <si>
    <t>wang, yaqi/HOH-8096-2023; Bai, Junhong/V-1993-2019</t>
  </si>
  <si>
    <t>Sáez-Royuela, M; Carral, JM; Celada, JD; Pérez, JR; González, A</t>
  </si>
  <si>
    <t>Saez-Royuela, M.; Carral, J. M.; Celada, J. D.; Perez, J. R.; Gonzalez, A.</t>
  </si>
  <si>
    <t>Live feed as supplement from the onset of external feeding of juvenile signal crayfish (Pacifastacus leniusculus Dana. Astacidae) under controlled conditions</t>
  </si>
  <si>
    <t>Carral, José M/H-6988-2015; Saez-Royuela, Maria/S-2925-2016</t>
  </si>
  <si>
    <t>SEP 14</t>
  </si>
  <si>
    <t>10.1016/j.aquaculture.2007.04.053</t>
  </si>
  <si>
    <t>WOS:000249143600032</t>
  </si>
  <si>
    <t>Sibly, Richard/0000-0001-6828-3543; Grady, John/0000-0001-6444-3300</t>
  </si>
  <si>
    <t>Bron, James E/B-6231-2018; Frisch, Dagmar/F-6363-2012; Frisch, Dagmar/AAE-9499-2019</t>
  </si>
  <si>
    <t>Bron, James E/0000-0003-3544-0519; Frisch, Dagmar/0000-0001-9310-2230; Goetze, Erica/0000-0002-7273-4359</t>
  </si>
  <si>
    <t>Young, Joelle/0000-0002-9833-9437</t>
  </si>
  <si>
    <t>Hu, Ligang/A-6991-2008; Liang, Yong/AAB-3942-2021</t>
  </si>
  <si>
    <t>Hu, Ligang/0000-0002-6213-4720;</t>
  </si>
  <si>
    <t>Jeppesen, Erik/O-2667-2019; Zuo, Jun/M-8772-2018; Yang, Jun/E-6680-2011; MAMUN, ABDULLAH AL/K-5256-2017</t>
  </si>
  <si>
    <t>Jeppesen, Erik/0000-0002-0542-369X; Zuo, Jun/0000-0003-4788-9559; Yang, Jun/0000-0002-7920-2777; Grossart, Hans-Peter/0000-0002-9141-0325; MAMUN, ABDULLAH AL/0000-0002-0944-3444</t>
  </si>
  <si>
    <t>Martin-Creuzburg, Dominik/0000-0002-4248-0730; Laine, Miikka Benjami/0000-0002-0465-9318; Taipale, Sami/0000-0001-7510-7337; Litmanen, Jaakko/0000-0003-2828-3885</t>
  </si>
  <si>
    <t>Stewart, Rebecca/0000-0001-8720-8805; Tesson, Sylvie/0000-0002-0751-6953</t>
  </si>
  <si>
    <t>Aury, Jean-Marc/0000-0003-1718-3010; wawrzyniak, ivan/0000-0002-5362-6117; Bronner, Gisele/0000-0002-4863-4518; Courtine, Damien/0000-0002-9162-0111; DA SILVA, Corinne/0000-0002-7618-7831; Monjot, Arthur/0000-0002-6978-4785</t>
  </si>
  <si>
    <t>wang, rong/KFQ-7187-2024; yang, zhou/KBB-6972-2024; yan, su/KHT-1728-2024; liu, zhen/KFS-0275-2024; JIANG, Peng/KGL-3427-2024; Liu, Zhen/KFS-2748-2024; Huang, Yuan/JFS-2278-2023; Yang, Zhou/H-3407-2011</t>
  </si>
  <si>
    <t>Huang, Qinghui/E-5157-2011; Zhang, Shaohua/HTQ-5246-2023</t>
  </si>
  <si>
    <t>Huang, Qinghui/0000-0001-5770-6694;</t>
  </si>
  <si>
    <t>Yang, Tingting/M-1550-2017; yang, zhou/JKI-3744-2023; Yang, Zhou/H-3407-2011</t>
  </si>
  <si>
    <t>Prearo, Marino/0000-0002-2847-6006; Santovito, Alfredo/0000-0001-5292-5206; Nota, Alessandro/0000-0003-3383-9809</t>
  </si>
  <si>
    <t>Smodlaka Tanković, Mirta/0000-0003-3964-9782; Vlasicek, Ivan/0009-0002-5259-4392; Baricevic, Ana/0000-0002-7082-1977; Kogovsek, Tjasa/0000-0002-0887-4701; Knjaz, Mia/0009-0007-7379-8008</t>
  </si>
  <si>
    <t>Weigel, Benjamin/P-9111-2019; Ovaskainen, Otso/D-9119-2012; Santangeli, Andrea/HJJ-1458-2023; Ovaskainen, Otso/AGN-4838-2022; Saastamoinen, Marjo/F-6576-2012; Antao, Laura/GPX-7616-2022; Roslin, Tomas/E-8648-2016</t>
  </si>
  <si>
    <t>Weigel, Benjamin/0000-0003-2302-5529; Ovaskainen, Otso/0000-0001-9750-4421; Santangeli, Andrea/0000-0003-0273-1977; Ovaskainen, Otso/0000-0001-9750-4421; Lehikoinen, Aleksi/0000-0002-1989-277X; Salemaa, Maija/0000-0002-4436-6413; Kaarlejarvi, Elina/0000-0003-0014-0073; Hallfors, Maria H/0000-0002-6890-8942; Saastamoinen, Marjo/0000-0001-7009-2527; Antao, Laura/0000-0001-6612-9366; Roslin, Tomas/0000-0002-2957-4791; Merila, Paivi/0000-0002-1315-6130</t>
  </si>
  <si>
    <t>Stefanidis, Kostas/H-7262-2019; OIKONOMOU, ANTHI/AFZ-1572-2022</t>
  </si>
  <si>
    <t>Stefanidis, Kostas/0000-0002-9121-3188; Papastergiadou, Eva/0000-0003-4430-878X; Oikonomou, Anthi/0000-0003-2537-8846</t>
  </si>
  <si>
    <t>Körmöczi, László/E-1725-2011; Magura, Tibor/I-4383-2019; Kovács, Balázs/KHW-1690-2024; Kovács, Balázs/K-9372-2015</t>
  </si>
  <si>
    <t>Magura, Tibor/0000-0002-9130-6122; Kovács, Balázs/0000-0003-1753-5098;</t>
  </si>
  <si>
    <t>Çağan, Ali Serhan/HPF-3947-2023; koraltan, idris/GQQ-0360-2022; ÇIRAK, Tamer/J-1643-2013</t>
  </si>
  <si>
    <t>Çetin, Tolga/HLP-9596-2023; Çelekli, Abuzer/P-9845-2015; LEKESIZ, Omer/AAK-4391-2021</t>
  </si>
  <si>
    <t>Çetin, Tolga/0000-0002-7817-3222; Çelekli, Abuzer/0000-0002-2448-4957; LEKESIZ, Omer/0000-0003-2982-0136</t>
  </si>
  <si>
    <t>Zhou, Qi/JTT-3417-2023; Zhang, Qing/IZQ-5273-2023</t>
  </si>
  <si>
    <t>Yusoff, Fatimah M/N-7065-2018; Razak, Muhammad Raznisyafiq/X-3978-2019; Yusof, Zetty Norhana Balia/R-4136-2017</t>
  </si>
  <si>
    <t>Razak, Muhammad Raznisyafiq/0000-0001-7358-050X;</t>
  </si>
  <si>
    <t>Arrieira, Rodrigo Leite/IXN-8592-2023; Simões, Nadson/AAA-6733-2022; Junior, Cláudio/AAI-2628-2019; Velho, Luiz Felipe Machado/I-9130-2016; Eskinazi-Sant'Anna, Eneida/V-6648-2017; Simões, Nadson Ressyé/J-9701-2012; Diniz, Leidiane Pereira/AAX-5592-2021; Ghidini, André Ricardo/HJZ-5276-2023; Lansac-Toha, Fernando/E-8817-2018; de Oliveira, Felipe Rafael/B-1459-2017</t>
  </si>
  <si>
    <t>Arrieira, Rodrigo Leite/0000-0002-8960-5502; Junior, Cláudio/0000-0003-0439-7626; Velho, Luiz Felipe Machado/0000-0001-8111-4955; Eskinazi-Sant'Anna, Eneida/0000-0001-6409-7129; Simões, Nadson Ressyé/0000-0002-4577-9033; Diniz, Leidiane Pereira/0000-0002-7516-6879; Ghidini, André Ricardo/0000-0002-3983-1894; Lansac-Toha, Fernando/0000-0002-2010-7214; Fonseca da Silva, Joao Vitor/0000-0002-1742-995X; Castilho Noll, Maria Stela Maioli/0000-0002-1839-0751; Guilherme Dos Santos, Natan/0000-0003-4871-876X; Ferreira, Natalia/0000-0003-4332-7786; Turcato de Souza, Maria Eduarda/0000-0002-6699-6336; Jardim Chiarelli, Laura/0000-0002-1170-1932; de Oliveira, Felipe Rafael/0000-0002-7787-1440; S. da Silva, Alan C./0000-0003-1587-6040</t>
  </si>
  <si>
    <t>Ayata, Sakina-Dorothée/P-3868-2019; Madoui, Mohammed-Amin/AAF-3374-2021; Maps, Frederic/L-4546-2013; Madoui, Mohammed-Amin/GYD-9411-2022</t>
  </si>
  <si>
    <t>Ayata, Sakina-Dorothée/0000-0003-3226-9779; Maps, Frederic/0000-0001-7115-2464; Madoui, Mohammed-Amin/0000-0003-4809-2971; Vilgrain, Laure/0000-0002-9836-5328; Basedow, Sunnje Linnea/0000-0001-6000-6090</t>
  </si>
  <si>
    <t>Smith, Lucy/0000-0002-5734-4344; Belvin, Abigail/0000-0001-9405-2802; Pennino, Amanda/0000-0003-0561-2463; Walker, Richard/0000-0001-9167-5326; Mouser, Joshua/0000-0001-7579-3373; Robinson, Christopher/0000-0002-1874-4660; Plont, Stephen/0000-0001-8477-3622; Zipper, Carl E./0000-0003-2138-4165</t>
  </si>
  <si>
    <t>Brendonck, Luc/0000-0001-5383-1420; Ramaekers, Lana/0000-0003-2640-3409</t>
  </si>
  <si>
    <t>Miranda, Viviane Miranda BS/0000-0002-5571-8293; Castelo Branco, Christina W/0000-0002-0509-171X; FINTELMAN DE OLIVEIRA, EWERTON/0000-0002-2284-3346</t>
  </si>
  <si>
    <t>McIntosh, Angus/B-2992-2011</t>
  </si>
  <si>
    <t>McIntosh, Angus/0000-0003-2696-8813; Brown, Saskia/0009-0002-9602-7672; Earl, Brittany/0000-0003-2594-5572</t>
  </si>
  <si>
    <t>Pinto Torres, Marco Antonio/0000-0002-5942-206X; Moreno-Meynard, Paulo/0000-0003-0289-8187; pizarro, gemita/0000-0003-2974-2609; frangopulos, maximo/0000-0002-6857-273X; Hawkings, Jon/0000-0003-4813-8474; Reid, Brian/0000-0002-4274-3350; Diaz-Rosas, Francisco/0000-0003-1611-4232; Torres, Rodrigo/0000-0003-0416-4291</t>
  </si>
  <si>
    <t>Lenoch, Leah/0000-0003-4613-0858; Young, Matthew/0000-0001-9306-6866; Smits, Adrianne/0000-0001-9967-5419</t>
  </si>
  <si>
    <t>zhao, ying/ISA-2502-2023; liu, xq/JDW-2596-2023; Zhao, Ying/HTO-4462-2023</t>
  </si>
  <si>
    <t>Marin, Valentin/JEF-8783-2023; Arranz, Ignasi/L-2280-2017; Grenouillet, Gael/E-6518-2019</t>
  </si>
  <si>
    <t>Weigel, Benjamin/P-9111-2019; Ovaskainen, Otso/D-9119-2012; Ovaskainen, Otso/AGN-4838-2022</t>
  </si>
  <si>
    <t>Salazar, Anthony/JDN-2619-2023; Santana, Lucineide Maria/D-3588-2015; Becker, Vanessa/G-6189-2015; Cremella, Bruno/T-5497-2018; Rodrigues, Luzia C/B-7856-2017; Silva, Lúcia Sampaio/A-7404-2016; Ferragut, Carla/B-9875-2012</t>
  </si>
  <si>
    <t>Santana, Lucineide Maria/0000-0002-3809-1564; Becker, Vanessa/0000-0002-7326-4328; Cremella, Bruno/0000-0001-7010-6386; Silva, Lúcia Sampaio/0000-0002-9533-3603; Ferragut, Carla/0000-0002-4313-1436; Palacio Betancur, Hilda Maria/0000-0002-2892-7962; Aguilera, Anabella/0000-0001-6743-3001; Ortega Corredor, Laura Andrea/0000-0002-8031-8865; Salazar Torres, Gian Anthony/0000-0002-9277-1499; Bonilla, Sylvia/0000-0002-1772-9899</t>
  </si>
  <si>
    <t>Dahal, Nikesh/0000-0002-8673-8043; Glyshaw, Paul/0000-0003-1962-2021</t>
  </si>
  <si>
    <t>Vilar, Alejandra Goldenberg/ABF-9323-2020; Peñas, Francisco/O-5188-2019; Barquín Ortiz, José/N-5010-2014; Pompeu, Cássia Rocha/M-1381-2018; Alvarez-Cabria, Mario/I-1831-2015</t>
  </si>
  <si>
    <t>Vilar, Alejandra Goldenberg/0000-0002-6898-3555; Peñas, Francisco/0000-0001-9592-5425; Barquín Ortiz, José/0000-0003-1897-2636; Pompeu, Cássia Rocha/0000-0002-7518-4145; Alvarez-Cabria, Mario/0000-0003-2709-5030</t>
  </si>
  <si>
    <t>feng, sen/0000-0003-0593-4796; Li, Meng/0000-0002-5989-4470; zhang, yong zhi/0000-0002-8799-2027; Xiang, Xian-Ling/0000-0002-1378-5877; Gao, Fan/0009-0004-8988-5593</t>
  </si>
  <si>
    <t>Hugo, Sanet/0000-0001-8636-3985; Weyl, Olaf/0000-0002-8935-3296; Zvavahera, Munetsi/0000-0002-5337-1943; Vine, Niall/0000-0003-1649-6242</t>
  </si>
  <si>
    <t>Beecraft, Laura/0000-0001-5668-6687; , Tiffany L. Chin/0009-0007-6266-5322</t>
  </si>
  <si>
    <t>Moreira, David/0000-0002-2064-5354; Iniesto, Miguel/0000-0001-9404-0844; Lopez-Garcia, Purificacion/0000-0002-0927-0651; Reboul, Guillaume/0000-0002-6424-5176</t>
  </si>
  <si>
    <t>Boersma, Maarten/A-5475-2013; Di Pane, Julien/GWV-1895-2022; Meunier, Cedric L/K-2792-2015; Di Pane, Julien/AAT-1291-2020</t>
  </si>
  <si>
    <t>Lewis, Abby/GLT-1176-2022; Woelmer, Whitney/JVO-2007-2024</t>
  </si>
  <si>
    <t>Pick, Frances/P-2473-2017; Leboulanger, Christophe/W-9859-2018</t>
  </si>
  <si>
    <t>Smit, Nico J/0000-0001-7950-193X; Kock, Anrich/0000-0002-2408-6932; Taylor, Jonathan Charles/0000-0003-2717-3246</t>
  </si>
  <si>
    <t>zhang, min/IYI-9869-2023; Zhu, chenxi/GPG-3501-2022; zhang, meng/JMB-0951-2023</t>
  </si>
  <si>
    <t>Jones, Natalie/0000-0001-5114-7123; Shurin, Jonathan/0000-0001-7870-1972; Symons, Celia C./0000-0003-4120-0327; Li, Stephanie/0000-0003-3482-5775; Baker, Henry/0000-0002-0166-5085</t>
  </si>
  <si>
    <t>Deutzmann, Joerg Stefan/O-7946-2017; Franco-Cisterna, Belén/ISA-1305-2023; Bonaglia, Stefano/H-3733-2019; Schramm, Andreas/AAE-1616-2022; de Beer, Dirk/L-4840-2013; Schramm, Andreas/J-2655-2013; Garcia-Robledo, Emilio/B-3781-2017; Lund, Marie Braad/E-4136-2012; John, Uwe/S-3009-2016; Stief, Peter/C-1090-2017</t>
  </si>
  <si>
    <t>Deutzmann, Joerg Stefan/0000-0002-1337-4103; Franco-Cisterna, Belén/0000-0002-9114-2818; Bonaglia, Stefano/0000-0003-4366-0677; Schramm, Andreas/0000-0002-7614-9616; Garcia-Robledo, Emilio/0000-0002-4337-6433; Santl-Temkiv, Tina/0000-0002-3446-5813; Lund, Marie Braad/0000-0003-1543-1009; Magee, Michael J./0009-0009-8750-815X; John, Uwe/0000-0002-1297-4086; Kamp, Anja/0000-0002-5987-7611; Attard, Karl/0000-0002-8009-5462; Glud, Ronnie N./0000-0002-7069-893X; Stief, Peter/0000-0002-6355-150X</t>
  </si>
  <si>
    <t>Zhang, Yan/0000-0001-9914-1302; Ni, Jiajia/0000-0002-8875-4899</t>
  </si>
  <si>
    <t>Van den Wyngaert, Silke/JRY-5942-2023; Ganzert, Lars/AAT-1992-2021; Padisak, Judit/B-4514-2008</t>
  </si>
  <si>
    <t>Van den Wyngaert, Silke/0000-0001-9163-4858; Ganzert, Lars/0000-0001-9595-1041; Rojas-Jimenez, Keilor/0000-0003-4261-0010; Seto, Kensuke/0000-0003-0606-0736; Agha, Ramsy/0000-0002-6109-4624; Padisak, Judit/0000-0001-8285-2896; Woodhouse, Jason/0000-0003-1129-5396; Berger, Stella A./0000-0002-8835-545X</t>
  </si>
  <si>
    <t>de Meo, Ilaria/0000-0003-1433-2017; Kahilainen, Kimmo/0000-0002-1539-014X; Hayden, Brian/0000-0002-8524-7373</t>
  </si>
  <si>
    <t>wang, ying/GQY-5077-2022; Wang, Ying/HJI-2509-2023; wang, yingying/GRS-3058-2022; yu, zhang/JWO-7724-2024; wang, yan/JBJ-7462-2023; Wang, Yining/JQW-2010-2023; wang, yan/GSE-6489-2022; Zhang, Lanyue/JNS-8209-2023; CHEN, MINGWEI/KHT-6744-2024; wang, yingying/JCE-4984-2023; Wang, Yiping/IZQ-2052-2023; wang, yu/IUQ-6654-2023; Zhang, xiaohui/KEE-5747-2024; DAI, Jinjia/KCL-5110-2024</t>
  </si>
  <si>
    <t>Reavie, Euan/0000-0001-8871-5809; Kovalenko, Katya/0000-0001-7363-212X</t>
  </si>
  <si>
    <t>Langer, Gerald/0000-0002-7211-4889; Henderiks, Jorijntje/0000-0001-9486-6275; Supraha, Luka/0000-0003-2613-945X</t>
  </si>
  <si>
    <t>Rollwagen-Bollens, Gretchen/0000-0002-5127-5720; Hampton, Stephanie/0000-0003-2389-4249; Sweeney, Kathryn/0000-0002-9643-4705</t>
  </si>
  <si>
    <t>Yalcin, Gulce/JXH-1128-2024; Boukal, David/H-4762-2014; beklioglu, meryem/ABA-1630-2020; Stanković, Jelena/JQV-2642-2023; Feuchtmayr, Heidrun/K-2530-2016</t>
  </si>
  <si>
    <t>Boukal, David/0000-0001-8181-7458; Stanković, Jelena/0000-0003-1560-3755; Savic Zdravkovic, Dimitrija/0000-0002-3134-0230; Feuchtmayr, Heidrun/0000-0002-2028-4843; Jovanovic, Boris/0000-0003-3970-805X</t>
  </si>
  <si>
    <t>Li, Jiahe/X-7483-2018; Liu, Chunhua/KIC-3397-2024; Lv, Tian/HGU-8000-2022</t>
  </si>
  <si>
    <t>Li, Jiahe/0000-0002-8308-5382; Lv, Tian/0000-0003-2613-6734</t>
  </si>
  <si>
    <t>Janz, David/F-5481-2010; Graves, Stephanie/HNP-1726-2023</t>
  </si>
  <si>
    <t>Wang, Yu/GZL-9655-2022; wangwangwang, yuanyaunyuan/HHN-6432-2022; wang, qi/ITT-9652-2023; Wang, Ying/HJI-2509-2023; Wang, Yin/HCI-9352-2022; Wang, Jing/IQW-3496-2023; Wang, Yanbo/HFZ-8018-2022; wang, yiran/IAP-0414-2023; wang, yi/GVT-8516-2022; li, yang/IQV-3559-2023; wang, yan/JBJ-7462-2023; Wang, Yuan/HHC-1520-2022; wang, yan/GSE-6489-2022; LI, feng/HIR-1703-2022; wang, yi/HOF-6668-2023; wang, yu/IUQ-6654-2023</t>
  </si>
  <si>
    <t>Ludovisi, Alessandro/G-1973-2014; lucentini, livia/E-6187-2014; mancinelli, giorgio/A-7679-2013</t>
  </si>
  <si>
    <t>lucentini, livia/0000-0001-5051-610X; mancinelli, giorgio/0000-0002-5833-7322</t>
  </si>
  <si>
    <t>; von Elert, Eric/S-1666-2018</t>
  </si>
  <si>
    <t>Hahn, Meike/0000-0001-5090-0849; von Elert, Eric/0000-0001-7758-716X</t>
  </si>
  <si>
    <t>Swann, George/B-2794-2011; Rioual, Patrick/H-5140-2018; Piotrowska, Natalia/S-4528-2018</t>
  </si>
  <si>
    <t>Swann, George/0000-0002-4750-9504; Rioual, Patrick/0000-0001-9491-9197; Piotrowska, Natalia/0000-0002-8194-6767</t>
  </si>
  <si>
    <t>Pham, Luu Thanh/E-3733-2017; Bui, Ha Manh/ABA-9312-2021; Baduel, Christine/H-4066-2016; Dinh, Khuong Van/K-4017-2013</t>
  </si>
  <si>
    <t>Pham, Luu Thanh/0000-0003-3276-1114; Bui, Ha Manh/0000-0002-0647-3111; Tran, Viet/0000-0002-2203-8849; Dao, Thanh-Son/0000-0002-2993-2683; Dinh, Khuong Van/0000-0003-0766-9148</t>
  </si>
  <si>
    <t>yang, zhou/KBB-6972-2024; yang, zhou/JKI-3744-2023; Zhou, Qi/JTT-3417-2023; zhou, qi/JEF-7253-2023; Gu, Lei/GWQ-6785-2022; gu, leilei/AAS-4042-2020; Yang, Zhou/H-3407-2011</t>
  </si>
  <si>
    <t>Bomfim, Francieli de Fátima/0000-0003-4630-3587; Gebara, Renan Castelhano/0000-0002-2309-6186; Melao, Maria da Graca/0000-0002-8411-5088; Lansac-Toha, Fabio/0000-0001-6746-8052</t>
  </si>
  <si>
    <t>Yakimov, Basil/N-6296-2016; Kudrin, Ivan A/P-9816-2015; Gavrilko, Dmitriy/AAH-2534-2021</t>
  </si>
  <si>
    <t>Tedesco, Perla/AAD-8243-2022; Pastorino, Paolo/T-5288-2019; Esposito, Giuseppe/HKE-1040-2023; Mugetti, Davide/AAM-2277-2021</t>
  </si>
  <si>
    <t>Tedesco, Perla/0000-0001-8962-9929; Pastorino, Paolo/0000-0002-0585-1168; Esposito, Giuseppe/0000-0001-6665-2712; Mugetti, Davide/0000-0002-4666-6823; menconi, Vasco/0000-0003-1176-6995; FIORAVANTI, MARIALETIZIA/0000-0002-8234-432X; Gustinelli, Andrea/0000-0002-4249-4278; Prearo, Marino/0000-0002-2847-6006; PIZZUL, ELISABETTA/0000-0001-9916-5005</t>
  </si>
  <si>
    <t>Jeyasingh, Puni/0000-0002-5323-3217; Wilkinson, Grace/0000-0003-4051-2249; Butts, Tyler/0000-0002-3562-365X</t>
  </si>
  <si>
    <t>Mangold-Döring, Annika/0000-0002-6701-308X; van den brink, Paul/0000-0002-7241-4347; Rico, Andreu/0000-0002-1820-4218; Jackson, Michelle/0000-0003-2227-1111; Hermann, Markus/0000-0003-2166-5418; Roth, Sabrina Katharina/0000-0002-1919-4947; Polazzo, Francesco/0000-0003-2092-5011; Sobek, Anna/0000-0002-1549-7449</t>
  </si>
  <si>
    <t>Dorr, Felipe A/D-9689-2011; Dorr, Fabiane/AIC-6926-2022; Moschini Carlos, Viviane/O-3996-2019; Frascareli, Daniele F/C-5837-2017; Pinto, Ernani/A-4617-2010; Friese, Kurt/E-1395-2012; Frascareli, Daniele/L-2171-2016</t>
  </si>
  <si>
    <t>Dorr, Fabiane/0000-0002-6077-1814; Moschini Carlos, Viviane/0000-0002-5832-912X; Pinto, Ernani/0000-0001-7614-3014; Friese, Kurt/0000-0002-7769-0818; Frascareli, Daniele/0000-0002-5449-1728; Machado, Leila/0000-0003-3491-4903</t>
  </si>
  <si>
    <t>Schenone, Luca/KIA-8025-2024; Martyniuk, Nico/GXF-9085-2022</t>
  </si>
  <si>
    <t>Schenone, Luca/0000-0003-3025-7133; Laspoumaderes, Cecilia/0000-0001-7790-2975; Bastidas Navarro, Marcela/0000-0002-6558-0451; Modenutti, Beatriz/0000-0002-8683-5679; Balseiro, Esteban/0000-0002-5052-0587; Martyniuk, Nicolas/0000-0002-2423-7040</t>
  </si>
  <si>
    <t>Petrucio, Mauricio/AAC-6232-2019; Schuster, Karling Fernanda/JMP-9441-2023</t>
  </si>
  <si>
    <t>Petrucio, Mauricio/0000-0002-7242-9426; Pinheiro Silva, Lorena/0000-0002-8010-9262; Matthiensen, Alexandre/0000-0001-9630-2107; /0000-0003-2123-7560</t>
  </si>
  <si>
    <t>Barteneva, Natalie/V-3826-2019; Malashenkov, Dmitry/ABF-8145-2021</t>
  </si>
  <si>
    <t>Sala, Jordi/L-8234-2014; Madeira, Pedro/ACF-9012-2022; Castilho, Rita/B-6185-2008; Madeira, Pedro/AAH-2253-2022; Cancela da Fonseca, Luis/I-5564-2012; Cristo, Margarida/M-3778-2013; Boix, Dani/L-5190-2014; Lopes da Cunha, Regina/M-3463-2013</t>
  </si>
  <si>
    <t>Madeira, Pedro/0000-0002-2802-0957; Castilho, Rita/0000-0003-0727-3688; Madeira, Pedro/0000-0002-2802-0957; Cancela da Fonseca, Luis/0000-0001-6527-0827; Cristo, Margarida/0000-0002-4449-0019; Boix, Dani/0000-0001-5468-2236; Lopes da Cunha, Regina/0000-0002-4275-9723; Machado, Margarida/0000-0001-9943-0454</t>
  </si>
  <si>
    <t>yang, zhou/JKI-3744-2023; gu, leilei/AAS-4042-2020; Gu, Lei/GWQ-6785-2022; XIONG, LIU/JOK-5886-2023; Yang, Zhou/H-3407-2011</t>
  </si>
  <si>
    <t>Chen, Guangjie/AEO-1991-2022; Klamt, Anna-Marie/AAL-9887-2021; Chen, Guangjie/J-3826-2017; Li, Rui/HLW-3197-2023</t>
  </si>
  <si>
    <t>Chen, Guangjie/0000-0001-8035-6565; Li, Rui/0000-0003-1097-6683</t>
  </si>
  <si>
    <t>Tsuji, Jackson/AAV-4748-2021; Garcia, Sarahi/H-4365-2014; Greening, Chris/J-4408-2019; McMahon, Katherine/JXY-0145-2024</t>
  </si>
  <si>
    <t>Tsuji, Jackson/0000-0001-7244-4709; Garcia, Sarahi/0000-0002-8622-0308; Greening, Chris/0000-0001-7616-0594; Peura, Sari/0000-0003-3892-8157; McMahon, Katherine D./0000-0002-7038-026X; Mehrshad, Maliheh/0000-0002-1108-6888</t>
  </si>
  <si>
    <t>Ma, Suhui/AAS-9287-2021; 冯, 禹昊/GQP-4940-2022; Xie, Ping/AAL-7532-2020; Su, Haojie/JVO-6993-2024</t>
  </si>
  <si>
    <t>Ma, Suhui/0000-0001-6557-6834; 冯, 禹昊/0000-0002-1720-9084; Su, Haojie/0000-0003-4780-1094</t>
  </si>
  <si>
    <t>Bomfim, Francieli de Fátima/AGR-1980-2022; Gebara, Renan Castelhano/K-5376-2014; Lansac-Toha, Fábio A/I-3556-2016; Melao, Maria da Graca/H-4389-2012</t>
  </si>
  <si>
    <t>Koreiviene, Judita/GNM-7260-2022; Lindström, Eva/H-5930-2016; Gollnisch, Raphael/O-4726-2016</t>
  </si>
  <si>
    <t>Koreiviene, Judita/0000-0002-8156-7548; Lindström, Eva/0000-0001-8920-3071; Gollnisch, Raphael/0000-0001-6177-8877; Munzner, Karla/0000-0002-7568-8095; Rengefors, Karin/0000-0001-6297-9734</t>
  </si>
  <si>
    <t>Smolders, Erik/0000-0003-3054-2444; Bergen, Benoit/0000-0001-6966-4583; Hansul, Simon/0000-0002-3676-1763; Fettweis, Andreas/0000-0002-5046-1767; De Schamphelaere, Karel/0000-0002-5063-922X</t>
  </si>
  <si>
    <t>Akbar, Siddiq/AAK-8034-2020; yang, zhou/JKI-3744-2023; XIONG, LIU/JOK-5886-2023</t>
  </si>
  <si>
    <t>Singer, David/0000-0002-4116-033X; Gasol, Josep M/0000-0001-5238-2387; Massana, Ramon/0000-0001-9172-5418; Balague, Vanessa/0000-0001-6813-8207</t>
  </si>
  <si>
    <t>Wilson, Kyle/GWZ-3818-2022; Wilson, Kyle Logan/J-5800-2019; Buehrens, Thomas/JJE-4129-2023</t>
  </si>
  <si>
    <t>Mitrovic, Simon/0000-0002-5528-2215; Apte, Simon/0000-0003-2427-413X</t>
  </si>
  <si>
    <t>; Mano, Hiroyuki/M-2892-2018</t>
  </si>
  <si>
    <t>Oda, Yusuke/0000-0002-6555-1335; Mano, Hiroyuki/0000-0003-2684-5792</t>
  </si>
  <si>
    <t>Forster, Ian/0000-0002-4256-4432; Zhou, Yi Lin/0000-0001-6460-2033; Di Filippo, Carla/0000-0003-0045-8057; Kim, Jihyun/0000-0003-2207-840X</t>
  </si>
  <si>
    <t>GUILLARD, Jean/A-2577-2011; Guillard, Jean/AAP-9870-2020; Vagnon, Chloé/GQA-8023-2022; Vagnon, Chloé/JAN-6094-2023</t>
  </si>
  <si>
    <t>GUILLARD, Jean/0000-0003-0116-1167; Vagnon, Chloé/0000-0002-6201-7110; Vagnon, Chloé/0000-0002-6201-7110</t>
  </si>
  <si>
    <t>Stanković, Igor/A-7218-2015; Varbiro, Gabor/G-9416-2011; Stankovic, Igor/JTU-7925-2023; T-Krasznai, Eniko/AAM-7663-2021</t>
  </si>
  <si>
    <t>Varbiro, Gabor/0000-0001-5907-3472; Stankovic, Igor/0000-0001-7341-144X; T-Krasznai, Eniko/0000-0002-0012-1422</t>
  </si>
  <si>
    <t>Giam, Xingli/0000-0002-5239-9477; Woods, Taylor/0000-0002-6277-1260</t>
  </si>
  <si>
    <t>Yannicelli, Beatriz/0000-0002-5512-1921; Calliari Cuadro, Danilo Luis/0000-0002-4752-1669; Trinchin, Romina/0000-0003-0511-0586</t>
  </si>
  <si>
    <t>Porcher, Jean-Marc/S-7342-2018; Vulliet, Emmanuelle/B-1074-2015; Beaudouin, Rémy/H-1491-2012; PALLUEL, Olivier/R-3225-2018; Bodin, Cleo/R-3354-2018; JAMES, Alice/R-1029-2018; TURIÈS, Cyril/JXY-4897-2024; Bado-Nilles, Anne/Q-8563-2018</t>
  </si>
  <si>
    <t>Beaudouin, Rémy/0000-0002-2855-1571; PALLUEL, Olivier/0000-0001-5372-4852; Bodin, Cleo/0000-0003-3470-157X; JAMES, Alice/0000-0003-0719-1391; TURIÈS, Cyril/0000-0002-6238-4885; Bado-Nilles, Anne/0000-0002-4776-9592; VULLIET, Emmanuelle/0000-0002-6325-1531; Palos Ladeiro, Melissa/0000-0003-4262-3380</t>
  </si>
  <si>
    <t>Vinebrooke, Rolf/A-3766-2014; Loewen, Charlie JG/N-1352-2016</t>
  </si>
  <si>
    <t>Loewen, Charlie JG/0000-0002-4389-4134</t>
  </si>
  <si>
    <t>Yoshida, Takehito/ABB-2490-2020; Yamamichi, Masato/F-8836-2019; Yoshida, Takehito/O-9983-2014; Urabe, Jotaro/A-6256-2012</t>
  </si>
  <si>
    <t>Yamamichi, Masato/0000-0003-2136-3399; Yoshida, Takehito/0000-0001-9178-3634; Urabe, Jotaro/0000-0001-5111-687X; Kazama, Takehiro/0000-0002-2612-5202</t>
  </si>
  <si>
    <t>Bomfim, Francieli de Fátima/AGR-1980-2022; Braghin, Louizi SM/IXW-7206-2023; Dunck, Barbara/K-5743-2015; Lima Fernandes, Ubirajara/Q-4721-2017</t>
  </si>
  <si>
    <t>Bomfim, Francieli de Fátima/0000-0003-4630-3587; Dunck, Barbara/0000-0003-0608-0614; Lansac-Toha, Fabio/0000-0001-6746-8052; Castanho Amaral, Diogo/0000-0002-0932-2116; Lima Fernandes, Ubirajara/0000-0001-9541-051X; Bonecker, Claudia/0000-0003-4338-9012</t>
  </si>
  <si>
    <t>chakraborty, Shaswati/0000-0003-0472-9694; Hossen, Riyad/0000-0001-6093-5316; Das, Subroto K./0000-0003-2763-0232; Karmaker, Dipalok/0000-0001-6439-3382</t>
  </si>
  <si>
    <t>; Kuzenkov, Oleg/G-9720-2017</t>
  </si>
  <si>
    <t>Kuzenkova, Galina/0000-0003-4966-2200; Kuzenkov, Oleg/0000-0001-9407-0517</t>
  </si>
  <si>
    <t>Sampaio Franco, Ana Clara/J-8169-2019; Huszar, Vera L M/J-7126-2012; Macedo, Rafael/ABF-7258-2021</t>
  </si>
  <si>
    <t>Sampaio Franco, Ana Clara/0000-0002-1572-3645; Huszar, Vera L M/0000-0002-8096-1404; Macedo, Rafael/0000-0001-5086-0170; Castelo Branco, Christina W/0000-0002-0509-171X; Klippel, Gabriel/0000-0002-5558-2357</t>
  </si>
  <si>
    <t>Tiirola, Marja/0000-0001-5589-3748; Salmi, Pauliina/0000-0003-3247-2259</t>
  </si>
  <si>
    <t>David, Gwendoline/AAK-5344-2020; Moreira, David/F-7445-2012; Jardillier, Ludwig/H-8486-2015; Lopez-Garcia, Purificacion/B-6775-2012; Annenkova, Nataliia/E-2061-2011</t>
  </si>
  <si>
    <t>Moreira, David/0000-0002-2064-5354; Jardillier, Ludwig/0000-0003-4982-5807; Reboul, Guillaume/0000-0002-6424-5176; David, Gwendoline M./0000-0001-7748-6019; Lopez Archilla, Ana Isabel/0000-0002-3673-6189; Lopez-Garcia, Purificacion/0000-0002-0927-0651; Annenkova, Nataliia/0000-0001-6969-9938; Galindo, Luis Javier/0000-0003-3642-3200</t>
  </si>
  <si>
    <t>Frau, Diego/V-2613-2019; Simões, Nadson/AAA-6733-2022; Simões, Nadson Ressyé/J-9701-2012</t>
  </si>
  <si>
    <t>Frau, Diego/0000-0002-7000-8863; Simões, Nadson Ressyé/0000-0002-4577-9033; Gutierrez, Maria Florencia/0000-0003-2644-3339</t>
  </si>
  <si>
    <t>Søndergaard, Martin/P-2417-2019; Lauridsen, Torben L/JAX-3118-2023; Jeppesen, Erik/O-2667-2019; Davidson, Thomas A/C-6542-2011; beklioglu, meryem/ABA-1630-2020; Lauridsen, Torben L/K-9417-2013</t>
  </si>
  <si>
    <t>Søndergaard, Martin/0000-0002-1514-0482; Jeppesen, Erik/0000-0002-0542-369X; Oglu, Burak/0000-0002-3302-2500; Tavsanoglu, Ulku Nihan/0000-0001-8462-415X; Lauridsen, Torben/0000-0003-0139-2395; Davidson, Thomas/0000-0003-2326-1564; Neif, Erika Maria/0000-0003-2480-9122; CAO, YU/0000-0003-2716-6580</t>
  </si>
  <si>
    <t>Su, Haojie/JVO-6993-2024; 冯, 禹昊/GQP-4940-2022; Xie, Ping/AAL-7532-2020; Wang, Shaopeng/J-7091-2012</t>
  </si>
  <si>
    <t>Su, Haojie/0000-0003-4780-1094; 冯, 禹昊/0000-0002-1720-9084; Xu, Chi/0000-0002-1841-9032; Wang, Shaopeng/0000-0002-9430-8879; Li, Yun/0000-0003-3655-2475</t>
  </si>
  <si>
    <t>Dias, Juliana Deo/B-3184-2013; Braghin, Louizi SM/IXW-7206-2023; Simões, Nadson/AAA-6733-2022; Simões, Nadson Ressyé/J-9701-2012</t>
  </si>
  <si>
    <t>Beszteri, Bank/0000-0002-6852-1588; Cambra, Jaume/0000-0003-1539-5896; Burfeid-Castellanos, Andrea/0000-0002-8556-3157; Kloster, Michael/0000-0001-9244-4925</t>
  </si>
  <si>
    <t>harris, theodore/0000-0003-0944-8007; Cianci-Gaskill, Jacob/0000-0002-6778-6170</t>
  </si>
  <si>
    <t>Hintz, William/0000-0002-9755-5314; Schuler, Matthew/0000-0002-4258-3000</t>
  </si>
  <si>
    <t>Fink, Patrick/A-5901-2009; Ilic, Maja/AAO-9143-2020; Cordellier, Mathilde/E-7980-2010</t>
  </si>
  <si>
    <t>Fink, Patrick/0000-0002-5927-8977; Ilic, Maja/0000-0002-8387-9932; Cordellier, Mathilde/0000-0001-7376-4560</t>
  </si>
  <si>
    <t>Strydom, Nadine/0000-0003-4292-8678; Connan, Maelle/0000-0002-1308-9118</t>
  </si>
  <si>
    <t>Abd Karim, Murni Marlina/0000-0002-6639-6656; Samat, Nur Amalina/0000-0002-5077-9716; Yusoff, Fatimah/0000-0003-4438-9065</t>
  </si>
  <si>
    <t>Sha, Yongcui/GSJ-2799-2022; Hansson, Lars-Anders/HCI-2735-2022; Tesson, Sylvie/D-9018-2015</t>
  </si>
  <si>
    <t>Hansson, Lars-Anders/0000-0002-3035-1317; Tesson, Sylvie/0000-0002-0751-6953</t>
  </si>
  <si>
    <t>Sampognaro, Lia/0000-0002-7718-9820; Eirin, Karina/0000-0002-6588-4738</t>
  </si>
  <si>
    <t>Huszar, Vera L M/J-7126-2012; Devercelli, Melina/AAK-4647-2021</t>
  </si>
  <si>
    <t>Huszar, Vera L M/0000-0002-8096-1404;</t>
  </si>
  <si>
    <t>Abonyi, Andras/F-1849-2013; Salmaso, Nico/O-8968-2015; Ptacnik, Robert/B-1347-2012</t>
  </si>
  <si>
    <t>Abonyi, Andras/0000-0003-0593-5932; Ptacnik, Robert/0000-0001-7176-7653</t>
  </si>
  <si>
    <t>Holubová, Michaela/F-2507-2019; Peterka, Jiří/C-7218-2014; Blabolil, Petr/K-9548-2015; Vasek, Mojmir/C-5839-2014; Cech, Martin/C-5797-2014</t>
  </si>
  <si>
    <t>Holubová, Michaela/0000-0003-0475-307X; Blabolil, Petr/0000-0003-1344-9627; Vasek, Mojmir/0000-0001-6386-4015; Cech, Martin/0000-0003-1350-4286</t>
  </si>
  <si>
    <t>Zhang, Yunlin/0000-0002-3382-4570; , Zou/0000-0001-9697-5168</t>
  </si>
  <si>
    <t>Zhou, Qi/JTT-3417-2023; yang, zhou/JKI-3744-2023; zhou, qi/JEF-7253-2023; Lu, Zhang/F-8165-2018; Huang, Yuan/JFS-2278-2023; Gu, Lei/GWQ-6785-2022; gu, leilei/AAS-4042-2020</t>
  </si>
  <si>
    <t>Sampaio Franco, Ana Clara/J-8169-2019; Silva, Lúcia Sampaio/A-7404-2016; Macedo, Rafael/ABF-7258-2021; Santos, Luciano/M-4377-2015</t>
  </si>
  <si>
    <t>Gianuca, Andros T/N-3758-2013; Petrucio, Mauricio/AAC-6232-2019; Silva, Lorena Pinheiro/AAU-5405-2021</t>
  </si>
  <si>
    <t>Petrucio, Mauricio/0000-0002-7242-9426; Silva, Lorena Pinheiro/0000-0002-8010-9262</t>
  </si>
  <si>
    <t>Simões, Nadson Ressyé/J-9701-2012; Dias, Juliana Deo/B-3184-2013; Simões, Nadson/AAA-6733-2022</t>
  </si>
  <si>
    <t>Rinke, Karsten/E-6163-2016; Jäger, Christoph G./D-6288-2015</t>
  </si>
  <si>
    <t>Rinke, Karsten/0000-0003-0864-6722; Jäger, Christoph G./0000-0002-4256-0378; Bruggeman, Jorn/0000-0003-2493-2323; Wentzky, Valerie/0000-0002-8774-1287</t>
  </si>
  <si>
    <t>Barmuta, Leon/J-2413-2013; Trochine, Carolina/AFU-8159-2022; Jeppesen, Erik/O-2667-2019; Ventura, Marc/A-5660-2008; Buchaca, Teresa/L-1679-2014; Christoffersen, Kirsten Seestern/K-8423-2014</t>
  </si>
  <si>
    <t>Barmuta, Leon/0000-0002-8946-3727; Trochine, Carolina/0000-0002-4844-1513; Jeppesen, Erik/0000-0002-0542-369X; Ventura, Marc/0000-0003-1401-414X; Buchaca, Teresa/0000-0001-7933-8992; Christoffersen, Kirsten Seestern/0000-0002-3324-1017; Vidal, Nicolas/0000-0002-9200-5225</t>
  </si>
  <si>
    <t>Braghin, Louizi SM/IXW-7206-2023; Simões, Nadson/AAA-6733-2022; Simões, Nadson Ressyé/J-9701-2012</t>
  </si>
  <si>
    <t>Simões, Nadson Ressyé/0000-0002-4577-9033</t>
  </si>
  <si>
    <t>Lawton, Linda/AAP-9617-2021; Briand, Enora/P-6074-2016; Briand, Enora/AAS-8520-2020</t>
  </si>
  <si>
    <t>Lawton, Linda/0000-0002-7840-5310; Briand, Enora/0000-0001-8996-0072; Bormans, Myriam/0000-0002-4755-6327</t>
  </si>
  <si>
    <t>Martin-Creuzburg, Dominik/C-6361-2011; Kiene, Marvin/AFF-8348-2022; Kiene, Marvin/JFA-4154-2023; Laforsch, Christian/JOZ-3270-2023</t>
  </si>
  <si>
    <t>Martin-Creuzburg, Dominik/0000-0002-4248-0730; Kiene, Marvin/0000-0001-9981-5661; Laforsch, Christian/0000-0002-5889-4647; Diel, Patricia/0000-0002-9786-1071</t>
  </si>
  <si>
    <t>Hsieh, Chih-hao/B-3797-2008; Chang, Chun-Wei/ABF-3354-2021; Shiah夏復國, Fuh-Kwo/AAP-3246-2021; Ho, Pei-Chi/HGC-7639-2022</t>
  </si>
  <si>
    <t>Hsieh, Chih-hao/0000-0001-5935-7272; Chang, Chun-Wei/0000-0002-9817-2956; Ho, Pei-Chi/0000-0001-8896-8347; Andersen, Ken Haste/0000-0002-8478-3430; WANG, PEI-LING/0000-0002-4392-3935</t>
  </si>
  <si>
    <t>Ramos-Rodríguez, Eloísa/ABI-6376-2020; Conde-Porcuna, Jose M./L-9665-2014; Moreno, Emilio/G-9877-2016</t>
  </si>
  <si>
    <t>Ramos-Rodríguez, Eloísa/0000-0003-2440-0765; Conde-Porcuna, Jose M./0000-0002-5074-2796; Moreno, Emilio/0000-0001-6027-7333</t>
  </si>
  <si>
    <t>Zhou, Qi/JTT-3417-2023; Lu, Zhang/F-8165-2018; Lu, Na/KMA-3229-2024; gu, leilei/AAS-4042-2020; Gu, Lei/GWQ-6785-2022; zhou, qi/JEF-7253-2023; yang, zhou/JKI-3744-2023; Huang, Yuan/JFS-2278-2023</t>
  </si>
  <si>
    <t>Geist, Juergen/0000-0001-7698-3443; Ossyssek, Stefan/0000-0002-3632-5478; Kufner, Wolfgang/0000-0002-9827-7950</t>
  </si>
  <si>
    <t>Lettieri, Teresa/0000-0002-3363-9666; Pozzoli, Luca/0000-0003-0485-9624; Chirico, Nicola/0009-0007-8686-8095</t>
  </si>
  <si>
    <t>Huisman, Jef/0000-0001-9598-3211; Luimstra, Veerle/0009-0007-0729-6165; Verspagen, Jolanda/0000-0001-9295-4183; Xu, Tianshuo/0000-0002-6392-728X</t>
  </si>
  <si>
    <t>Usio, Nisikawa/0000-0002-5906-184X; Makino, Wataru/0000-0003-3240-3763</t>
  </si>
  <si>
    <t>A. Almeida, Rafaela/ABG-2778-2021; Antunes, Sara Cristina FM/C-7150-2008; Formigo, Nuno/KHZ-0474-2024; Sousa Pinto, Isabel/G-1497-2010</t>
  </si>
  <si>
    <t>Powers, Matthew/0000-0003-3499-0877; Heine, Kyle/0000-0002-0557-4551; Wilson, Alan/0000-0003-1080-0354</t>
  </si>
  <si>
    <t>Kratina, Pavel/O-5192-2019; Rossberg, Axel/G-1179-2010</t>
  </si>
  <si>
    <t>Kratina, Pavel/0000-0002-9144-7937; Rossberg, Axel/0000-0001-9014-3176</t>
  </si>
  <si>
    <t>Giometto, Andrea/AAV-1174-2021; Stocker, Roman/T-9456-2017; Marañón, Emilio/F-3013-2013</t>
  </si>
  <si>
    <t>Giometto, Andrea/0000-0002-0544-6023; Stocker, Roman/0000-0002-3199-0508; Marañón, Emilio/0000-0003-1572-2121; Meibom, Anders/0000-0002-4542-2819; Escrig, Stephane/0000-0002-7525-4000; Maritan, Amos/0000-0002-3535-7873; ZAOLI, SILVIA/0000-0001-6619-0984</t>
  </si>
  <si>
    <t>Giani, Alessandra/HSD-4531-2023; Beisner, Beatrix/ABG-7855-2020; Giani, Alessandra/H-9764-2012; Domaizon, Isabelle/A-2517-2011</t>
  </si>
  <si>
    <t>Giani, Alessandra/0000-0002-2524-8534; Beisner, Beatrix/0000-0001-6972-6887; Giani, Alessandra/0000-0002-2524-8534;</t>
  </si>
  <si>
    <t>Betini, Gustavo S./C-9551-2018; Avgar, Tal/W-9520-2019</t>
  </si>
  <si>
    <t>Betini, Gustavo S./0000-0003-0707-4128; Avgar, Tal/0000-0002-8764-6976</t>
  </si>
  <si>
    <t>; Jonas, Kristina/K-4513-2015</t>
  </si>
  <si>
    <t>Heinrich, Kristina/0000-0001-9150-3217; Bertilsson, Stefan/0000-0002-4265-1835; Jonas, Kristina/0000-0002-1469-4424</t>
  </si>
  <si>
    <t>Dawidowicz, Piotr/N-7405-2018; Zieliński, Piotr/B-2249-2013; Gladyshev, Michail I/F-6975-2013; Karpowicz, Maciej/GQH-3334-2022; Kolmakova, Anzhelika/ABL-9266-2022</t>
  </si>
  <si>
    <t>Dawidowicz, Piotr/0000-0001-8385-6215; Zieliński, Piotr/0000-0002-1833-950X; Karpowicz, Maciej/0000-0003-0711-5903; Irina, Feniova/0000-0002-8623-3491</t>
  </si>
  <si>
    <t>Eagles-Smith, Collin/T-8580-2019; Strecker, Angela/GWC-1818-2022; Eagles-Smith, Collin/AAH-3811-2019</t>
  </si>
  <si>
    <t>Morse, John C./0000-0003-3187-4045; Wolfram, Graf/0000-0001-6559-0644; Frandsen, Paul/0000-0002-4801-7579; Thomas Thorpe, Jessica A/0000-0003-2302-2387</t>
  </si>
  <si>
    <t>Wacker, Alexander/0000-0001-9687-6477; Martin-Creuzburg, Dominik/0000-0002-4248-0730; Sobisch, Lydia-Yasmin/0009-0009-3409-5777; Schalicke, Svenja/0000-0001-7651-7119</t>
  </si>
  <si>
    <t>Tapia, Fabian/0000-0001-9661-6069; Vargas, Cristian A./0000-0002-1486-3611</t>
  </si>
  <si>
    <t>Ger, Kemal Ali/AAD-9150-2019; Cardoso, Simone J/F-5700-2015; Marinho, Marcelo Manzi/C-1515-2013; Miranda, Marcela/AAY-3456-2020</t>
  </si>
  <si>
    <t>Ger, Kemal Ali/0000-0002-6075-5697; Cardoso, Simone J/0000-0002-9009-6098; Marinho, Marcelo Manzi/0000-0001-5661-4528; Miranda, Marcela/0000-0001-6994-8690; Mucci, Maira/0000-0002-3896-2294</t>
  </si>
  <si>
    <t>Frommen, Joachim/D-6802-2013; Bakker, Theo/AAI-3587-2020</t>
  </si>
  <si>
    <t>Frommen, Joachim/0000-0002-1752-6944;</t>
  </si>
  <si>
    <t>Jones, Benjamin/0000-0002-1517-4711; scotese, KYLE/0000-0003-4270-7859; Tausz, Claudia/0000-0002-8784-768X</t>
  </si>
  <si>
    <t>Gu, Lei/GWQ-6785-2022; gu, leilei/AAS-4042-2020; yang, zhou/JKI-3744-2023; Huang, Yuan/JFS-2278-2023; Yang, Zhou/H-3407-2011</t>
  </si>
  <si>
    <t>Boel, Mikkel/GQQ-4445-2022; Post, David M/A-6987-2009; Baktoft, Henrik/E-6581-2011; Koed, Anders/ABH-1055-2020</t>
  </si>
  <si>
    <t>Fohrer, Dr., Nicola/0000-0002-7456-6301; Sun, Xiuming/0000-0001-7552-1220; Wu, Naicheng/0000-0002-5652-3631</t>
  </si>
  <si>
    <t>Flander-Putrle, Vesna/0000-0001-8718-9819; France, Janja/0000-0002-7498-9224; Mozetic, Patricija/0000-0002-4668-4511</t>
  </si>
  <si>
    <t>Simek, Karel/F-8930-2014; Andrei, Adrian-Stefan/Q-9155-2018; Salcher, Michaela M./A-1141-2013; Mehrshad, Maliheh/O-6815-2017; Nakano, Shin-ichi/M-5483-2016; Ghai, Rohit/E-7086-2012; Mehrshad, Maliheh/AAB-1349-2021; Šimek, Karel/AAB-1956-2021</t>
  </si>
  <si>
    <t>Andrei, Adrian-Stefan/0000-0003-1425-7168; Salcher, Michaela M./0000-0003-1063-6523; Ghai, Rohit/0000-0002-0591-6152; Mehrshad, Maliheh/0000-0002-1108-6888; Šimek, Karel/0000-0002-7058-9063</t>
  </si>
  <si>
    <t>Hansson, Lars-Anders/HCI-2735-2022; Chaguaceda, Fernando/AAO-2991-2020</t>
  </si>
  <si>
    <t>Chaguaceda, Fernando/0000-0002-0827-2110</t>
  </si>
  <si>
    <t>Cox, Amelia/0000-0002-4804-5115; Arnott, Shelley/0000-0002-3834-703X</t>
  </si>
  <si>
    <t>Vincent, Warwick/AAH-6152-2019; Maps, Frederic/L-4546-2013; Raven, John/JFS-3447-2023; Béjaoui, Béchir/AGR-1419-2022; Duval, Jerome F.L./H-6421-2011</t>
  </si>
  <si>
    <t>Vincent, Warwick/0000-0001-9055-1938; Maps, Frederic/0000-0001-7115-2464; Duval, Jerome F.L./0000-0002-5458-3761</t>
  </si>
  <si>
    <t>Annenkova, Nataliia V/0000-0001-6969-9938; Rengefors, Karin/0000-0001-6297-9734; Logares, Ramiro/0000-0002-8213-0604</t>
  </si>
  <si>
    <t>Tobes, Ibon/M-9761-2014; Tobes, Ibon/ITT-0565-2023; Tobes, Ibon/AHD-0501-2022; Miranda, Rafael/B-2871-2010</t>
  </si>
  <si>
    <t>Tobes, Ibon/0000-0001-5343-5014; Miranda, Rafael/0000-0003-4798-314X</t>
  </si>
  <si>
    <t>Cabrerizo, Marco J./0000-0001-5576-6095; Villafane, Virginia/0000-0002-9552-6069; Helbling, E. Walter/0000-0003-2478-2281; Duran Romero, Cristina/0000-0003-2382-4056</t>
  </si>
  <si>
    <t>Hilt, Sabine/IUQ-1586-2023; Mehner, Thomas/B-8665-2008; Hilt, Sabine/C-4783-2011; Brothers, Soren/AAE-9584-2019</t>
  </si>
  <si>
    <t>Striebel, Maren/AAF-9996-2019; Declerck, Steven/E-4338-2010; Hillebrand, Helmut/I-1717-2014; KNAW, NIOO-KNAW/A-4320-2012; Gianuca, Andros/N-3758-2013</t>
  </si>
  <si>
    <t>Striebel, Maren/0000-0003-2061-2154; Declerck, Steven/0000-0001-6179-667X; Taquicava Hanashiro, Fabio Toshiro/0000-0002-0965-0304; Lemmens, Pieter/0000-0002-3135-9724; Verbeek, Laura/0000-0002-1488-6522; KNAW, NIOO-KNAW/0000-0002-3835-159X; Gianuca, Andros/0000-0001-9639-3846</t>
  </si>
  <si>
    <t>Matteucci, Giorgio/N-3526-2015; Tappeiner, Ulrike/B-8727-2009; Di Musciano, Michele/GWV-3066-2022; Godone, Danilo/P-2349-2016; Matteucci, Giorgio/AAB-7022-2021; Sommaruga, Ruben/E-5335-2011; Winkler, Manuela/K-5434-2012; Cutini, Maurizio/HSG-1681-2023; Carranza, Maria Laura/E-7698-2012; Sommaruga, Ruben/P-6626-2019; Theurillat, Jean-Paul/ABV-4830-2022; ROGORA, MICHELA/IZD-8951-2023; Frate, Ludovico/N-2737-2013; Canullo, Roberto/AAI-9912-2020; Porro, Francesco/AAC-1064-2022; Di Musciano, Michele/AAM-1942-2020; Carbognani, Michele/H-6644-2019; ROGORA, MICHELA/AAA-6590-2022; Tappeiner, Ulrike/JAZ-0929-2023; Stanisci, Angela/F-4725-2012; Psenner, Roland/A-5250-2017; Rossetti, Giampaolo/I-5703-2014</t>
  </si>
  <si>
    <t>Matteucci, Giorgio/0000-0002-4790-9540; Tappeiner, Ulrike/0000-0002-0195-7459; Di Musciano, Michele/0000-0002-3130-7270; Godone, Danilo/0000-0003-1455-6862; Sommaruga, Ruben/0000-0002-1055-2461; Winkler, Manuela/0000-0002-8655-9555; Cutini, Maurizio/0000-0002-8597-8221; Carranza, Maria Laura/0000-0001-5753-890X; Sommaruga, Ruben/0000-0002-1055-2461; Theurillat, Jean-Paul/0000-0002-1843-5809; ROGORA, MICHELA/0000-0003-3515-0220; Canullo, Roberto/0000-0002-9913-6981; Porro, Francesco/0000-0001-9855-2468; Di Musciano, Michele/0000-0002-3130-7270; Carbognani, Michele/0000-0001-7701-9859; ROGORA, MICHELA/0000-0003-3515-0220; Tappeiner, Ulrike/0000-0002-0195-7459; Petriccione, Bruno/0000-0002-7465-6331; Brambilla, Alice/0000-0003-3061-9544; Psenner, Roland/0000-0002-9209-0298; Magnani, Andrea/0000-0002-3282-4851; Morra di Cella, Umberto/0000-0003-4250-9705; Scotti, Alberto/0000-0002-5861-7551; Stanisci, Angela/0000-0002-5302-0932; Cremonese, Edoardo/0000-0002-6708-8532; Pauli, Harald/0000-0002-9842-9934; Rossetti, Giampaolo/0000-0002-8136-6965; CHELLI, Stefano/0000-0001-7184-8242; Bottarin, Roberta/0000-0002-6352-3699; Vittoz, Pascal/0000-0003-4218-4517; tomaselli, marcello/0000-0003-4208-3433</t>
  </si>
  <si>
    <t>chen, yinchao/JCP-0999-2023; Zhou, Weiwen/ABH-2490-2021; Li, Qian/P-7335-2018</t>
  </si>
  <si>
    <t>chen, yinchao/0000-0002-7295-8424; Zhou, Weiwen/0000-0002-2659-5618; Li, Qian/0000-0002-9846-3243</t>
  </si>
  <si>
    <t>Skaloud, Pavel/F-3103-2011; Munoz, Francois/C-4239-2015; Bestova, Helena/A-8425-2018</t>
  </si>
  <si>
    <t>Espinasse, Boris/AAE-1435-2022; Berline, Leo/AAM-8802-2021; Basedow, Sünnje Linnéa/H-6513-2019; Berline, Leo/AAJ-5885-2021; Espinasse, Boris/AFS-7849-2022</t>
  </si>
  <si>
    <t>Karaban, Kamil/0000-0001-8129-5530; Sierakowski, Maciej/0000-0003-3770-2762; Kaliszewicz, Anita/0000-0002-5146-5882</t>
  </si>
  <si>
    <t>Faassen, Elisabeth J/P-5411-2015; Maliaka, Valentini/AGC-7710-2022; Smolders, Alfons J.P./H-2583-2012; KNAW, NIOO-KNAW/A-4320-2012</t>
  </si>
  <si>
    <t>Babkiewicz, Ewa/0000-0003-2398-8448; Gliwicz, Zbigniew Maciej/0000-0002-6628-4785; Leniowski, Konrad/0000-0002-1784-8978; Kunjiappan, Selvaraj/0000-0002-6741-5118</t>
  </si>
  <si>
    <t>Vasselon, Valentin/Q-7670-2019; Rimet, Frederic/S-2702-2018; Tapolczai, Kalman/D-3897-2018</t>
  </si>
  <si>
    <t>Vasselon, Valentin/0000-0001-5038-7918; Bouchez, Agnes/0000-0001-8802-6966; Rimet, Frederic/0000-0002-5514-869X; Tapolczai, Kalman/0000-0003-1453-767X</t>
  </si>
  <si>
    <t>Trimmer, Mark/HGT-8823-2022; Trimmer, Mark/ABB-2336-2021; Yvon-Durocher, Gabriel/M-4600-2014</t>
  </si>
  <si>
    <t>Trimmer, Mark/0000-0002-9859-5537;</t>
  </si>
  <si>
    <t>Huszar, Vera L M/J-7126-2012; Silva, Lúcia Sampaio/A-7404-2016; Devercelli, Melina/AAK-4647-2021</t>
  </si>
  <si>
    <t>Huszar, Vera L M/0000-0002-8096-1404; Silva, Lúcia Sampaio/0000-0002-9533-3603; Devercelli, Melina/0000-0002-0464-2997; Kruk, Carla/0000-0003-0760-1186</t>
  </si>
  <si>
    <t>Dong, Xuhui/B-5104-2011; Baattrup-Pedersen, Annette/AAZ-9968-2020; Baattrup-Pedersen, Annette/HHN-0551-2022; Riis, Tenna/K-8346-2013; Riis, Tenna/AAE-4115-2020; Liu, Yang/AIE-3290-2022</t>
  </si>
  <si>
    <t>Baattrup-Pedersen, Annette/0000-0002-3118-344X; Baattrup-Pedersen, Annette/0000-0002-3118-344X; Riis, Tenna/0000-0003-2501-4444; Liu, Yang/0000-0002-1109-0756; Wu, Naicheng/0000-0002-5652-3631</t>
  </si>
  <si>
    <t>Fouilland, Eric/R-1415-2017; Liu, Hongbin/AAV-8862-2020; Delphine, BONNET/AGO-3181-2022; Trottet, Aurore/KIE-3763-2024; SALLES, Christian/ACA-0920-2022; Bouvier, Thierry/A-1895-2013; Jing, Hui/B-6285-2015; Alves-de-Souza, Catharina/G-3286-2014; LIU, HE/IQR-5714-2023; TOURNOUD, Marie-George/I-9281-2012; Vidussi, Francesca/KGM-2228-2024; Leboulanger, Christophe/W-9859-2018</t>
  </si>
  <si>
    <t>Fouilland, Eric/0000-0001-9633-8847; Trottet, Aurore/0000-0003-2628-6732; Alves-de-Souza, Catharina/0000-0001-9577-8090; Vidussi, Francesca/0000-0003-2007-9003; BONNET, Delphine/0000-0002-2040-1800; Leboulanger, Christophe/0000-0001-5836-4294; Guillou, Laure/0000-0003-1032-7958; Pecqueur, David/0000-0002-4666-6030; Salles, Christian/0009-0007-6553-4213; bouvier, thierry/0000-0002-7151-5680; Rochelle-Newall, Emma/0000-0003-0951-8650</t>
  </si>
  <si>
    <t>Gatica, José M./0000-0003-4176-3357; Blasco, Julian/0000-0002-9750-383X; Yeste, Pili/0000-0003-3639-3830; Moreno-Garrido, Ignacio/0000-0003-2664-8713; Sendra, Marta/0000-0001-9317-0217</t>
  </si>
  <si>
    <t>Santos-Medrano, Gustavo Emilio/ABC-9108-2020; Rico-Martinez, Roberto/K-7750-2015; Medrano, Gustavo Emilio GESM Santos/C-5995-2014</t>
  </si>
  <si>
    <t>Santos-Medrano, Gustavo Emilio/0000-0002-5953-8409; Rico-Martinez, Roberto/0000-0002-7776-9542;</t>
  </si>
  <si>
    <t>Kotta, Jonne/B-5542-2009; Virro, Taavi/F-2253-2018</t>
  </si>
  <si>
    <t>Kotta, Jonne/0000-0002-4970-6755;</t>
  </si>
  <si>
    <t>Lage, Sandra/0000-0003-0167-7163; Olofsson, Malin/0000-0003-4170-9975; Ploug, Helle/0000-0002-8989-245X</t>
  </si>
  <si>
    <t>Frenken, Thijs/O-1617-2014; Van de Waal, Dedmer B/B-8002-2012; van Donk, Ellen/B-7272-2008; Gsell, Alena S/G-5157-2012; KNAW, NIOO-KNAW/A-4320-2012</t>
  </si>
  <si>
    <t>Frenken, Thijs/0000-0002-8989-2804; van Donk, Ellen/0000-0003-3279-4936; Gsell, Alena S/0000-0001-7795-1996; KNAW, NIOO-KNAW/0000-0002-3835-159X; Van de Waal, Dedmer/0000-0001-8803-1247</t>
  </si>
  <si>
    <t>De Meester, Luc/F-3832-2015; Cadotte, Marc/AAG-8147-2020; Declerck, Steven/E-4338-2010; KNAW, NIOO-KNAW/A-4320-2012; Gianuca, Andros/N-3758-2013</t>
  </si>
  <si>
    <t>Cadotte, Marc/0000-0002-5816-7693; Declerck, Steven/0000-0001-6179-667X; KNAW, NIOO-KNAW/0000-0002-3835-159X; Gianuca, Andros/0000-0001-9639-3846; Souffreau, Caroline/0000-0003-0997-9190</t>
  </si>
  <si>
    <t>Rolls, Rob/0000-0002-0402-411X; Myllykangas, Jukka-Pekka/0000-0001-5259-6852; Kahilainen, Kimmo/0000-0002-1539-014X; Hayden, Brian/0000-0002-8524-7373</t>
  </si>
  <si>
    <t>Vitál, Zoltán/M-8322-2019; Specziár, András/N-5656-2019; Vitál, Zoltán/GXF-7227-2022</t>
  </si>
  <si>
    <t>Alexandrou, Markos A/E-1509-2012; Cardinale, Bradley J/I-7076-2013; Delwiche, Charles Francis/C-6549-2008</t>
  </si>
  <si>
    <t>Jones, Geoffrey P./E-9306-2010; MacNeil, Aaron/E-8196-2017; Graham, Nicholas/C-8360-2014</t>
  </si>
  <si>
    <t>Jones, Geoffrey P./0000-0002-6244-1245; Graham, Nicholas/0000-0002-0304-7467</t>
  </si>
  <si>
    <t>Rosenberger, Amanda/R-9578-2018</t>
  </si>
  <si>
    <t>Rosenberger, Amanda/0000-0002-5520-8349; Zimmerman, Christian/0000-0002-3646-0688</t>
  </si>
  <si>
    <t>Hyun Gi, Jeong/0000-0002-5162-7175; Hwang, Soon-Jin/0000-0001-7083-5036; chang, Kwang-Hyeon/0000-0002-7952-4047</t>
  </si>
  <si>
    <t>Catalan, Jordi/A-5420-2008; Batt, Ryan D/D-7690-2013; Bowman, Larry/GXI-0419-2022; McKay, Robert Michael/P-3759-2017; Post, David M/A-6987-2009; Timofeyev, Maxim/F-2071-2010; Lottig, Noah/AAE-4650-2020; Nõges, Peeter/AAL-5343-2020; Montero, William Colom/ABG-7984-2020; Swann, George/B-2794-2011; Weyhenmeyer, Gesa/Y-6135-2019; Silow, Eugene/C-2958-2011; Noges, Tiina/AAL-5373-2020; Sadro, Steven/AGC-7944-2022; Higgins, Scott N/F-5700-2016; Baulch, Helen M/I-9529-2012; Bowman, Larry/ABA-2745-2021; Granados, Ignacio/A-3737-2013; Felip, Marisol/G-2823-2016; Rücker, Jacqueline/H-8994-2019</t>
  </si>
  <si>
    <t>Catalan, Jordi/0000-0002-2934-4013; Bowman, Larry/0000-0002-0816-6115; McKay, Robert Michael/0000-0003-2723-5371; Post, David M/0000-0003-1434-7729; Timofeyev, Maxim/0000-0002-5250-6818; Lottig, Noah/0000-0003-1599-8144; Nõges, Peeter/0000-0003-2919-6038; Montero, William Colom/0000-0002-2035-2498; Swann, George/0000-0002-4750-9504; Weyhenmeyer, Gesa/0000-0002-4013-2281; Silow, Eugene/0000-0002-7039-3220; Noges, Tiina/0000-0002-4558-7373; Baulch, Helen M/0000-0001-9018-4998; Bowman, Larry/0000-0002-0816-6115; Granados, Ignacio/0000-0002-8669-6613; Rücker, Jacqueline/0000-0001-6841-7724; Hampton, Stephanie/0000-0003-2389-4249; Toro Velasco, Manuel/0000-0002-4860-7229; Sterner, Robert/0000-0003-2292-6122; Batt, Ryan/0000-0002-7267-5395; Labou, Stephanie/0000-0001-5633-5983; Kahilainen, Kimmo/0000-0002-1539-014X; Mackay, Anson/0000-0002-6328-769X; Woo, Kara/0000-0002-5125-4188; Kehoe, Michael/0000-0002-5281-5821; Higgins, Scott/0000-0001-9427-7024; Sharma, Sapna/0000-0003-4571-2768; Powers, Stephen/0000-0001-6267-2644; Gries, Corinna/0000-0002-9091-6543</t>
  </si>
  <si>
    <t>Jin, Peng/AAH-7858-2021; Duarte Quesada, Carlos Manuel/ABD-6208-2021; Duarte, Carlos M/A-7670-2013; Agusti, Susana/G-2864-2017</t>
  </si>
  <si>
    <t>Duarte, Carlos M/0000-0002-1213-1361; Agusti, Susana/0000-0003-0536-7293</t>
  </si>
  <si>
    <t>Toporowska, Magdalena/T-9828-2018; Toporowska, Magdalena/AAO-6763-2020; Koreiviene, Judita/GNM-7260-2022; Peczula, Wojciech/T-6681-2018</t>
  </si>
  <si>
    <t>Toporowska, Magdalena/0000-0002-2653-9376; Koreiviene, Judita/0000-0002-8156-7548; Pawlik-Skowronska, Barbara/0000-0002-6485-2099; Peczula, Wojciech/0000-0002-6760-4189</t>
  </si>
  <si>
    <t>FENOY, ENCARNACIÓN/H-4507-2015; RUBIO-RÍOS, JUAN/K-2713-2017; RUBIO-RÍOS, JUAN/AAT-1967-2021; Moyano, Francisco Javier/K-9997-2017</t>
  </si>
  <si>
    <t>FENOY, ENCARNACIÓN/0000-0002-2386-5969; RUBIO-RÍOS, JUAN/0000-0002-5335-1766; RUBIO-RÍOS, JUAN/0000-0002-5335-1766; Moyano, Francisco Javier/0000-0002-0754-1809; Casas Jimenez, Jose Jesus/0000-0003-0928-0080</t>
  </si>
  <si>
    <t>Smutná, Marie/HLP-5352-2023; Hilscherova, Klara/B-4595-2011; Sychrova, Eliska/HMO-9714-2023</t>
  </si>
  <si>
    <t>Brady, Amie/0000-0002-7414-0992; Graham, Jennifer L./0000-0002-6420-9335; Stelzer, Erin/0000-0001-7645-7603</t>
  </si>
  <si>
    <t>Eiler, Alexander/V-9220-2017; Martínez-García, Manuel/AAT-1935-2021; Mondav, Rhiannon/M-1219-2017; McMahon, Katherine/JXY-0145-2024; Woyke, Tanja/S-7870-2018; Scofield, Douglas/B-4246-2009; Torrents, David/G-5785-2015</t>
  </si>
  <si>
    <t>Eiler, Alexander/0000-0001-9916-9567; Martínez-García, Manuel/0000-0001-5056-1525; Mondav, Rhiannon/0000-0002-5574-5531; Woyke, Tanja/0000-0002-9485-5637; Scofield, Douglas/0000-0001-5235-6461; Sinclair, Lucas/0000-0003-4134-3571; Stepanauskas, Ramunas/0000-0003-4458-3108; McMahon, Katherine D./0000-0002-7038-026X; Torrents, David/0000-0002-6086-9037</t>
  </si>
  <si>
    <t>Jardillier, Ludwig/H-8486-2015; Deschamps, Philippe/A-6232-2010; Moreira, David/F-7445-2012; Lopez-Garcia, Purificacion/B-6775-2012</t>
  </si>
  <si>
    <t>Jardillier, Ludwig/0000-0003-4982-5807; Moreira, David/0000-0002-2064-5354; RESTOUX, Gwendal/0000-0001-7771-9476; , Paola Bertolino/0000-0002-0910-9964; Lopez-Garcia, Purificacion/0000-0002-0927-0651</t>
  </si>
  <si>
    <t>Becker, Vanessa/G-6189-2015; de S Cardoso, Luciana/D-9523-2013; Cavalcante, Kaoli/K-9515-2013</t>
  </si>
  <si>
    <t>Becker, Vanessa/0000-0002-7326-4328; de S Cardoso, Luciana/0000-0003-1112-9814; Cavalcante, Kaoli/0000-0001-7843-4114</t>
  </si>
  <si>
    <t>CHOI, Jong-Yun/0000-0003-3237-8334; chang, Kwang-Hyeon/0000-0002-7952-4047; Jo, Hyunbin/0000-0001-8064-7880</t>
  </si>
  <si>
    <t>Duffy, Meghan/AFN-5376-2022; Searle, Catherine/HSG-3823-2023</t>
  </si>
  <si>
    <t>Chen, Guangjie/AEO-1991-2022; Chen, Guangjie/J-3826-2017</t>
  </si>
  <si>
    <t>Hansson, Lars-Anders/HCI-2735-2022; Ger, Kemal Ali/AAD-9150-2019; Frost, Paul/AAT-6633-2021; KNAW, NIOO-KNAW/A-4320-2012</t>
  </si>
  <si>
    <t>Ger, Kemal Ali/0000-0002-6075-5697; Hansson, Lars-Anders/0000-0002-3035-1317; KNAW, NIOO-KNAW/0000-0002-3835-159X; Urrutia Cordero, Pablo/0000-0001-9560-8374; Wilson, Alan/0000-0003-1080-0354</t>
  </si>
  <si>
    <t>Beisner, Beatrix/ABG-7855-2020; Hébert, Marie-Pier/AAJ-6769-2020</t>
  </si>
  <si>
    <t>Beisner, Beatrix/0000-0001-6972-6887; Hebert, Marie-Pier/0000-0003-4733-0974; Maranger, Roxane/0000-0002-2509-4678</t>
  </si>
  <si>
    <t>DeLong, John/0000-0003-0558-8213; Kalinoski, Ryan/0000-0001-8774-275X</t>
  </si>
  <si>
    <t>Li, Zhengke/0000-0001-8735-2313; Qiu, Bao-Sheng/0000-0002-7848-1612; Juneau, Philippe/0000-0002-7259-9636</t>
  </si>
  <si>
    <t>van Donk, Ellen/B-7272-2008; Domis, Lisette N. de Senerpont/C-2902-2008; Velthuis, Mandy/J-2566-2013; Aben, Ralf/M-7464-2019; Kosten, Sarian/D-7550-2011; Van de Waal, Dedmer B/B-8002-2012; Frenken, Thijs/O-1617-2014; KNAW, NIOO-KNAW/A-4320-2012</t>
  </si>
  <si>
    <t>van Donk, Ellen/0000-0003-3279-4936; Domis, Lisette N. de Senerpont/0000-0001-7509-9541; Velthuis, Mandy/0000-0001-7295-651X; Aben, Ralf/0000-0002-6182-4789; Kosten, Sarian/0000-0003-2031-0965; Frenken, Thijs/0000-0002-8989-2804; KNAW, NIOO-KNAW/0000-0002-3835-159X; Van de Waal, Dedmer/0000-0001-8803-1247</t>
  </si>
  <si>
    <t>Alexandrou, Markos A/E-1509-2012; Cardinale, Bradley J/I-7076-2013</t>
  </si>
  <si>
    <t>Oakley, Todd/0000-0002-4478-915X; Narwani, Anita/0000-0003-4561-0163</t>
  </si>
  <si>
    <t>Simek, Karel/F-8930-2014; Grujčić, Vesna/B-5976-2015; Kasalicky, Vojtech/AAC-2903-2021; Šimek, Karel/AAB-1956-2021</t>
  </si>
  <si>
    <t>Grujčić, Vesna/0000-0002-3322-599X; Kasalicky, Vojtech/0000-0002-9132-8321; Šimek, Karel/0000-0002-7058-9063</t>
  </si>
  <si>
    <t>陈, 文杰·/HHN-5495-2022; Xie, Ping/AAL-7532-2020</t>
  </si>
  <si>
    <t>陈, 文杰·/0000-0003-0556-7391;</t>
  </si>
  <si>
    <t>Gerla, Daan J/A-4170-2009; Kooi, Bob W/B-6343-2012; Mooij, Wolf/C-2677-2008; KNAW, NIOO-KNAW/A-4320-2012</t>
  </si>
  <si>
    <t>Kuiper, Jan J./0000-0002-6655-9355; Mooij, Wolf/0000-0001-5586-8200; KNAW, NIOO-KNAW/0000-0002-3835-159X; Kooi, B.W./0000-0003-3477-9924</t>
  </si>
  <si>
    <t>Nobre, Regina L G/P-6637-2016; Bartrons, Mireia/D-3452-2014; NOBRE, REGINA/AAI-8036-2021</t>
  </si>
  <si>
    <t>Bartrons, Mireia/0000-0003-0617-9577; NOBRE, REGINA/0000-0001-9866-3467; Olafsdottir, Solveig/0000-0001-5439-2546</t>
  </si>
  <si>
    <t>Hering, Daniel/D-4280-2012; Schmidt-Kloiber, Astrid/O-5278-2015</t>
  </si>
  <si>
    <t>Schmidt-Kloiber, Astrid/0000-0001-8839-5913</t>
  </si>
  <si>
    <t>Dressler, Valderi/Q-5651-2019; GONÇALVES, FABIO/Y-2813-2019; Linton, Maria Angélica Oliveira/C-3115-2015; ZANELLA, RENATO/N-9682-2019; Flores, Erico/J-6038-2012; Zanella, Renato/A-9249-2013</t>
  </si>
  <si>
    <t>GONÇALVES, FABIO/0000-0002-9640-1049; Linton, Maria Angélica Oliveira/0000-0002-7646-072X; ZANELLA, RENATO/0000-0002-5971-1785; Flores, Erico/0000-0001-9785-2477; Zanella, Renato/0000-0002-5971-1785; Dressler, Valderi Luiz/0000-0002-1201-005X</t>
  </si>
  <si>
    <t>Longstaffe, Fred/0000-0003-4103-4808; Neff, Bryan/0000-0001-8499-250X; Colborne, Scott/0000-0002-0143-8456</t>
  </si>
  <si>
    <t>Ramanan, Rishiram/GOE-4622-2022; Ramanan, Rishiram/ABC-9528-2021; Ramanan, Rishiram/AAW-7916-2020; Jin, Long/G-8084-2015</t>
  </si>
  <si>
    <t>Ramanan, Rishiram/0000-0002-4641-9603; Jin, Long/0000-0003-3808-5217; Dae-Hyun, Cho/0000-0001-8975-2468</t>
  </si>
  <si>
    <t>del Giorgio, Paul/0000-0003-1866-8159; GARCIA CHAVES, MARIA CAROLINA/0000-0002-7600-533X; Cottrell, Matthew/0000-0003-0449-9999; Derry, Alison/0000-0001-5768-8027</t>
  </si>
  <si>
    <t>Erdoğan, Şeyda/JVN-4092-2024; Jeppesen, Erik/O-2667-2019; Pinel-Alloul, Bernadette/U-9107-2019; Lauridsen, Torben L/K-9417-2013; Lauridsen, Torben L/JAX-3118-2023; beklioglu, meryem/ABA-1630-2020; Tavşanoğlu, Ülkü Nihan/AAV-7287-2020; KNAW, NIOO-KNAW/A-4320-2012; Christoffersen, Kirsten Seestern/K-8423-2014</t>
  </si>
  <si>
    <t>Jeppesen, Erik/0000-0002-0542-369X; Pinel-Alloul, Bernadette/0000-0002-1070-2968; Tavşanoğlu, Ülkü Nihan/0000-0001-8462-415X; Lauridsen, Torben/0000-0003-0139-2395; Erdogan, Seyda/0000-0001-7729-7664; KNAW, NIOO-KNAW/0000-0002-3835-159X; Christoffersen, Kirsten Seestern/0000-0002-3324-1017</t>
  </si>
  <si>
    <t>Arim, Matias/H-7649-2019; Mehner, Thomas/B-8665-2008; Søndergaard, Martin/P-2417-2019; Jeppesen, Erik/O-2667-2019; de Sola Simarro, Luis Gil/F-6281-2019; López-Flores, R./O-7204-2019; de Sola, Luis Gil/ABE-6143-2020; Badosa, Anna/AAD-4016-2019; Lauridsen, Torben L/JAX-3118-2023; Lauridsen, Torben L/K-9417-2013; Boix, Dani/L-5190-2014; Egozcue, Juan Jose/B-6499-2009; Irvine, Kenneth/M-5756-2013; Gascon, Stephanie/L-7471-2014; Quintana, Xavier/L-5083-2014; Compte, Jordi/L-9231-2014; Gaedke, Martin/U-5991-2017</t>
  </si>
  <si>
    <t>Arim, Matias/0000-0002-7648-8909; Mehner, Thomas/0000-0002-3619-165X; Søndergaard, Martin/0000-0002-1514-0482; Jeppesen, Erik/0000-0002-0542-369X; de Sola Simarro, Luis Gil/0000-0003-1987-9716; López-Flores, R./0000-0002-5235-6776; de Sola, Luis Gil/0000-0003-1987-9716; Boix, Dani/0000-0001-5468-2236; Egozcue, Juan Jose/0000-0002-5144-4483; Irvine, Kenneth/0000-0002-1010-9064; de Eyto, Elvira/0000-0003-2281-2491; Gascon, Stephanie/0000-0003-1951-9083; Quintana, Xavier/0000-0002-4070-1915; Compte, Jordi/0000-0002-2715-5518; Gaedke, Martin/0000-0002-6729-2912; Lauridsen, Torben/0000-0003-0139-2395</t>
  </si>
  <si>
    <t>Nakano, Shin-ichi/M-5483-2016; Ushio, Masayuki/F-8667-2010</t>
  </si>
  <si>
    <t>Ushio, Masayuki/0000-0003-4831-7181</t>
  </si>
  <si>
    <t>Szekely, Gyongyi/GRR-3010-2022; Szekely, Gyongyi/GRR-3117-2022; Szekely, Gyongyi/ABC-4775-2020</t>
  </si>
  <si>
    <t>Melao, Maria da Graca/0000-0002-8411-5088; Souza, Jaqueline Perola/0000-0002-4270-7421</t>
  </si>
  <si>
    <t>Taipale, Sami/AAO-3492-2020; Taipale, Sami/HKE-2611-2023; Hahn, Martin W./B-9998-2008</t>
  </si>
  <si>
    <t>Hahn, Martin W./0000-0003-0501-2556; Doolittle, W. Ford/0000-0002-4675-8832; Taipale, Sami/0000-0001-7510-7337</t>
  </si>
  <si>
    <t>Shiah夏復國, Fuh-Kwo/AAP-3246-2021; Hsieh, Chih-hao/B-3797-2008; Chang, Chun Wei/HZM-5747-2023; Chang, Chun-Wei/ABF-3354-2021; Kao, Shuh-Ji/F-8418-2015; Miki, Takeshi/F-8189-2010; Sastri, Akash/D-7798-2013</t>
  </si>
  <si>
    <t>Hsieh, Chih-hao/0000-0001-5935-7272; Chang, Chun-Wei/0000-0002-9817-2956; Miki, Takeshi/0000-0002-2452-8681; Sastri, Akash/0000-0001-8075-0917</t>
  </si>
  <si>
    <t>Gökçe, Didem/ABE-3018-2020; turhan, duygu ozhan/AAA-3247-2021</t>
  </si>
  <si>
    <t>Gökçe, Didem/0000-0002-8954-1094; turhan, duygu ozhan/0000-0002-7111-4289</t>
  </si>
  <si>
    <t>Stuart, Alexander M/B-5058-2015; Kudavidanage, Enoka P./AAM-1316-2021</t>
  </si>
  <si>
    <t>Nakov, Teofil/I-3707-2017</t>
  </si>
  <si>
    <t>Nakov, Teofil/0000-0002-5023-9269; Alverson, Andrew/0000-0003-1241-2654</t>
  </si>
  <si>
    <t>Ibelings, Bas W/B-4237-2011; Carey, Cayelan C/D-4874-2016; Brookes, Justin D/G-4270-2013</t>
  </si>
  <si>
    <t>Cuesta, Jose A./P-7142-2019; Urzúa, Ángel/AAA-6095-2019; Estevez, Alicia/AAE-1471-2021; Urzua, Angel/AAA-6126-2019; Rotllant, Guiomar/I-1838-2013</t>
  </si>
  <si>
    <t>Cuesta, Jose A./0000-0001-9482-2336; Urzúa, Ángel/0000-0001-7706-5126; Estevez, Alicia/0000-0002-7776-0521; Estevez, Alicia/0000-0002-3690-0532; Rotllant, Guiomar/0000-0002-6692-9678</t>
  </si>
  <si>
    <t>Hilt, Sabine/IUQ-1586-2023; Eigemann, Falk/ISB-1714-2023; Hilt, Sabine/C-4783-2011</t>
  </si>
  <si>
    <t>Duffy, Meghan/AFN-5376-2022; Duffy, Meghan A/E-6867-2016; Searle, Catherine/HSG-3823-2023</t>
  </si>
  <si>
    <t>Duarte, Cristian/I-4013-2016; Aguilera, Victor M/AAH-4460-2020; Navarro, Jorge M./B-7928-2008</t>
  </si>
  <si>
    <t>Aguilera, Victor M/0000-0001-5791-5250; Vargas, Cristian A./0000-0002-1486-3611; Navarro, Jorge M./0000-0001-9920-190X; Duarte Valenzuela, Cristian Hernan/0000-0002-7033-3551; Manriquez, Patricio/0000-0001-6586-764X</t>
  </si>
  <si>
    <t>Shatwell, Tom/K-2937-2013; Köhler, Jan/C-2633-2014; Shatwell, Tom/ABF-1308-2020</t>
  </si>
  <si>
    <t>Sime-Ngando, Télesphore/M-4134-2019; Delphine, Latour/JOZ-2138-2023</t>
  </si>
  <si>
    <t>Sime-Ngando, Télesphore/0000-0002-7240-5803;</t>
  </si>
  <si>
    <t>Juneau, Philippe/0000-0002-7259-9636; Deblois, Charles/0000-0002-1410-2783</t>
  </si>
  <si>
    <t>Castro, Bruno B./0000-0002-7130-6061; Goncalves, Fernando J. M./0000-0002-9326-187X; Loureiro, Claudia/0000-0002-0007-9551; Pedrosa/0000-0002-0146-067X; Cuco, Ana Patricia/0000-0002-8640-1248</t>
  </si>
  <si>
    <t>Striebel, Maren/AAF-9996-2019; Weigelhofer, Gabriele/AAN-5075-2021; Hein, Thomas/M-1244-2013</t>
  </si>
  <si>
    <t>Striebel, Maren/0000-0003-2061-2154; Weigelhofer, Gabriele/0000-0002-1298-2721; Hein, Thomas/0000-0002-7767-4607</t>
  </si>
  <si>
    <t>Todaro, M. Antonio/H-1311-2013</t>
  </si>
  <si>
    <t>Todaro, M. Antonio/0000-0002-6353-7281; Bownes, Sarah Jane/0009-0006-0864-6748</t>
  </si>
  <si>
    <t>Roselli, Leonilde/0000-0002-0002-9415; Lehtinen, Sirpa/0000-0001-7784-8497; Revilla Rodriguez, Marta Isabel/0000-0001-8085-1195</t>
  </si>
  <si>
    <t>Ibelings, Bas W/B-4237-2011; Domis, Lisette N. de Senerpont/C-2902-2008; Gsell, Alena S/G-5157-2012; van Donk, Ellen/B-7272-2008; Mooij, Wolf/C-2677-2008; KNAW, NIOO-KNAW/A-4320-2012</t>
  </si>
  <si>
    <t>Domis, Lisette N. de Senerpont/0000-0001-7509-9541; Gsell, Alena S/0000-0001-7795-1996; van Donk, Ellen/0000-0003-3279-4936; Mooij, Wolf/0000-0001-5586-8200; KNAW, NIOO-KNAW/0000-0002-3835-159X</t>
  </si>
  <si>
    <t>Verschoor, Anthony/D-8446-2011; Vos, Matthijs/B-3802-2009; Bezemer, Martijn/A-4068-2009; Bakker, Elisabeth S/B-7185-2008; Domis, Lisette N. de Senerpont/C-2902-2008; KNAW, NIOO-KNAW/A-4320-2012</t>
  </si>
  <si>
    <t>Bezemer, Martijn/0000-0002-2878-3479; Bakker, Elisabeth S/0000-0002-5900-9136; Domis, Lisette N. de Senerpont/0000-0001-7509-9541; KNAW, NIOO-KNAW/0000-0002-3835-159X</t>
  </si>
  <si>
    <t>Laforsch, Christian/JOZ-3270-2023; Yan, Norman D/H-5235-2013; Clausen-Schaumann, Hauke/W-1830-2017; Altshuler, Ianina/O-3206-2019</t>
  </si>
  <si>
    <t>Laforsch, Christian/0000-0002-5889-4647; Clausen-Schaumann, Hauke/0000-0002-9413-0310; Altshuler, Ianina/0000-0003-2235-1664; Yan, Norman/0000-0003-4870-6865</t>
  </si>
  <si>
    <t>Roman, Michael/F-9390-2013; Kimmel, David G./N-1148-2019; Kimmel, David/AFM-9673-2022; roman, michael/F-9425-2013; Kimmel, David/A-9643-2012; Pierson, James/B-7278-2008</t>
  </si>
  <si>
    <t>Eiler, Alexander/0000-0001-9916-9567; Tiirola, Marja/0000-0001-5589-3748; Peura, Sari/0000-0003-3892-8157; Jones, Roger/0000-0002-0835-8264; Hiltunen, Minna/0000-0002-0003-3000</t>
  </si>
  <si>
    <t>Hamilton, David/ABI-6870-2020; Hamilton, David/AAI-9851-2020; Brookes, Justin D/G-4270-2013; Carey, Cayelan C/D-4874-2016; Ibelings, Bas W/B-4237-2011; Hoffmann, Emily/X-3456-2019; Hamilton, David P/F-5039-2012; KNAW, NIOO-KNAW/A-4320-2012</t>
  </si>
  <si>
    <t>Hamilton, David/0000-0002-9341-8777; Hoffmann, Emily/0000-0002-8195-6519; Hamilton, David P/0000-0002-9341-8777; KNAW, NIOO-KNAW/0000-0002-3835-159X; Brookes, JUSTIN/0000-0001-8408-9142</t>
  </si>
  <si>
    <t>Litchman, Elena/0000-0001-7736-6332; Thomas, Mridul/0000-0002-5089-5610; , Kyle/0000-0002-0661-3903; Klausmeier, Christopher/0000-0002-6987-5871</t>
  </si>
  <si>
    <t>Iglesias, Carlos/H-7985-2019; Alonso, Cecilia/IWU-9937-2023; Arim, Matias/H-7649-2019; Jeppesen, Erik/O-2667-2019; Kosten, Sarian/D-7550-2011; Goyenola, Guillermo/AAI-6041-2020; beklioglu, meryem/ABA-1630-2020; Mello, Franco Teixeira-de/AAA-4869-2019</t>
  </si>
  <si>
    <t>Iglesias, Carlos/0000-0002-4125-3704; Alonso, Cecilia/0000-0003-3869-4418; Arim, Matias/0000-0002-7648-8909; Jeppesen, Erik/0000-0002-0542-369X; Kosten, Sarian/0000-0003-2031-0965; Goyenola, Guillermo/0000-0001-7688-5341; Mello, Franco Teixeira-de/0000-0003-4904-6985; Lacerot, Gissell/0000-0002-9705-5715; Kruk, Carla/0000-0003-0760-1186; Gonzalez-Bergonzoni, Ivan/0000-0001-7727-362X</t>
  </si>
  <si>
    <t>Libardoni, Bruno G/P-3873-2014; Urzua, Angel/AAA-6126-2019; Urzúa, Ángel/AAA-6095-2019</t>
  </si>
  <si>
    <t>Carvalho, Laurence/D-3276-2009; Tyler, Andrew N/F-2034-2010; Miller, Craig A/I-6774-2013</t>
  </si>
  <si>
    <t>; Rimet, Frederic/S-2702-2018</t>
  </si>
  <si>
    <t>Bouchez, Agnes/0000-0001-8802-6966; Rimet, Frederic/0000-0002-5514-869X</t>
  </si>
  <si>
    <t>Jeppesen, Erik/O-2667-2019; Goyenola, Guillermo/AAI-6041-2020; Iglesias, Carlos/H-7985-2019</t>
  </si>
  <si>
    <t>Jeppesen, Erik/0000-0002-0542-369X; Goyenola, Guillermo/0000-0001-7688-5341; Iglesias, Carlos/0000-0002-4125-3704</t>
  </si>
  <si>
    <t>Ward, Ben A/I-4776-2012; Follows, Michael J/G-9824-2011</t>
  </si>
  <si>
    <t>Montoya, Jose/AAH-2369-2019; Trimmer, Mark/ABB-2336-2021; Woodward, Guy/G-7103-2011; Trimmer, Mark/HGT-8823-2022; Yvon-Durocher, Gabriel/M-4600-2014</t>
  </si>
  <si>
    <t>Swenson, Nathan G/A-3514-2012; Klausmeier, Christopher A/J-9339-2012</t>
  </si>
  <si>
    <t>Šimek, Karel/AAB-1956-2021; Kasalicky, Vojtech/AAC-2903-2021; Hahn, Martin W./B-9998-2008; Simek, Karel/F-8930-2014; Jezbera, Jan/B-5657-2015</t>
  </si>
  <si>
    <t>Šimek, Karel/0000-0002-7058-9063; Kasalicky, Vojtech/0000-0002-9132-8321; Hahn, Martin W./0000-0003-0501-2556;</t>
  </si>
  <si>
    <t>Klausmeier, Christopher/0000-0002-6987-5871; Litchman, Elena/0000-0001-7736-6332; Thomas, Mridul/0000-0002-5089-5610</t>
  </si>
  <si>
    <t>Ng, Peter/J-7393-2012; Todd, Peter A/H-8410-2012</t>
  </si>
  <si>
    <t>Rahman, Mustafizur M./0000-0001-5902-3459; Verreth, Johan/0000-0001-7277-5129; Islam, M Ashraful/0000-0002-7458-485X; Asaduzzaman, Md/0000-0002-8211-1462; Verdegem, Marc/0000-0002-2058-3894</t>
  </si>
  <si>
    <t>Jeppesen, Erik/O-2667-2019; Trochine, Carolina/AFU-8159-2022; Quintana, Xavier/L-5083-2014; Boix, Dani/L-5190-2014; Gascon, Stephanie/L-7471-2014</t>
  </si>
  <si>
    <t>Jeppesen, Erik/0000-0002-0542-369X; Trochine, Carolina/0000-0002-4844-1513; Quintana, Xavier/0000-0002-4070-1915; Boix, Dani/0000-0001-5468-2236; Gascon, Stephanie/0000-0003-1951-9083</t>
  </si>
  <si>
    <t>Bozelli, Reinaldo L/G-1805-2012; Guariento, Rafael Dettogni/Q-3602-2019; Caliman, Adriano/A-8668-2008; Farjalla, Vinicius F/V-4351-2019; Alves, Joao Miguel/X-8891-2019; GUARIENTO, RAFAEL DETTOGNI/J-1211-2014; Alves, Joao Miguel F./K-6135-2014; Bozelli, Reinaldo/S-6414-2019</t>
  </si>
  <si>
    <t>Bozelli, Reinaldo L/0000-0001-9916-1629; Guariento, Rafael Dettogni/0000-0003-2035-2030; Caliman, Adriano/0000-0001-9218-5601; Farjalla, Vinicius F/0000-0003-4084-5983; Alves, Joao Miguel F./0000-0002-9599-5463; Carneiro, Luciana/0000-0003-3242-5954</t>
  </si>
  <si>
    <t>Stenuite, Stephane/B-7787-2008; Loiselle, Steven/ABA-3324-2020; Plisnier, Pierre-Denis/ABG-2933-2020</t>
  </si>
  <si>
    <t>Goncalves, Fernando J. M./B-8000-2008; Gonçalves, ana/JJF-8262-2023; Gonçalves, Ana/JFN-2203-2023; Joao, Coutinho AP/A-1582-2010; Gonçalves, Ana Marta/A-5151-2013; Goncalves, Ana Kalina Ventura Tenório/HTO-1775-2023; Goncalves, Ana/KFA-4223-2024; Ventura, Sonia/D-3992-2012</t>
  </si>
  <si>
    <t>Goncalves, Fernando J. M./0000-0002-9326-187X; Joao, Coutinho AP/0000-0002-3841-743X; Gonçalves, Ana Marta/0000-0002-8611-7183; Ventura, Sonia/0000-0001-9049-4267</t>
  </si>
  <si>
    <t>Petrusek, Adam/A-3510-2008; Schwenk, Klaus/G-9603-2015; Boersma, Maarten/A-5475-2013; Schwenk, Klaus/IUP-4121-2023</t>
  </si>
  <si>
    <t>; Shimode, Shinji/O-3253-2014</t>
  </si>
  <si>
    <t>Baek, Seung Ho/0000-0003-2722-5907; Shimode, Shinji/0000-0001-5103-1366</t>
  </si>
  <si>
    <t>wang, yingying/JCE-4984-2023; wang, yingying/GRS-3058-2022; wang, ying/GQY-5077-2022; Hammes, Frederik A/E-9328-2010; Boon, Nico/B-4083-2011</t>
  </si>
  <si>
    <t>Boon, Nico/0000-0002-7734-3103</t>
  </si>
  <si>
    <t>Hillebrand, Helmut/0000-0001-7449-1613; Cottenie, Karl/0000-0001-9498-8483</t>
  </si>
  <si>
    <t>Wong, Chris/JPX-1434-2023; wong, chris/GSN-0962-2022; Leung, Kenneth Mei Yee/C-1055-2009</t>
  </si>
  <si>
    <t>Leung, Kenneth Mei Yee/0000-0002-2164-4281; Kwok, Kevin Wing Hin/0000-0003-3264-134X</t>
  </si>
  <si>
    <t>Thessen, Anne/J-6449-2012; stoecker, diane k/F-9341-2013</t>
  </si>
  <si>
    <t>Thessen, Anne/0000-0002-2908-3327;</t>
  </si>
  <si>
    <t>Medeiros, Elvio S F/M-2318-2013; Arthington, Angela H./I-1689-2019</t>
  </si>
  <si>
    <t>Kiørboe, Thomas/ABI-4733-2020; Hirst, Andrew G/A-6296-2013</t>
  </si>
  <si>
    <t>Pereira, Joana Luísa/A-5003-2009; Goncalves, Fernando J. M./B-8000-2008; Pereira, Joana/IQT-1620-2023</t>
  </si>
  <si>
    <t>Pereira, Joana Luísa/0000-0001-7573-6184; Goncalves, Fernando J. M./0000-0002-9326-187X;</t>
  </si>
  <si>
    <t>Carral, José M/0000-0003-0928-1702; Celada, Jesus Domingo/0000-0002-7637-0185; Saez-Royuela, Maria/0000-0002-7503-9810</t>
  </si>
  <si>
    <t>Finlay, Kerri/G-6126-2012; Beisner, Beatrix/ABG-7855-2020; Barnett, Allain/V-3471-2018</t>
  </si>
  <si>
    <t>Marques, Sérgio Miguel Reis Luís/N-9574-2014; Goncalves, Fernando J. M./B-8000-2008; Castro, Bruno B./B-7552-2008</t>
  </si>
  <si>
    <t>Marques, Sérgio Miguel Reis Luís/0000-0002-1055-4432; Goncalves, Fernando J. M./0000-0002-9326-187X; Castro, Bruno B./0000-0002-7130-6061</t>
  </si>
  <si>
    <t>Huisman, Jef/A-1089-2013; mahsum, masot/ABC-4546-2020</t>
  </si>
  <si>
    <t>Anabalon Molina, valeria/0000-0002-4820-2707; Escribano, Ruben/0000-0002-9843-7723</t>
  </si>
  <si>
    <t>; Irvine, Kenneth/M-5756-2013</t>
  </si>
  <si>
    <t>de Eyto, Elvira/0000-0003-2281-2491; Irvine, Kenneth/0000-0002-1010-9064</t>
  </si>
  <si>
    <t>Lewis, Mark A/C-5015-2008; Lodge, David Michael/AAX-1781-2021; Lewis, Mark/A-2659-2014; Drake, John M/D-6622-2012</t>
  </si>
  <si>
    <t>Galvão, Helena/AFL-8576-2022; Barbosa, Ana B./K-4244-2012; Domingues, Rita B./C-2597-2011</t>
  </si>
  <si>
    <t>Gulati, Ramesh D./A-3155-2011; Nandini, S./AFN-8031-2022; Sarma, S.S.S./G-3634-2010; Gulati, Ramesh D/F-4943-2013</t>
  </si>
  <si>
    <t>Elser, James J/AAL-6199-2020; Urabe, Jotaro/ABI-7692-2020</t>
  </si>
  <si>
    <t>Elser, James J/0000-0002-1460-2155; Urabe, Jotaro/0000-0001-5111-687X; Weider, Lawrence/0000-0003-1310-4418</t>
  </si>
  <si>
    <t>Roelke, Daniel L/B-5766-2008; , Kevin/AAH-4525-2020; , Kevin/GRX-6300-2022</t>
  </si>
  <si>
    <t>Roelke, Daniel L/0000-0002-3166-3793; , Kevin/0000-0002-7364-2376;</t>
  </si>
  <si>
    <t>Kagami, Maiko/J-9623-2019; Brehm, Michaela/C-6721-2012; Ibelings, Bas W/B-4237-2011; van Donk, Ellen/B-7272-2008</t>
  </si>
  <si>
    <t>Kagami, Maiko/0000-0003-3086-390X; van Donk, Ellen/0000-0003-3279-4936</t>
  </si>
  <si>
    <t>Kimmel, David/A-9643-2012; Roman, Michael/F-9390-2013; roman, michael/F-9425-2013; Kimmel, David G./N-1148-2019; Kimmel, David/AFM-9673-2022</t>
  </si>
  <si>
    <t>Wikner, Johan/D-1504-2012; Wikner, Johan/E-3624-2019</t>
  </si>
  <si>
    <t>Townsend, Colin/AAZ-2027-2020; Townsend, Colin/HZI-0324-2023; Simon, Kevin Scott/CAH-1516-2022</t>
  </si>
  <si>
    <t>10.1890/0012-9658(2000)081[0826:AFTOIR]2.0.CO;2</t>
  </si>
  <si>
    <t>Posch, Thomas/0000-0001-5145-3761; Sonntag, Bettina/0000-0001-7065-522X; Pfister, Gerald/0000-0003-4928-6612</t>
  </si>
  <si>
    <t>Poff, Nathan L/C-1239-2009; Bely, Alexandra E/A-1750-2010</t>
  </si>
  <si>
    <t>Poff, N LeRoy/0000-0002-1390-8742; Arensburger, Peter/0000-0002-8017-5761</t>
  </si>
  <si>
    <t>Gasol, Josep M/B-1709-2008</t>
  </si>
  <si>
    <t>Gasol, Josep M/0000-0001-5238-2387; white, paul/0000-0001-5853-4759</t>
  </si>
  <si>
    <t>elsa, Breton/J-4996-2013; Kléparski, Loïck/IXX-0047-2023; Goberville, Eric/A-2621-2017</t>
  </si>
  <si>
    <t>elsa, Breton/0000-0002-9569-5436; Pecqueur, David/0000-0002-4666-6030; Kleparski, Loick/0000-0002-7536-2941; Goberville, Eric/0000-0002-1843-7855; Muriel, CROUVOISIER/0000-0003-2281-5326; SKOUROLIAKOU, DIMITRA-IOLI/0000-0003-0325-4754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</si>
</sst>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1C43-978E-8D49-A64D-6A8A3F72258E}">
  <dimension ref="A1:BT967"/>
  <sheetViews>
    <sheetView workbookViewId="0">
      <selection activeCell="B35" sqref="B35"/>
    </sheetView>
  </sheetViews>
  <sheetFormatPr baseColWidth="10" defaultRowHeight="16" x14ac:dyDescent="0.2"/>
  <cols>
    <col min="1" max="77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73</v>
      </c>
      <c r="C2" t="s">
        <v>74</v>
      </c>
      <c r="D2" t="s">
        <v>74</v>
      </c>
      <c r="E2" t="s">
        <v>74</v>
      </c>
      <c r="F2" t="s">
        <v>75</v>
      </c>
      <c r="G2" t="s">
        <v>74</v>
      </c>
      <c r="H2" t="s">
        <v>74</v>
      </c>
      <c r="I2" t="s">
        <v>76</v>
      </c>
      <c r="J2" t="s">
        <v>77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78</v>
      </c>
      <c r="AB2" t="s">
        <v>79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80</v>
      </c>
      <c r="AP2" t="s">
        <v>81</v>
      </c>
      <c r="AQ2" t="s">
        <v>74</v>
      </c>
      <c r="AR2" t="s">
        <v>74</v>
      </c>
      <c r="AS2" t="s">
        <v>74</v>
      </c>
      <c r="AT2" t="s">
        <v>82</v>
      </c>
      <c r="AU2">
        <v>2024</v>
      </c>
      <c r="AV2">
        <v>87</v>
      </c>
      <c r="AW2">
        <v>1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>
        <v>33</v>
      </c>
      <c r="BE2" t="s">
        <v>83</v>
      </c>
      <c r="BF2" t="str">
        <f>HYPERLINK("http://dx.doi.org/10.1007/s00248-024-02344-9","http://dx.doi.org/10.1007/s00248-024-02344-9")</f>
        <v>http://dx.doi.org/10.1007/s00248-024-02344-9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>
        <v>38236289</v>
      </c>
      <c r="BO2" t="s">
        <v>74</v>
      </c>
      <c r="BP2" t="s">
        <v>74</v>
      </c>
      <c r="BQ2" t="s">
        <v>74</v>
      </c>
      <c r="BR2" t="s">
        <v>74</v>
      </c>
      <c r="BS2" t="s">
        <v>84</v>
      </c>
      <c r="BT2" t="str">
        <f>HYPERLINK("https%3A%2F%2Fwww.webofscience.com%2Fwos%2Fwoscc%2Ffull-record%2FWOS:001145053200001","View Full Record in Web of Science")</f>
        <v>View Full Record in Web of Science</v>
      </c>
    </row>
    <row r="3" spans="1:72" x14ac:dyDescent="0.2">
      <c r="A3" t="s">
        <v>72</v>
      </c>
      <c r="B3" t="s">
        <v>85</v>
      </c>
      <c r="C3" t="s">
        <v>74</v>
      </c>
      <c r="D3" t="s">
        <v>74</v>
      </c>
      <c r="E3" t="s">
        <v>74</v>
      </c>
      <c r="F3" t="s">
        <v>86</v>
      </c>
      <c r="G3" t="s">
        <v>74</v>
      </c>
      <c r="H3" t="s">
        <v>74</v>
      </c>
      <c r="I3" t="s">
        <v>87</v>
      </c>
      <c r="J3" t="s">
        <v>88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74</v>
      </c>
      <c r="AB3" t="s">
        <v>6773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89</v>
      </c>
      <c r="AP3" t="s">
        <v>90</v>
      </c>
      <c r="AQ3" t="s">
        <v>74</v>
      </c>
      <c r="AR3" t="s">
        <v>74</v>
      </c>
      <c r="AS3" t="s">
        <v>74</v>
      </c>
      <c r="AT3" t="s">
        <v>569</v>
      </c>
      <c r="AU3">
        <v>2024</v>
      </c>
      <c r="AV3">
        <v>81</v>
      </c>
      <c r="AW3">
        <v>6</v>
      </c>
      <c r="AX3" t="s">
        <v>74</v>
      </c>
      <c r="AY3" t="s">
        <v>74</v>
      </c>
      <c r="AZ3" t="s">
        <v>74</v>
      </c>
      <c r="BA3" t="s">
        <v>74</v>
      </c>
      <c r="BB3">
        <v>699</v>
      </c>
      <c r="BC3">
        <v>714</v>
      </c>
      <c r="BD3" t="s">
        <v>74</v>
      </c>
      <c r="BE3" t="s">
        <v>91</v>
      </c>
      <c r="BF3" t="str">
        <f>HYPERLINK("http://dx.doi.org/10.1139/cjfas-2023-0138","http://dx.doi.org/10.1139/cjfas-2023-0138")</f>
        <v>http://dx.doi.org/10.1139/cjfas-2023-0138</v>
      </c>
      <c r="BG3" t="s">
        <v>74</v>
      </c>
      <c r="BH3" t="s">
        <v>92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93</v>
      </c>
      <c r="BT3" t="str">
        <f>HYPERLINK("https%3A%2F%2Fwww.webofscience.com%2Fwos%2Fwoscc%2Ffull-record%2FWOS:001227121500001","View Full Record in Web of Science")</f>
        <v>View Full Record in Web of Science</v>
      </c>
    </row>
    <row r="4" spans="1:72" x14ac:dyDescent="0.2">
      <c r="A4" t="s">
        <v>72</v>
      </c>
      <c r="B4" t="s">
        <v>94</v>
      </c>
      <c r="C4" t="s">
        <v>74</v>
      </c>
      <c r="D4" t="s">
        <v>74</v>
      </c>
      <c r="E4" t="s">
        <v>74</v>
      </c>
      <c r="F4" t="s">
        <v>95</v>
      </c>
      <c r="G4" t="s">
        <v>74</v>
      </c>
      <c r="H4" t="s">
        <v>74</v>
      </c>
      <c r="I4" t="s">
        <v>96</v>
      </c>
      <c r="J4" t="s">
        <v>97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98</v>
      </c>
      <c r="AP4" t="s">
        <v>99</v>
      </c>
      <c r="AQ4" t="s">
        <v>74</v>
      </c>
      <c r="AR4" t="s">
        <v>74</v>
      </c>
      <c r="AS4" t="s">
        <v>74</v>
      </c>
      <c r="AT4" t="s">
        <v>100</v>
      </c>
      <c r="AU4">
        <v>2024</v>
      </c>
      <c r="AV4" t="s">
        <v>74</v>
      </c>
      <c r="AW4" t="s">
        <v>74</v>
      </c>
      <c r="AX4" t="s">
        <v>74</v>
      </c>
      <c r="AY4" t="s">
        <v>74</v>
      </c>
      <c r="AZ4" t="s">
        <v>74</v>
      </c>
      <c r="BA4" t="s">
        <v>74</v>
      </c>
      <c r="BB4" t="s">
        <v>74</v>
      </c>
      <c r="BC4" t="s">
        <v>74</v>
      </c>
      <c r="BD4" t="s">
        <v>74</v>
      </c>
      <c r="BE4" t="s">
        <v>101</v>
      </c>
      <c r="BF4" t="str">
        <f>HYPERLINK("http://dx.doi.org/10.1007/s10452-024-10110-9","http://dx.doi.org/10.1007/s10452-024-10110-9")</f>
        <v>http://dx.doi.org/10.1007/s10452-024-10110-9</v>
      </c>
      <c r="BG4" t="s">
        <v>74</v>
      </c>
      <c r="BH4" t="s">
        <v>92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 t="s">
        <v>102</v>
      </c>
      <c r="BT4" t="str">
        <f>HYPERLINK("https%3A%2F%2Fwww.webofscience.com%2Fwos%2Fwoscc%2Ffull-record%2FWOS:001221510400001","View Full Record in Web of Science")</f>
        <v>View Full Record in Web of Science</v>
      </c>
    </row>
    <row r="5" spans="1:72" x14ac:dyDescent="0.2">
      <c r="A5" t="s">
        <v>72</v>
      </c>
      <c r="B5" t="s">
        <v>103</v>
      </c>
      <c r="C5" t="s">
        <v>74</v>
      </c>
      <c r="D5" t="s">
        <v>74</v>
      </c>
      <c r="E5" t="s">
        <v>74</v>
      </c>
      <c r="F5" t="s">
        <v>104</v>
      </c>
      <c r="G5" t="s">
        <v>74</v>
      </c>
      <c r="H5" t="s">
        <v>74</v>
      </c>
      <c r="I5" t="s">
        <v>105</v>
      </c>
      <c r="J5" t="s">
        <v>106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74</v>
      </c>
      <c r="AB5" t="s">
        <v>6745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107</v>
      </c>
      <c r="AP5" t="s">
        <v>108</v>
      </c>
      <c r="AQ5" t="s">
        <v>74</v>
      </c>
      <c r="AR5" t="s">
        <v>74</v>
      </c>
      <c r="AS5" t="s">
        <v>74</v>
      </c>
      <c r="AT5" t="s">
        <v>6746</v>
      </c>
      <c r="AU5">
        <v>2024</v>
      </c>
      <c r="AV5">
        <v>46</v>
      </c>
      <c r="AW5">
        <v>3</v>
      </c>
      <c r="AX5" t="s">
        <v>74</v>
      </c>
      <c r="AY5" t="s">
        <v>74</v>
      </c>
      <c r="AZ5" t="s">
        <v>74</v>
      </c>
      <c r="BA5" t="s">
        <v>74</v>
      </c>
      <c r="BB5">
        <v>307</v>
      </c>
      <c r="BC5">
        <v>322</v>
      </c>
      <c r="BD5" t="s">
        <v>74</v>
      </c>
      <c r="BE5" t="s">
        <v>109</v>
      </c>
      <c r="BF5" t="str">
        <f>HYPERLINK("http://dx.doi.org/10.1093/plankt/fbae017","http://dx.doi.org/10.1093/plankt/fbae017")</f>
        <v>http://dx.doi.org/10.1093/plankt/fbae017</v>
      </c>
      <c r="BG5" t="s">
        <v>74</v>
      </c>
      <c r="BH5" t="s">
        <v>110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 t="s">
        <v>111</v>
      </c>
      <c r="BT5" t="str">
        <f>HYPERLINK("https%3A%2F%2Fwww.webofscience.com%2Fwos%2Fwoscc%2Ffull-record%2FWOS:001211130600001","View Full Record in Web of Science")</f>
        <v>View Full Record in Web of Science</v>
      </c>
    </row>
    <row r="6" spans="1:72" x14ac:dyDescent="0.2">
      <c r="A6" t="s">
        <v>72</v>
      </c>
      <c r="B6" t="s">
        <v>112</v>
      </c>
      <c r="C6" t="s">
        <v>74</v>
      </c>
      <c r="D6" t="s">
        <v>74</v>
      </c>
      <c r="E6" t="s">
        <v>74</v>
      </c>
      <c r="F6" t="s">
        <v>113</v>
      </c>
      <c r="G6" t="s">
        <v>74</v>
      </c>
      <c r="H6" t="s">
        <v>74</v>
      </c>
      <c r="I6" t="s">
        <v>114</v>
      </c>
      <c r="J6" t="s">
        <v>115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6774</v>
      </c>
      <c r="AB6" t="s">
        <v>6775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116</v>
      </c>
      <c r="AP6" t="s">
        <v>117</v>
      </c>
      <c r="AQ6" t="s">
        <v>74</v>
      </c>
      <c r="AR6" t="s">
        <v>74</v>
      </c>
      <c r="AS6" t="s">
        <v>74</v>
      </c>
      <c r="AT6" t="s">
        <v>118</v>
      </c>
      <c r="AU6">
        <v>2024</v>
      </c>
      <c r="AV6">
        <v>58</v>
      </c>
      <c r="AW6">
        <v>18</v>
      </c>
      <c r="AX6" t="s">
        <v>74</v>
      </c>
      <c r="AY6" t="s">
        <v>74</v>
      </c>
      <c r="AZ6" t="s">
        <v>74</v>
      </c>
      <c r="BA6" t="s">
        <v>74</v>
      </c>
      <c r="BB6">
        <v>7860</v>
      </c>
      <c r="BC6">
        <v>7869</v>
      </c>
      <c r="BD6" t="s">
        <v>74</v>
      </c>
      <c r="BE6" t="s">
        <v>119</v>
      </c>
      <c r="BF6" t="str">
        <f>HYPERLINK("http://dx.doi.org/10.1021/acs.est.3c10884","http://dx.doi.org/10.1021/acs.est.3c10884")</f>
        <v>http://dx.doi.org/10.1021/acs.est.3c10884</v>
      </c>
      <c r="BG6" t="s">
        <v>74</v>
      </c>
      <c r="BH6" t="s">
        <v>74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>
        <v>38647522</v>
      </c>
      <c r="BO6" t="s">
        <v>74</v>
      </c>
      <c r="BP6" t="s">
        <v>74</v>
      </c>
      <c r="BQ6" t="s">
        <v>74</v>
      </c>
      <c r="BR6" t="s">
        <v>74</v>
      </c>
      <c r="BS6" t="s">
        <v>120</v>
      </c>
      <c r="BT6" t="str">
        <f>HYPERLINK("https%3A%2F%2Fwww.webofscience.com%2Fwos%2Fwoscc%2Ffull-record%2FWOS:001226272300001","View Full Record in Web of Science")</f>
        <v>View Full Record in Web of Science</v>
      </c>
    </row>
    <row r="7" spans="1:72" x14ac:dyDescent="0.2">
      <c r="A7" t="s">
        <v>72</v>
      </c>
      <c r="B7" t="s">
        <v>121</v>
      </c>
      <c r="C7" t="s">
        <v>74</v>
      </c>
      <c r="D7" t="s">
        <v>74</v>
      </c>
      <c r="E7" t="s">
        <v>74</v>
      </c>
      <c r="F7" t="s">
        <v>122</v>
      </c>
      <c r="G7" t="s">
        <v>74</v>
      </c>
      <c r="H7" t="s">
        <v>74</v>
      </c>
      <c r="I7" t="s">
        <v>123</v>
      </c>
      <c r="J7" t="s">
        <v>124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125</v>
      </c>
      <c r="AB7" t="s">
        <v>126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127</v>
      </c>
      <c r="AP7" t="s">
        <v>128</v>
      </c>
      <c r="AQ7" t="s">
        <v>74</v>
      </c>
      <c r="AR7" t="s">
        <v>74</v>
      </c>
      <c r="AS7" t="s">
        <v>74</v>
      </c>
      <c r="AT7" t="s">
        <v>129</v>
      </c>
      <c r="AU7">
        <v>2024</v>
      </c>
      <c r="AV7" t="s">
        <v>74</v>
      </c>
      <c r="AW7" t="s">
        <v>74</v>
      </c>
      <c r="AX7" t="s">
        <v>74</v>
      </c>
      <c r="AY7" t="s">
        <v>74</v>
      </c>
      <c r="AZ7" t="s">
        <v>74</v>
      </c>
      <c r="BA7" t="s">
        <v>74</v>
      </c>
      <c r="BB7" t="s">
        <v>74</v>
      </c>
      <c r="BC7" t="s">
        <v>74</v>
      </c>
      <c r="BD7" t="s">
        <v>74</v>
      </c>
      <c r="BE7" t="s">
        <v>130</v>
      </c>
      <c r="BF7" t="str">
        <f>HYPERLINK("http://dx.doi.org/10.1007/s10750-024-05521-6","http://dx.doi.org/10.1007/s10750-024-05521-6")</f>
        <v>http://dx.doi.org/10.1007/s10750-024-05521-6</v>
      </c>
      <c r="BG7" t="s">
        <v>74</v>
      </c>
      <c r="BH7" t="s">
        <v>110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 t="s">
        <v>131</v>
      </c>
      <c r="BT7" t="str">
        <f>HYPERLINK("https%3A%2F%2Fwww.webofscience.com%2Fwos%2Fwoscc%2Ffull-record%2FWOS:001200728500003","View Full Record in Web of Science")</f>
        <v>View Full Record in Web of Science</v>
      </c>
    </row>
    <row r="8" spans="1:72" x14ac:dyDescent="0.2">
      <c r="A8" t="s">
        <v>72</v>
      </c>
      <c r="B8" t="s">
        <v>132</v>
      </c>
      <c r="C8" t="s">
        <v>74</v>
      </c>
      <c r="D8" t="s">
        <v>74</v>
      </c>
      <c r="E8" t="s">
        <v>74</v>
      </c>
      <c r="F8" t="s">
        <v>133</v>
      </c>
      <c r="G8" t="s">
        <v>74</v>
      </c>
      <c r="H8" t="s">
        <v>74</v>
      </c>
      <c r="I8" t="s">
        <v>134</v>
      </c>
      <c r="J8" t="s">
        <v>135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74</v>
      </c>
      <c r="AB8" t="s">
        <v>74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136</v>
      </c>
      <c r="AP8" t="s">
        <v>137</v>
      </c>
      <c r="AQ8" t="s">
        <v>74</v>
      </c>
      <c r="AR8" t="s">
        <v>74</v>
      </c>
      <c r="AS8" t="s">
        <v>74</v>
      </c>
      <c r="AT8" t="s">
        <v>138</v>
      </c>
      <c r="AU8">
        <v>2024</v>
      </c>
      <c r="AV8" t="s">
        <v>74</v>
      </c>
      <c r="AW8" t="s">
        <v>74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 t="s">
        <v>74</v>
      </c>
      <c r="BE8" t="s">
        <v>139</v>
      </c>
      <c r="BF8" t="str">
        <f>HYPERLINK("http://dx.doi.org/10.1007/s11756-024-01669-7","http://dx.doi.org/10.1007/s11756-024-01669-7")</f>
        <v>http://dx.doi.org/10.1007/s11756-024-01669-7</v>
      </c>
      <c r="BG8" t="s">
        <v>74</v>
      </c>
      <c r="BH8" t="s">
        <v>140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 t="s">
        <v>74</v>
      </c>
      <c r="BR8" t="s">
        <v>74</v>
      </c>
      <c r="BS8" t="s">
        <v>141</v>
      </c>
      <c r="BT8" t="str">
        <f>HYPERLINK("https%3A%2F%2Fwww.webofscience.com%2Fwos%2Fwoscc%2Ffull-record%2FWOS:001194859400003","View Full Record in Web of Science")</f>
        <v>View Full Record in Web of Science</v>
      </c>
    </row>
    <row r="9" spans="1:72" x14ac:dyDescent="0.2">
      <c r="A9" t="s">
        <v>72</v>
      </c>
      <c r="B9" t="s">
        <v>142</v>
      </c>
      <c r="C9" t="s">
        <v>74</v>
      </c>
      <c r="D9" t="s">
        <v>74</v>
      </c>
      <c r="E9" t="s">
        <v>74</v>
      </c>
      <c r="F9" t="s">
        <v>143</v>
      </c>
      <c r="G9" t="s">
        <v>74</v>
      </c>
      <c r="H9" t="s">
        <v>74</v>
      </c>
      <c r="I9" t="s">
        <v>144</v>
      </c>
      <c r="J9" t="s">
        <v>145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74</v>
      </c>
      <c r="AB9" t="s">
        <v>74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146</v>
      </c>
      <c r="AP9" t="s">
        <v>147</v>
      </c>
      <c r="AQ9" t="s">
        <v>74</v>
      </c>
      <c r="AR9" t="s">
        <v>74</v>
      </c>
      <c r="AS9" t="s">
        <v>74</v>
      </c>
      <c r="AT9" t="s">
        <v>148</v>
      </c>
      <c r="AU9">
        <v>2024</v>
      </c>
      <c r="AV9">
        <v>926</v>
      </c>
      <c r="AW9" t="s">
        <v>74</v>
      </c>
      <c r="AX9" t="s">
        <v>74</v>
      </c>
      <c r="AY9" t="s">
        <v>74</v>
      </c>
      <c r="AZ9" t="s">
        <v>74</v>
      </c>
      <c r="BA9" t="s">
        <v>74</v>
      </c>
      <c r="BB9" t="s">
        <v>74</v>
      </c>
      <c r="BC9" t="s">
        <v>74</v>
      </c>
      <c r="BD9">
        <v>171663</v>
      </c>
      <c r="BE9" t="s">
        <v>149</v>
      </c>
      <c r="BF9" t="str">
        <f>HYPERLINK("http://dx.doi.org/10.1016/j.scitotenv.2024.171663","http://dx.doi.org/10.1016/j.scitotenv.2024.171663")</f>
        <v>http://dx.doi.org/10.1016/j.scitotenv.2024.171663</v>
      </c>
      <c r="BG9" t="s">
        <v>74</v>
      </c>
      <c r="BH9" t="s">
        <v>140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>
        <v>38485007</v>
      </c>
      <c r="BO9" t="s">
        <v>74</v>
      </c>
      <c r="BP9" t="s">
        <v>74</v>
      </c>
      <c r="BQ9" t="s">
        <v>74</v>
      </c>
      <c r="BR9" t="s">
        <v>74</v>
      </c>
      <c r="BS9" t="s">
        <v>150</v>
      </c>
      <c r="BT9" t="str">
        <f>HYPERLINK("https%3A%2F%2Fwww.webofscience.com%2Fwos%2Fwoscc%2Ffull-record%2FWOS:001219475500001","View Full Record in Web of Science")</f>
        <v>View Full Record in Web of Science</v>
      </c>
    </row>
    <row r="10" spans="1:72" x14ac:dyDescent="0.2">
      <c r="A10" t="s">
        <v>72</v>
      </c>
      <c r="B10" t="s">
        <v>151</v>
      </c>
      <c r="C10" t="s">
        <v>74</v>
      </c>
      <c r="D10" t="s">
        <v>74</v>
      </c>
      <c r="E10" t="s">
        <v>74</v>
      </c>
      <c r="F10" t="s">
        <v>152</v>
      </c>
      <c r="G10" t="s">
        <v>74</v>
      </c>
      <c r="H10" t="s">
        <v>74</v>
      </c>
      <c r="I10" t="s">
        <v>153</v>
      </c>
      <c r="J10" t="s">
        <v>154</v>
      </c>
      <c r="K10" t="s">
        <v>74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74</v>
      </c>
      <c r="AB10" t="s">
        <v>74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155</v>
      </c>
      <c r="AP10" t="s">
        <v>156</v>
      </c>
      <c r="AQ10" t="s">
        <v>74</v>
      </c>
      <c r="AR10" t="s">
        <v>74</v>
      </c>
      <c r="AS10" t="s">
        <v>74</v>
      </c>
      <c r="AT10" t="s">
        <v>157</v>
      </c>
      <c r="AU10">
        <v>2024</v>
      </c>
      <c r="AV10">
        <v>105</v>
      </c>
      <c r="AW10" t="s">
        <v>74</v>
      </c>
      <c r="AX10" t="s">
        <v>74</v>
      </c>
      <c r="AY10" t="s">
        <v>74</v>
      </c>
      <c r="AZ10" t="s">
        <v>74</v>
      </c>
      <c r="BA10" t="s">
        <v>74</v>
      </c>
      <c r="BB10" t="s">
        <v>74</v>
      </c>
      <c r="BC10" t="s">
        <v>74</v>
      </c>
      <c r="BD10">
        <v>126160</v>
      </c>
      <c r="BE10" t="s">
        <v>158</v>
      </c>
      <c r="BF10" t="str">
        <f>HYPERLINK("http://dx.doi.org/10.1016/j.limno.2024.126160","http://dx.doi.org/10.1016/j.limno.2024.126160")</f>
        <v>http://dx.doi.org/10.1016/j.limno.2024.126160</v>
      </c>
      <c r="BG10" t="s">
        <v>74</v>
      </c>
      <c r="BH10" t="s">
        <v>140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 t="s">
        <v>159</v>
      </c>
      <c r="BT10" t="str">
        <f>HYPERLINK("https%3A%2F%2Fwww.webofscience.com%2Fwos%2Fwoscc%2Ffull-record%2FWOS:001203002900001","View Full Record in Web of Science")</f>
        <v>View Full Record in Web of Science</v>
      </c>
    </row>
    <row r="11" spans="1:72" x14ac:dyDescent="0.2">
      <c r="A11" t="s">
        <v>72</v>
      </c>
      <c r="B11" t="s">
        <v>160</v>
      </c>
      <c r="C11" t="s">
        <v>74</v>
      </c>
      <c r="D11" t="s">
        <v>74</v>
      </c>
      <c r="E11" t="s">
        <v>74</v>
      </c>
      <c r="F11" t="s">
        <v>161</v>
      </c>
      <c r="G11" t="s">
        <v>74</v>
      </c>
      <c r="H11" t="s">
        <v>74</v>
      </c>
      <c r="I11" t="s">
        <v>162</v>
      </c>
      <c r="J11" t="s">
        <v>145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163</v>
      </c>
      <c r="AB11" t="s">
        <v>164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146</v>
      </c>
      <c r="AP11" t="s">
        <v>147</v>
      </c>
      <c r="AQ11" t="s">
        <v>74</v>
      </c>
      <c r="AR11" t="s">
        <v>74</v>
      </c>
      <c r="AS11" t="s">
        <v>74</v>
      </c>
      <c r="AT11" t="s">
        <v>165</v>
      </c>
      <c r="AU11">
        <v>2024</v>
      </c>
      <c r="AV11">
        <v>922</v>
      </c>
      <c r="AW11" t="s">
        <v>74</v>
      </c>
      <c r="AX11" t="s">
        <v>74</v>
      </c>
      <c r="AY11" t="s">
        <v>74</v>
      </c>
      <c r="AZ11" t="s">
        <v>74</v>
      </c>
      <c r="BA11" t="s">
        <v>74</v>
      </c>
      <c r="BB11" t="s">
        <v>74</v>
      </c>
      <c r="BC11" t="s">
        <v>74</v>
      </c>
      <c r="BD11">
        <v>171426</v>
      </c>
      <c r="BE11" t="s">
        <v>166</v>
      </c>
      <c r="BF11" t="str">
        <f>HYPERLINK("http://dx.doi.org/10.1016/j.scitotenv.2024.171426","http://dx.doi.org/10.1016/j.scitotenv.2024.171426")</f>
        <v>http://dx.doi.org/10.1016/j.scitotenv.2024.171426</v>
      </c>
      <c r="BG11" t="s">
        <v>74</v>
      </c>
      <c r="BH11" t="s">
        <v>140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>
        <v>38432363</v>
      </c>
      <c r="BO11" t="s">
        <v>74</v>
      </c>
      <c r="BP11" t="s">
        <v>74</v>
      </c>
      <c r="BQ11" t="s">
        <v>74</v>
      </c>
      <c r="BR11" t="s">
        <v>74</v>
      </c>
      <c r="BS11" t="s">
        <v>167</v>
      </c>
      <c r="BT11" t="str">
        <f>HYPERLINK("https%3A%2F%2Fwww.webofscience.com%2Fwos%2Fwoscc%2Ffull-record%2FWOS:001207495000001","View Full Record in Web of Science")</f>
        <v>View Full Record in Web of Science</v>
      </c>
    </row>
    <row r="12" spans="1:72" x14ac:dyDescent="0.2">
      <c r="A12" t="s">
        <v>72</v>
      </c>
      <c r="B12" t="s">
        <v>168</v>
      </c>
      <c r="C12" t="s">
        <v>74</v>
      </c>
      <c r="D12" t="s">
        <v>74</v>
      </c>
      <c r="E12" t="s">
        <v>74</v>
      </c>
      <c r="F12" t="s">
        <v>169</v>
      </c>
      <c r="G12" t="s">
        <v>74</v>
      </c>
      <c r="H12" t="s">
        <v>74</v>
      </c>
      <c r="I12" t="s">
        <v>170</v>
      </c>
      <c r="J12" t="s">
        <v>171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6776</v>
      </c>
      <c r="AB12" t="s">
        <v>6777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172</v>
      </c>
      <c r="AP12" t="s">
        <v>173</v>
      </c>
      <c r="AQ12" t="s">
        <v>74</v>
      </c>
      <c r="AR12" t="s">
        <v>74</v>
      </c>
      <c r="AS12" t="s">
        <v>74</v>
      </c>
      <c r="AT12" t="s">
        <v>174</v>
      </c>
      <c r="AU12">
        <v>2024</v>
      </c>
      <c r="AV12">
        <v>254</v>
      </c>
      <c r="AW12" t="s">
        <v>74</v>
      </c>
      <c r="AX12" t="s">
        <v>74</v>
      </c>
      <c r="AY12" t="s">
        <v>74</v>
      </c>
      <c r="AZ12" t="s">
        <v>74</v>
      </c>
      <c r="BA12" t="s">
        <v>74</v>
      </c>
      <c r="BB12" t="s">
        <v>74</v>
      </c>
      <c r="BC12" t="s">
        <v>74</v>
      </c>
      <c r="BD12">
        <v>121344</v>
      </c>
      <c r="BE12" t="s">
        <v>175</v>
      </c>
      <c r="BF12" t="str">
        <f>HYPERLINK("http://dx.doi.org/10.1016/j.watres.2024.121344","http://dx.doi.org/10.1016/j.watres.2024.121344")</f>
        <v>http://dx.doi.org/10.1016/j.watres.2024.121344</v>
      </c>
      <c r="BG12" t="s">
        <v>74</v>
      </c>
      <c r="BH12" t="s">
        <v>140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>
        <v>38430754</v>
      </c>
      <c r="BO12" t="s">
        <v>74</v>
      </c>
      <c r="BP12" t="s">
        <v>74</v>
      </c>
      <c r="BQ12" t="s">
        <v>74</v>
      </c>
      <c r="BR12" t="s">
        <v>74</v>
      </c>
      <c r="BS12" t="s">
        <v>176</v>
      </c>
      <c r="BT12" t="str">
        <f>HYPERLINK("https%3A%2F%2Fwww.webofscience.com%2Fwos%2Fwoscc%2Ffull-record%2FWOS:001211400500001","View Full Record in Web of Science")</f>
        <v>View Full Record in Web of Science</v>
      </c>
    </row>
    <row r="13" spans="1:72" x14ac:dyDescent="0.2">
      <c r="A13" t="s">
        <v>72</v>
      </c>
      <c r="B13" t="s">
        <v>177</v>
      </c>
      <c r="C13" t="s">
        <v>74</v>
      </c>
      <c r="D13" t="s">
        <v>74</v>
      </c>
      <c r="E13" t="s">
        <v>74</v>
      </c>
      <c r="F13" t="s">
        <v>178</v>
      </c>
      <c r="G13" t="s">
        <v>74</v>
      </c>
      <c r="H13" t="s">
        <v>74</v>
      </c>
      <c r="I13" t="s">
        <v>179</v>
      </c>
      <c r="J13" t="s">
        <v>180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181</v>
      </c>
      <c r="AB13" t="s">
        <v>6778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182</v>
      </c>
      <c r="AP13" t="s">
        <v>183</v>
      </c>
      <c r="AQ13" t="s">
        <v>74</v>
      </c>
      <c r="AR13" t="s">
        <v>74</v>
      </c>
      <c r="AS13" t="s">
        <v>74</v>
      </c>
      <c r="AT13" t="s">
        <v>569</v>
      </c>
      <c r="AU13">
        <v>2024</v>
      </c>
      <c r="AV13">
        <v>2024</v>
      </c>
      <c r="AW13">
        <v>6</v>
      </c>
      <c r="AX13" t="s">
        <v>74</v>
      </c>
      <c r="AY13" t="s">
        <v>74</v>
      </c>
      <c r="AZ13" t="s">
        <v>74</v>
      </c>
      <c r="BA13" t="s">
        <v>74</v>
      </c>
      <c r="BB13" t="s">
        <v>74</v>
      </c>
      <c r="BC13" t="s">
        <v>74</v>
      </c>
      <c r="BD13" t="s">
        <v>74</v>
      </c>
      <c r="BE13" t="s">
        <v>184</v>
      </c>
      <c r="BF13" t="str">
        <f>HYPERLINK("http://dx.doi.org/10.1111/oik.10359","http://dx.doi.org/10.1111/oik.10359")</f>
        <v>http://dx.doi.org/10.1111/oik.10359</v>
      </c>
      <c r="BG13" t="s">
        <v>74</v>
      </c>
      <c r="BH13" t="s">
        <v>185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186</v>
      </c>
      <c r="BT13" t="str">
        <f>HYPERLINK("https%3A%2F%2Fwww.webofscience.com%2Fwos%2Fwoscc%2Ffull-record%2FWOS:001175773900001","View Full Record in Web of Science")</f>
        <v>View Full Record in Web of Science</v>
      </c>
    </row>
    <row r="14" spans="1:72" x14ac:dyDescent="0.2">
      <c r="A14" t="s">
        <v>72</v>
      </c>
      <c r="B14" t="s">
        <v>187</v>
      </c>
      <c r="C14" t="s">
        <v>74</v>
      </c>
      <c r="D14" t="s">
        <v>74</v>
      </c>
      <c r="E14" t="s">
        <v>74</v>
      </c>
      <c r="F14" t="s">
        <v>188</v>
      </c>
      <c r="G14" t="s">
        <v>74</v>
      </c>
      <c r="H14" t="s">
        <v>74</v>
      </c>
      <c r="I14" t="s">
        <v>189</v>
      </c>
      <c r="J14" t="s">
        <v>190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74</v>
      </c>
      <c r="AP14" t="s">
        <v>191</v>
      </c>
      <c r="AQ14" t="s">
        <v>74</v>
      </c>
      <c r="AR14" t="s">
        <v>74</v>
      </c>
      <c r="AS14" t="s">
        <v>74</v>
      </c>
      <c r="AT14" t="s">
        <v>192</v>
      </c>
      <c r="AU14">
        <v>2024</v>
      </c>
      <c r="AV14">
        <v>15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 t="s">
        <v>74</v>
      </c>
      <c r="BC14" t="s">
        <v>74</v>
      </c>
      <c r="BD14">
        <v>1351772</v>
      </c>
      <c r="BE14" t="s">
        <v>193</v>
      </c>
      <c r="BF14" t="str">
        <f>HYPERLINK("http://dx.doi.org/10.3389/fmicb.2024.1351772","http://dx.doi.org/10.3389/fmicb.2024.1351772")</f>
        <v>http://dx.doi.org/10.3389/fmicb.2024.1351772</v>
      </c>
      <c r="BG14" t="s">
        <v>74</v>
      </c>
      <c r="BH14" t="s">
        <v>74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>
        <v>38440145</v>
      </c>
      <c r="BO14" t="s">
        <v>74</v>
      </c>
      <c r="BP14" t="s">
        <v>74</v>
      </c>
      <c r="BQ14" t="s">
        <v>74</v>
      </c>
      <c r="BR14" t="s">
        <v>74</v>
      </c>
      <c r="BS14" t="s">
        <v>194</v>
      </c>
      <c r="BT14" t="str">
        <f>HYPERLINK("https%3A%2F%2Fwww.webofscience.com%2Fwos%2Fwoscc%2Ffull-record%2FWOS:001176039700001","View Full Record in Web of Science")</f>
        <v>View Full Record in Web of Science</v>
      </c>
    </row>
    <row r="15" spans="1:72" x14ac:dyDescent="0.2">
      <c r="A15" t="s">
        <v>72</v>
      </c>
      <c r="B15" t="s">
        <v>195</v>
      </c>
      <c r="C15" t="s">
        <v>74</v>
      </c>
      <c r="D15" t="s">
        <v>74</v>
      </c>
      <c r="E15" t="s">
        <v>74</v>
      </c>
      <c r="F15" t="s">
        <v>196</v>
      </c>
      <c r="G15" t="s">
        <v>74</v>
      </c>
      <c r="H15" t="s">
        <v>74</v>
      </c>
      <c r="I15" t="s">
        <v>197</v>
      </c>
      <c r="J15" t="s">
        <v>198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199</v>
      </c>
      <c r="AB15" t="s">
        <v>200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201</v>
      </c>
      <c r="AP15" t="s">
        <v>202</v>
      </c>
      <c r="AQ15" t="s">
        <v>74</v>
      </c>
      <c r="AR15" t="s">
        <v>74</v>
      </c>
      <c r="AS15" t="s">
        <v>74</v>
      </c>
      <c r="AT15" t="s">
        <v>203</v>
      </c>
      <c r="AU15">
        <v>2024</v>
      </c>
      <c r="AV15">
        <v>38</v>
      </c>
      <c r="AW15">
        <v>4</v>
      </c>
      <c r="AX15" t="s">
        <v>74</v>
      </c>
      <c r="AY15" t="s">
        <v>74</v>
      </c>
      <c r="AZ15" t="s">
        <v>74</v>
      </c>
      <c r="BA15" t="s">
        <v>74</v>
      </c>
      <c r="BB15">
        <v>778</v>
      </c>
      <c r="BC15">
        <v>791</v>
      </c>
      <c r="BD15" t="s">
        <v>74</v>
      </c>
      <c r="BE15" t="s">
        <v>204</v>
      </c>
      <c r="BF15" t="str">
        <f>HYPERLINK("http://dx.doi.org/10.1111/1365-2435.14530","http://dx.doi.org/10.1111/1365-2435.14530")</f>
        <v>http://dx.doi.org/10.1111/1365-2435.14530</v>
      </c>
      <c r="BG15" t="s">
        <v>74</v>
      </c>
      <c r="BH15" t="s">
        <v>185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">
        <v>205</v>
      </c>
      <c r="BT15" t="str">
        <f>HYPERLINK("https%3A%2F%2Fwww.webofscience.com%2Fwos%2Fwoscc%2Ffull-record%2FWOS:001163411800001","View Full Record in Web of Science")</f>
        <v>View Full Record in Web of Science</v>
      </c>
    </row>
    <row r="16" spans="1:72" x14ac:dyDescent="0.2">
      <c r="A16" t="s">
        <v>72</v>
      </c>
      <c r="B16" t="s">
        <v>206</v>
      </c>
      <c r="C16" t="s">
        <v>74</v>
      </c>
      <c r="D16" t="s">
        <v>74</v>
      </c>
      <c r="E16" t="s">
        <v>74</v>
      </c>
      <c r="F16" t="s">
        <v>207</v>
      </c>
      <c r="G16" t="s">
        <v>74</v>
      </c>
      <c r="H16" t="s">
        <v>74</v>
      </c>
      <c r="I16" t="s">
        <v>208</v>
      </c>
      <c r="J16" t="s">
        <v>209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74</v>
      </c>
      <c r="AB16" t="s">
        <v>74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210</v>
      </c>
      <c r="AP16" t="s">
        <v>211</v>
      </c>
      <c r="AQ16" t="s">
        <v>74</v>
      </c>
      <c r="AR16" t="s">
        <v>74</v>
      </c>
      <c r="AS16" t="s">
        <v>74</v>
      </c>
      <c r="AT16" t="s">
        <v>212</v>
      </c>
      <c r="AU16">
        <v>2024</v>
      </c>
      <c r="AV16">
        <v>626</v>
      </c>
      <c r="AW16">
        <v>7998</v>
      </c>
      <c r="AX16" t="s">
        <v>74</v>
      </c>
      <c r="AY16" t="s">
        <v>74</v>
      </c>
      <c r="AZ16" t="s">
        <v>74</v>
      </c>
      <c r="BA16" t="s">
        <v>74</v>
      </c>
      <c r="BB16" t="s">
        <v>74</v>
      </c>
      <c r="BC16" t="s">
        <v>74</v>
      </c>
      <c r="BD16" t="s">
        <v>74</v>
      </c>
      <c r="BE16" t="s">
        <v>213</v>
      </c>
      <c r="BF16" t="str">
        <f>HYPERLINK("http://dx.doi.org/10.1038/s41586-023-06931-7","http://dx.doi.org/10.1038/s41586-023-06931-7")</f>
        <v>http://dx.doi.org/10.1038/s41586-023-06931-7</v>
      </c>
      <c r="BG16" t="s">
        <v>74</v>
      </c>
      <c r="BH16" t="s">
        <v>74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>
        <v>38233526</v>
      </c>
      <c r="BO16" t="s">
        <v>74</v>
      </c>
      <c r="BP16" t="s">
        <v>74</v>
      </c>
      <c r="BQ16" t="s">
        <v>74</v>
      </c>
      <c r="BR16" t="s">
        <v>74</v>
      </c>
      <c r="BS16" t="s">
        <v>214</v>
      </c>
      <c r="BT16" t="str">
        <f>HYPERLINK("https%3A%2F%2Fwww.webofscience.com%2Fwos%2Fwoscc%2Ffull-record%2FWOS:001159144100006","View Full Record in Web of Science")</f>
        <v>View Full Record in Web of Science</v>
      </c>
    </row>
    <row r="17" spans="1:72" x14ac:dyDescent="0.2">
      <c r="A17" t="s">
        <v>72</v>
      </c>
      <c r="B17" t="s">
        <v>215</v>
      </c>
      <c r="C17" t="s">
        <v>74</v>
      </c>
      <c r="D17" t="s">
        <v>74</v>
      </c>
      <c r="E17" t="s">
        <v>74</v>
      </c>
      <c r="F17" t="s">
        <v>216</v>
      </c>
      <c r="G17" t="s">
        <v>74</v>
      </c>
      <c r="H17" t="s">
        <v>74</v>
      </c>
      <c r="I17" t="s">
        <v>217</v>
      </c>
      <c r="J17" t="s">
        <v>218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74</v>
      </c>
      <c r="AA17" t="s">
        <v>74</v>
      </c>
      <c r="AB17" t="s">
        <v>219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220</v>
      </c>
      <c r="AP17" t="s">
        <v>74</v>
      </c>
      <c r="AQ17" t="s">
        <v>74</v>
      </c>
      <c r="AR17" t="s">
        <v>74</v>
      </c>
      <c r="AS17" t="s">
        <v>74</v>
      </c>
      <c r="AT17" t="s">
        <v>221</v>
      </c>
      <c r="AU17">
        <v>2024</v>
      </c>
      <c r="AV17">
        <v>14</v>
      </c>
      <c r="AW17">
        <v>1</v>
      </c>
      <c r="AX17" t="s">
        <v>74</v>
      </c>
      <c r="AY17" t="s">
        <v>74</v>
      </c>
      <c r="AZ17" t="s">
        <v>74</v>
      </c>
      <c r="BA17" t="s">
        <v>74</v>
      </c>
      <c r="BB17" t="s">
        <v>74</v>
      </c>
      <c r="BC17" t="s">
        <v>74</v>
      </c>
      <c r="BD17">
        <v>3147</v>
      </c>
      <c r="BE17" t="s">
        <v>222</v>
      </c>
      <c r="BF17" t="str">
        <f>HYPERLINK("http://dx.doi.org/10.1038/s41598-024-53247-1","http://dx.doi.org/10.1038/s41598-024-53247-1")</f>
        <v>http://dx.doi.org/10.1038/s41598-024-53247-1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>
        <v>38326374</v>
      </c>
      <c r="BO17" t="s">
        <v>74</v>
      </c>
      <c r="BP17" t="s">
        <v>74</v>
      </c>
      <c r="BQ17" t="s">
        <v>74</v>
      </c>
      <c r="BR17" t="s">
        <v>74</v>
      </c>
      <c r="BS17" t="s">
        <v>223</v>
      </c>
      <c r="BT17" t="str">
        <f>HYPERLINK("https%3A%2F%2Fwww.webofscience.com%2Fwos%2Fwoscc%2Ffull-record%2FWOS:001158921600069","View Full Record in Web of Science")</f>
        <v>View Full Record in Web of Science</v>
      </c>
    </row>
    <row r="18" spans="1:72" x14ac:dyDescent="0.2">
      <c r="A18" t="s">
        <v>72</v>
      </c>
      <c r="B18" t="s">
        <v>224</v>
      </c>
      <c r="C18" t="s">
        <v>74</v>
      </c>
      <c r="D18" t="s">
        <v>74</v>
      </c>
      <c r="E18" t="s">
        <v>74</v>
      </c>
      <c r="F18" t="s">
        <v>225</v>
      </c>
      <c r="G18" t="s">
        <v>74</v>
      </c>
      <c r="H18" t="s">
        <v>74</v>
      </c>
      <c r="I18" t="s">
        <v>226</v>
      </c>
      <c r="J18" t="s">
        <v>227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 t="s">
        <v>74</v>
      </c>
      <c r="AA18" t="s">
        <v>228</v>
      </c>
      <c r="AB18" t="s">
        <v>229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230</v>
      </c>
      <c r="AP18" t="s">
        <v>231</v>
      </c>
      <c r="AQ18" t="s">
        <v>74</v>
      </c>
      <c r="AR18" t="s">
        <v>74</v>
      </c>
      <c r="AS18" t="s">
        <v>74</v>
      </c>
      <c r="AT18" t="s">
        <v>157</v>
      </c>
      <c r="AU18">
        <v>2024</v>
      </c>
      <c r="AV18">
        <v>69</v>
      </c>
      <c r="AW18">
        <v>3</v>
      </c>
      <c r="AX18" t="s">
        <v>74</v>
      </c>
      <c r="AY18" t="s">
        <v>74</v>
      </c>
      <c r="AZ18" t="s">
        <v>74</v>
      </c>
      <c r="BA18" t="s">
        <v>74</v>
      </c>
      <c r="BB18">
        <v>681</v>
      </c>
      <c r="BC18">
        <v>699</v>
      </c>
      <c r="BD18" t="s">
        <v>74</v>
      </c>
      <c r="BE18" t="s">
        <v>232</v>
      </c>
      <c r="BF18" t="str">
        <f>HYPERLINK("http://dx.doi.org/10.1002/lno.12523","http://dx.doi.org/10.1002/lno.12523")</f>
        <v>http://dx.doi.org/10.1002/lno.12523</v>
      </c>
      <c r="BG18" t="s">
        <v>74</v>
      </c>
      <c r="BH18" t="s">
        <v>185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 t="s">
        <v>233</v>
      </c>
      <c r="BT18" t="str">
        <f>HYPERLINK("https%3A%2F%2Fwww.webofscience.com%2Fwos%2Fwoscc%2Ffull-record%2FWOS:001155308300001","View Full Record in Web of Science")</f>
        <v>View Full Record in Web of Science</v>
      </c>
    </row>
    <row r="19" spans="1:72" x14ac:dyDescent="0.2">
      <c r="A19" t="s">
        <v>72</v>
      </c>
      <c r="B19" t="s">
        <v>234</v>
      </c>
      <c r="C19" t="s">
        <v>74</v>
      </c>
      <c r="D19" t="s">
        <v>74</v>
      </c>
      <c r="E19" t="s">
        <v>74</v>
      </c>
      <c r="F19" t="s">
        <v>235</v>
      </c>
      <c r="G19" t="s">
        <v>74</v>
      </c>
      <c r="H19" t="s">
        <v>74</v>
      </c>
      <c r="I19" t="s">
        <v>236</v>
      </c>
      <c r="J19" t="s">
        <v>227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237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230</v>
      </c>
      <c r="AP19" t="s">
        <v>231</v>
      </c>
      <c r="AQ19" t="s">
        <v>74</v>
      </c>
      <c r="AR19" t="s">
        <v>74</v>
      </c>
      <c r="AS19" t="s">
        <v>74</v>
      </c>
      <c r="AT19" t="s">
        <v>157</v>
      </c>
      <c r="AU19">
        <v>2024</v>
      </c>
      <c r="AV19">
        <v>69</v>
      </c>
      <c r="AW19">
        <v>3</v>
      </c>
      <c r="AX19" t="s">
        <v>74</v>
      </c>
      <c r="AY19" t="s">
        <v>74</v>
      </c>
      <c r="AZ19" t="s">
        <v>74</v>
      </c>
      <c r="BA19" t="s">
        <v>74</v>
      </c>
      <c r="BB19">
        <v>524</v>
      </c>
      <c r="BC19">
        <v>532</v>
      </c>
      <c r="BD19" t="s">
        <v>74</v>
      </c>
      <c r="BE19" t="s">
        <v>238</v>
      </c>
      <c r="BF19" t="str">
        <f>HYPERLINK("http://dx.doi.org/10.1002/lno.12503","http://dx.doi.org/10.1002/lno.12503")</f>
        <v>http://dx.doi.org/10.1002/lno.12503</v>
      </c>
      <c r="BG19" t="s">
        <v>74</v>
      </c>
      <c r="BH19" t="s">
        <v>239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 t="s">
        <v>240</v>
      </c>
      <c r="BT19" t="str">
        <f>HYPERLINK("https%3A%2F%2Fwww.webofscience.com%2Fwos%2Fwoscc%2Ffull-record%2FWOS:001138444300001","View Full Record in Web of Science")</f>
        <v>View Full Record in Web of Science</v>
      </c>
    </row>
    <row r="20" spans="1:72" x14ac:dyDescent="0.2">
      <c r="A20" t="s">
        <v>72</v>
      </c>
      <c r="B20" t="s">
        <v>241</v>
      </c>
      <c r="C20" t="s">
        <v>74</v>
      </c>
      <c r="D20" t="s">
        <v>74</v>
      </c>
      <c r="E20" t="s">
        <v>74</v>
      </c>
      <c r="F20" t="s">
        <v>242</v>
      </c>
      <c r="G20" t="s">
        <v>74</v>
      </c>
      <c r="H20" t="s">
        <v>74</v>
      </c>
      <c r="I20" t="s">
        <v>243</v>
      </c>
      <c r="J20" t="s">
        <v>244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245</v>
      </c>
      <c r="AB20" t="s">
        <v>246</v>
      </c>
      <c r="AC20" t="s">
        <v>74</v>
      </c>
      <c r="AD20" t="s">
        <v>74</v>
      </c>
      <c r="AE20" t="s">
        <v>74</v>
      </c>
      <c r="AF20" t="s">
        <v>74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t="s">
        <v>74</v>
      </c>
      <c r="AN20" t="s">
        <v>74</v>
      </c>
      <c r="AO20" t="s">
        <v>247</v>
      </c>
      <c r="AP20" t="s">
        <v>248</v>
      </c>
      <c r="AQ20" t="s">
        <v>74</v>
      </c>
      <c r="AR20" t="s">
        <v>74</v>
      </c>
      <c r="AS20" t="s">
        <v>74</v>
      </c>
      <c r="AT20" t="s">
        <v>74</v>
      </c>
      <c r="AU20">
        <v>2024</v>
      </c>
      <c r="AV20">
        <v>75</v>
      </c>
      <c r="AW20">
        <v>6</v>
      </c>
      <c r="AX20" t="s">
        <v>74</v>
      </c>
      <c r="AY20" t="s">
        <v>74</v>
      </c>
      <c r="AZ20" t="s">
        <v>74</v>
      </c>
      <c r="BA20" t="s">
        <v>74</v>
      </c>
      <c r="BB20" t="s">
        <v>74</v>
      </c>
      <c r="BC20" t="s">
        <v>74</v>
      </c>
      <c r="BD20" t="s">
        <v>249</v>
      </c>
      <c r="BE20" t="s">
        <v>250</v>
      </c>
      <c r="BF20" t="str">
        <f>HYPERLINK("http://dx.doi.org/10.1071/MF23173","http://dx.doi.org/10.1071/MF23173")</f>
        <v>http://dx.doi.org/10.1071/MF23173</v>
      </c>
      <c r="BG20" t="s">
        <v>74</v>
      </c>
      <c r="BH20" t="s">
        <v>74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 t="s">
        <v>251</v>
      </c>
      <c r="BT20" t="str">
        <f>HYPERLINK("https%3A%2F%2Fwww.webofscience.com%2Fwos%2Fwoscc%2Ffull-record%2FWOS:001200313200001","View Full Record in Web of Science")</f>
        <v>View Full Record in Web of Science</v>
      </c>
    </row>
    <row r="21" spans="1:72" x14ac:dyDescent="0.2">
      <c r="A21" t="s">
        <v>72</v>
      </c>
      <c r="B21" t="s">
        <v>252</v>
      </c>
      <c r="C21" t="s">
        <v>74</v>
      </c>
      <c r="D21" t="s">
        <v>74</v>
      </c>
      <c r="E21" t="s">
        <v>74</v>
      </c>
      <c r="F21" t="s">
        <v>253</v>
      </c>
      <c r="G21" t="s">
        <v>74</v>
      </c>
      <c r="H21" t="s">
        <v>74</v>
      </c>
      <c r="I21" t="s">
        <v>254</v>
      </c>
      <c r="J21" t="s">
        <v>218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255</v>
      </c>
      <c r="AB21" t="s">
        <v>256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220</v>
      </c>
      <c r="AP21" t="s">
        <v>74</v>
      </c>
      <c r="AQ21" t="s">
        <v>74</v>
      </c>
      <c r="AR21" t="s">
        <v>74</v>
      </c>
      <c r="AS21" t="s">
        <v>74</v>
      </c>
      <c r="AT21" t="s">
        <v>257</v>
      </c>
      <c r="AU21">
        <v>2023</v>
      </c>
      <c r="AV21">
        <v>13</v>
      </c>
      <c r="AW21">
        <v>1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>
        <v>22947</v>
      </c>
      <c r="BE21" t="s">
        <v>258</v>
      </c>
      <c r="BF21" t="str">
        <f>HYPERLINK("http://dx.doi.org/10.1038/s41598-023-50146-9","http://dx.doi.org/10.1038/s41598-023-50146-9")</f>
        <v>http://dx.doi.org/10.1038/s41598-023-50146-9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>
        <v>38135700</v>
      </c>
      <c r="BO21" t="s">
        <v>74</v>
      </c>
      <c r="BP21" t="s">
        <v>74</v>
      </c>
      <c r="BQ21" t="s">
        <v>74</v>
      </c>
      <c r="BR21" t="s">
        <v>74</v>
      </c>
      <c r="BS21" t="s">
        <v>259</v>
      </c>
      <c r="BT21" t="str">
        <f>HYPERLINK("https%3A%2F%2Fwww.webofscience.com%2Fwos%2Fwoscc%2Ffull-record%2FWOS:001129675600009","View Full Record in Web of Science")</f>
        <v>View Full Record in Web of Science</v>
      </c>
    </row>
    <row r="22" spans="1:72" x14ac:dyDescent="0.2">
      <c r="A22" t="s">
        <v>72</v>
      </c>
      <c r="B22" t="s">
        <v>260</v>
      </c>
      <c r="C22" t="s">
        <v>74</v>
      </c>
      <c r="D22" t="s">
        <v>74</v>
      </c>
      <c r="E22" t="s">
        <v>74</v>
      </c>
      <c r="F22" t="s">
        <v>261</v>
      </c>
      <c r="G22" t="s">
        <v>74</v>
      </c>
      <c r="H22" t="s">
        <v>74</v>
      </c>
      <c r="I22" t="s">
        <v>262</v>
      </c>
      <c r="J22" t="s">
        <v>263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74</v>
      </c>
      <c r="AA22" t="s">
        <v>264</v>
      </c>
      <c r="AB22" t="s">
        <v>74</v>
      </c>
      <c r="AC22" t="s">
        <v>74</v>
      </c>
      <c r="AD22" t="s">
        <v>74</v>
      </c>
      <c r="AE22" t="s">
        <v>74</v>
      </c>
      <c r="AF22" t="s">
        <v>74</v>
      </c>
      <c r="AG22" t="s">
        <v>74</v>
      </c>
      <c r="AH22" t="s">
        <v>74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265</v>
      </c>
      <c r="AP22" t="s">
        <v>266</v>
      </c>
      <c r="AQ22" t="s">
        <v>74</v>
      </c>
      <c r="AR22" t="s">
        <v>74</v>
      </c>
      <c r="AS22" t="s">
        <v>74</v>
      </c>
      <c r="AT22" t="s">
        <v>82</v>
      </c>
      <c r="AU22">
        <v>2023</v>
      </c>
      <c r="AV22">
        <v>2</v>
      </c>
      <c r="AW22">
        <v>4</v>
      </c>
      <c r="AX22" t="s">
        <v>74</v>
      </c>
      <c r="AY22" t="s">
        <v>74</v>
      </c>
      <c r="AZ22" t="s">
        <v>74</v>
      </c>
      <c r="BA22" t="s">
        <v>74</v>
      </c>
      <c r="BB22">
        <v>401</v>
      </c>
      <c r="BC22">
        <v>415</v>
      </c>
      <c r="BD22" t="s">
        <v>74</v>
      </c>
      <c r="BE22" t="s">
        <v>267</v>
      </c>
      <c r="BF22" t="str">
        <f>HYPERLINK("http://dx.doi.org/10.1002/mlf2.12094","http://dx.doi.org/10.1002/mlf2.12094")</f>
        <v>http://dx.doi.org/10.1002/mlf2.12094</v>
      </c>
      <c r="BG22" t="s">
        <v>74</v>
      </c>
      <c r="BH22" t="s">
        <v>268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>
        <v>38818269</v>
      </c>
      <c r="BO22" t="s">
        <v>74</v>
      </c>
      <c r="BP22" t="s">
        <v>74</v>
      </c>
      <c r="BQ22" t="s">
        <v>74</v>
      </c>
      <c r="BR22" t="s">
        <v>74</v>
      </c>
      <c r="BS22" t="s">
        <v>269</v>
      </c>
      <c r="BT22" t="str">
        <f>HYPERLINK("https%3A%2F%2Fwww.webofscience.com%2Fwos%2Fwoscc%2Ffull-record%2FWOS:001127307900001","View Full Record in Web of Science")</f>
        <v>View Full Record in Web of Science</v>
      </c>
    </row>
    <row r="23" spans="1:72" x14ac:dyDescent="0.2">
      <c r="A23" t="s">
        <v>72</v>
      </c>
      <c r="B23" t="s">
        <v>270</v>
      </c>
      <c r="C23" t="s">
        <v>74</v>
      </c>
      <c r="D23" t="s">
        <v>74</v>
      </c>
      <c r="E23" t="s">
        <v>74</v>
      </c>
      <c r="F23" t="s">
        <v>271</v>
      </c>
      <c r="G23" t="s">
        <v>74</v>
      </c>
      <c r="H23" t="s">
        <v>74</v>
      </c>
      <c r="I23" t="s">
        <v>272</v>
      </c>
      <c r="J23" t="s">
        <v>273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74</v>
      </c>
      <c r="Y23" t="s">
        <v>74</v>
      </c>
      <c r="Z23" t="s">
        <v>74</v>
      </c>
      <c r="AA23" t="s">
        <v>74</v>
      </c>
      <c r="AB23" t="s">
        <v>74</v>
      </c>
      <c r="AC23" t="s">
        <v>74</v>
      </c>
      <c r="AD23" t="s">
        <v>74</v>
      </c>
      <c r="AE23" t="s">
        <v>74</v>
      </c>
      <c r="AF23" t="s">
        <v>74</v>
      </c>
      <c r="AG23" t="s">
        <v>74</v>
      </c>
      <c r="AH23" t="s">
        <v>74</v>
      </c>
      <c r="AI23" t="s">
        <v>74</v>
      </c>
      <c r="AJ23" t="s">
        <v>74</v>
      </c>
      <c r="AK23" t="s">
        <v>74</v>
      </c>
      <c r="AL23" t="s">
        <v>74</v>
      </c>
      <c r="AM23" t="s">
        <v>74</v>
      </c>
      <c r="AN23" t="s">
        <v>74</v>
      </c>
      <c r="AO23" t="s">
        <v>274</v>
      </c>
      <c r="AP23" t="s">
        <v>275</v>
      </c>
      <c r="AQ23" t="s">
        <v>74</v>
      </c>
      <c r="AR23" t="s">
        <v>74</v>
      </c>
      <c r="AS23" t="s">
        <v>74</v>
      </c>
      <c r="AT23" t="s">
        <v>276</v>
      </c>
      <c r="AU23">
        <v>2024</v>
      </c>
      <c r="AV23">
        <v>243</v>
      </c>
      <c r="AW23" t="s">
        <v>74</v>
      </c>
      <c r="AX23" t="s">
        <v>74</v>
      </c>
      <c r="AY23" t="s">
        <v>74</v>
      </c>
      <c r="AZ23" t="s">
        <v>74</v>
      </c>
      <c r="BA23" t="s">
        <v>74</v>
      </c>
      <c r="BB23" t="s">
        <v>74</v>
      </c>
      <c r="BC23" t="s">
        <v>74</v>
      </c>
      <c r="BD23">
        <v>117896</v>
      </c>
      <c r="BE23" t="s">
        <v>277</v>
      </c>
      <c r="BF23" t="str">
        <f>HYPERLINK("http://dx.doi.org/10.1016/j.envres.2023.117896","http://dx.doi.org/10.1016/j.envres.2023.117896")</f>
        <v>http://dx.doi.org/10.1016/j.envres.2023.117896</v>
      </c>
      <c r="BG23" t="s">
        <v>74</v>
      </c>
      <c r="BH23" t="s">
        <v>268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>
        <v>38081348</v>
      </c>
      <c r="BO23" t="s">
        <v>74</v>
      </c>
      <c r="BP23" t="s">
        <v>74</v>
      </c>
      <c r="BQ23" t="s">
        <v>74</v>
      </c>
      <c r="BR23" t="s">
        <v>74</v>
      </c>
      <c r="BS23" t="s">
        <v>278</v>
      </c>
      <c r="BT23" t="str">
        <f>HYPERLINK("https%3A%2F%2Fwww.webofscience.com%2Fwos%2Fwoscc%2Ffull-record%2FWOS:001138059500001","View Full Record in Web of Science")</f>
        <v>View Full Record in Web of Science</v>
      </c>
    </row>
    <row r="24" spans="1:72" x14ac:dyDescent="0.2">
      <c r="A24" t="s">
        <v>72</v>
      </c>
      <c r="B24" t="s">
        <v>279</v>
      </c>
      <c r="C24" t="s">
        <v>74</v>
      </c>
      <c r="D24" t="s">
        <v>74</v>
      </c>
      <c r="E24" t="s">
        <v>74</v>
      </c>
      <c r="F24" t="s">
        <v>280</v>
      </c>
      <c r="G24" t="s">
        <v>74</v>
      </c>
      <c r="H24" t="s">
        <v>74</v>
      </c>
      <c r="I24" t="s">
        <v>281</v>
      </c>
      <c r="J24" t="s">
        <v>282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74</v>
      </c>
      <c r="W24" t="s">
        <v>74</v>
      </c>
      <c r="X24" t="s">
        <v>74</v>
      </c>
      <c r="Y24" t="s">
        <v>74</v>
      </c>
      <c r="Z24" t="s">
        <v>74</v>
      </c>
      <c r="AA24" t="s">
        <v>283</v>
      </c>
      <c r="AB24" t="s">
        <v>6779</v>
      </c>
      <c r="AC24" t="s">
        <v>74</v>
      </c>
      <c r="AD24" t="s">
        <v>74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284</v>
      </c>
      <c r="AP24" t="s">
        <v>285</v>
      </c>
      <c r="AQ24" t="s">
        <v>74</v>
      </c>
      <c r="AR24" t="s">
        <v>74</v>
      </c>
      <c r="AS24" t="s">
        <v>74</v>
      </c>
      <c r="AT24" t="s">
        <v>286</v>
      </c>
      <c r="AU24">
        <v>2024</v>
      </c>
      <c r="AV24">
        <v>59</v>
      </c>
      <c r="AW24">
        <v>2</v>
      </c>
      <c r="AX24" t="s">
        <v>74</v>
      </c>
      <c r="AY24" t="s">
        <v>74</v>
      </c>
      <c r="AZ24" t="s">
        <v>74</v>
      </c>
      <c r="BA24" t="s">
        <v>74</v>
      </c>
      <c r="BB24">
        <v>169</v>
      </c>
      <c r="BC24">
        <v>183</v>
      </c>
      <c r="BD24" t="s">
        <v>74</v>
      </c>
      <c r="BE24" t="s">
        <v>287</v>
      </c>
      <c r="BF24" t="str">
        <f>HYPERLINK("http://dx.doi.org/10.1080/09670262.2023.2274080","http://dx.doi.org/10.1080/09670262.2023.2274080")</f>
        <v>http://dx.doi.org/10.1080/09670262.2023.2274080</v>
      </c>
      <c r="BG24" t="s">
        <v>74</v>
      </c>
      <c r="BH24" t="s">
        <v>268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 t="s">
        <v>74</v>
      </c>
      <c r="BR24" t="s">
        <v>74</v>
      </c>
      <c r="BS24" t="s">
        <v>288</v>
      </c>
      <c r="BT24" t="str">
        <f>HYPERLINK("https%3A%2F%2Fwww.webofscience.com%2Fwos%2Fwoscc%2Ffull-record%2FWOS:001119041300001","View Full Record in Web of Science")</f>
        <v>View Full Record in Web of Science</v>
      </c>
    </row>
    <row r="25" spans="1:72" x14ac:dyDescent="0.2">
      <c r="A25" t="s">
        <v>72</v>
      </c>
      <c r="B25" t="s">
        <v>289</v>
      </c>
      <c r="C25" t="s">
        <v>74</v>
      </c>
      <c r="D25" t="s">
        <v>74</v>
      </c>
      <c r="E25" t="s">
        <v>74</v>
      </c>
      <c r="F25" t="s">
        <v>290</v>
      </c>
      <c r="G25" t="s">
        <v>74</v>
      </c>
      <c r="H25" t="s">
        <v>74</v>
      </c>
      <c r="I25" t="s">
        <v>291</v>
      </c>
      <c r="J25" t="s">
        <v>292</v>
      </c>
      <c r="K25" t="s">
        <v>74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74</v>
      </c>
      <c r="AA25" t="s">
        <v>74</v>
      </c>
      <c r="AB25" t="s">
        <v>293</v>
      </c>
      <c r="AC25" t="s">
        <v>74</v>
      </c>
      <c r="AD25" t="s">
        <v>74</v>
      </c>
      <c r="AE25" t="s">
        <v>74</v>
      </c>
      <c r="AF25" t="s">
        <v>74</v>
      </c>
      <c r="AG25" t="s">
        <v>74</v>
      </c>
      <c r="AH25" t="s">
        <v>74</v>
      </c>
      <c r="AI25" t="s">
        <v>74</v>
      </c>
      <c r="AJ25" t="s">
        <v>74</v>
      </c>
      <c r="AK25" t="s">
        <v>74</v>
      </c>
      <c r="AL25" t="s">
        <v>74</v>
      </c>
      <c r="AM25" t="s">
        <v>74</v>
      </c>
      <c r="AN25" t="s">
        <v>74</v>
      </c>
      <c r="AO25" t="s">
        <v>74</v>
      </c>
      <c r="AP25" t="s">
        <v>294</v>
      </c>
      <c r="AQ25" t="s">
        <v>74</v>
      </c>
      <c r="AR25" t="s">
        <v>74</v>
      </c>
      <c r="AS25" t="s">
        <v>74</v>
      </c>
      <c r="AT25" t="s">
        <v>82</v>
      </c>
      <c r="AU25">
        <v>2023</v>
      </c>
      <c r="AV25">
        <v>15</v>
      </c>
      <c r="AW25">
        <v>12</v>
      </c>
      <c r="AX25" t="s">
        <v>74</v>
      </c>
      <c r="AY25" t="s">
        <v>74</v>
      </c>
      <c r="AZ25" t="s">
        <v>74</v>
      </c>
      <c r="BA25" t="s">
        <v>74</v>
      </c>
      <c r="BB25" t="s">
        <v>74</v>
      </c>
      <c r="BC25" t="s">
        <v>74</v>
      </c>
      <c r="BD25">
        <v>1214</v>
      </c>
      <c r="BE25" t="s">
        <v>295</v>
      </c>
      <c r="BF25" t="str">
        <f>HYPERLINK("http://dx.doi.org/10.3390/d15121214","http://dx.doi.org/10.3390/d15121214")</f>
        <v>http://dx.doi.org/10.3390/d15121214</v>
      </c>
      <c r="BG25" t="s">
        <v>74</v>
      </c>
      <c r="BH25" t="s">
        <v>74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">
        <v>296</v>
      </c>
      <c r="BT25" t="str">
        <f>HYPERLINK("https%3A%2F%2Fwww.webofscience.com%2Fwos%2Fwoscc%2Ffull-record%2FWOS:001135967300001","View Full Record in Web of Science")</f>
        <v>View Full Record in Web of Science</v>
      </c>
    </row>
    <row r="26" spans="1:72" x14ac:dyDescent="0.2">
      <c r="A26" t="s">
        <v>72</v>
      </c>
      <c r="B26" t="s">
        <v>297</v>
      </c>
      <c r="C26" t="s">
        <v>74</v>
      </c>
      <c r="D26" t="s">
        <v>74</v>
      </c>
      <c r="E26" t="s">
        <v>74</v>
      </c>
      <c r="F26" t="s">
        <v>298</v>
      </c>
      <c r="G26" t="s">
        <v>74</v>
      </c>
      <c r="H26" t="s">
        <v>74</v>
      </c>
      <c r="I26" t="s">
        <v>299</v>
      </c>
      <c r="J26" t="s">
        <v>300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  <c r="Z26" t="s">
        <v>74</v>
      </c>
      <c r="AA26" t="s">
        <v>74</v>
      </c>
      <c r="AB26" t="s">
        <v>74</v>
      </c>
      <c r="AC26" t="s">
        <v>74</v>
      </c>
      <c r="AD26" t="s">
        <v>74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301</v>
      </c>
      <c r="AP26" t="s">
        <v>302</v>
      </c>
      <c r="AQ26" t="s">
        <v>74</v>
      </c>
      <c r="AR26" t="s">
        <v>74</v>
      </c>
      <c r="AS26" t="s">
        <v>74</v>
      </c>
      <c r="AT26" t="s">
        <v>303</v>
      </c>
      <c r="AU26">
        <v>2023</v>
      </c>
      <c r="AV26">
        <v>43</v>
      </c>
      <c r="AW26">
        <v>4</v>
      </c>
      <c r="AX26" t="s">
        <v>74</v>
      </c>
      <c r="AY26" t="s">
        <v>74</v>
      </c>
      <c r="AZ26" t="s">
        <v>74</v>
      </c>
      <c r="BA26" t="s">
        <v>74</v>
      </c>
      <c r="BB26" t="s">
        <v>74</v>
      </c>
      <c r="BC26" t="s">
        <v>74</v>
      </c>
      <c r="BD26" t="s">
        <v>304</v>
      </c>
      <c r="BE26" t="s">
        <v>305</v>
      </c>
      <c r="BF26" t="str">
        <f>HYPERLINK("http://dx.doi.org/10.1093/jcbiol/ruad070","http://dx.doi.org/10.1093/jcbiol/ruad070")</f>
        <v>http://dx.doi.org/10.1093/jcbiol/ruad070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 t="s">
        <v>306</v>
      </c>
      <c r="BT26" t="str">
        <f>HYPERLINK("https%3A%2F%2Fwww.webofscience.com%2Fwos%2Fwoscc%2Ffull-record%2FWOS:001110210500002","View Full Record in Web of Science")</f>
        <v>View Full Record in Web of Science</v>
      </c>
    </row>
    <row r="27" spans="1:72" x14ac:dyDescent="0.2">
      <c r="A27" t="s">
        <v>72</v>
      </c>
      <c r="B27" t="s">
        <v>307</v>
      </c>
      <c r="C27" t="s">
        <v>74</v>
      </c>
      <c r="D27" t="s">
        <v>74</v>
      </c>
      <c r="E27" t="s">
        <v>74</v>
      </c>
      <c r="F27" t="s">
        <v>308</v>
      </c>
      <c r="G27" t="s">
        <v>74</v>
      </c>
      <c r="H27" t="s">
        <v>74</v>
      </c>
      <c r="I27" t="s">
        <v>309</v>
      </c>
      <c r="J27" t="s">
        <v>310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74</v>
      </c>
      <c r="Y27" t="s">
        <v>74</v>
      </c>
      <c r="Z27" t="s">
        <v>74</v>
      </c>
      <c r="AA27" t="s">
        <v>311</v>
      </c>
      <c r="AB27" t="s">
        <v>312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313</v>
      </c>
      <c r="AP27" t="s">
        <v>314</v>
      </c>
      <c r="AQ27" t="s">
        <v>74</v>
      </c>
      <c r="AR27" t="s">
        <v>74</v>
      </c>
      <c r="AS27" t="s">
        <v>74</v>
      </c>
      <c r="AT27" t="s">
        <v>315</v>
      </c>
      <c r="AU27">
        <v>2024</v>
      </c>
      <c r="AV27">
        <v>30</v>
      </c>
      <c r="AW27">
        <v>1</v>
      </c>
      <c r="AX27" t="s">
        <v>74</v>
      </c>
      <c r="AY27" t="s">
        <v>74</v>
      </c>
      <c r="AZ27" t="s">
        <v>74</v>
      </c>
      <c r="BA27" t="s">
        <v>74</v>
      </c>
      <c r="BB27" t="s">
        <v>74</v>
      </c>
      <c r="BC27" t="s">
        <v>74</v>
      </c>
      <c r="BD27" t="s">
        <v>74</v>
      </c>
      <c r="BE27" t="s">
        <v>316</v>
      </c>
      <c r="BF27" t="str">
        <f>HYPERLINK("http://dx.doi.org/10.1111/gcb.17049","http://dx.doi.org/10.1111/gcb.17049")</f>
        <v>http://dx.doi.org/10.1111/gcb.17049</v>
      </c>
      <c r="BG27" t="s">
        <v>74</v>
      </c>
      <c r="BH27" t="s">
        <v>317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>
        <v>37988188</v>
      </c>
      <c r="BO27" t="s">
        <v>74</v>
      </c>
      <c r="BP27" t="s">
        <v>74</v>
      </c>
      <c r="BQ27" t="s">
        <v>74</v>
      </c>
      <c r="BR27" t="s">
        <v>74</v>
      </c>
      <c r="BS27" t="s">
        <v>318</v>
      </c>
      <c r="BT27" t="str">
        <f>HYPERLINK("https%3A%2F%2Fwww.webofscience.com%2Fwos%2Fwoscc%2Ffull-record%2FWOS:001105424600001","View Full Record in Web of Science")</f>
        <v>View Full Record in Web of Science</v>
      </c>
    </row>
    <row r="28" spans="1:72" x14ac:dyDescent="0.2">
      <c r="A28" t="s">
        <v>72</v>
      </c>
      <c r="B28" t="s">
        <v>319</v>
      </c>
      <c r="C28" t="s">
        <v>74</v>
      </c>
      <c r="D28" t="s">
        <v>74</v>
      </c>
      <c r="E28" t="s">
        <v>74</v>
      </c>
      <c r="F28" t="s">
        <v>320</v>
      </c>
      <c r="G28" t="s">
        <v>74</v>
      </c>
      <c r="H28" t="s">
        <v>74</v>
      </c>
      <c r="I28" t="s">
        <v>321</v>
      </c>
      <c r="J28" t="s">
        <v>322</v>
      </c>
      <c r="K28" t="s">
        <v>74</v>
      </c>
      <c r="L28" t="s">
        <v>74</v>
      </c>
      <c r="M28" t="s">
        <v>74</v>
      </c>
      <c r="N28" t="s">
        <v>74</v>
      </c>
      <c r="O28" t="s">
        <v>74</v>
      </c>
      <c r="P28" t="s">
        <v>74</v>
      </c>
      <c r="Q28" t="s">
        <v>74</v>
      </c>
      <c r="R28" t="s">
        <v>74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74</v>
      </c>
      <c r="Y28" t="s">
        <v>74</v>
      </c>
      <c r="Z28" t="s">
        <v>74</v>
      </c>
      <c r="AA28" t="s">
        <v>323</v>
      </c>
      <c r="AB28" t="s">
        <v>6780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324</v>
      </c>
      <c r="AP28" t="s">
        <v>325</v>
      </c>
      <c r="AQ28" t="s">
        <v>74</v>
      </c>
      <c r="AR28" t="s">
        <v>74</v>
      </c>
      <c r="AS28" t="s">
        <v>74</v>
      </c>
      <c r="AT28" t="s">
        <v>82</v>
      </c>
      <c r="AU28">
        <v>2023</v>
      </c>
      <c r="AV28">
        <v>25</v>
      </c>
      <c r="AW28">
        <v>12</v>
      </c>
      <c r="AX28" t="s">
        <v>74</v>
      </c>
      <c r="AY28" t="s">
        <v>74</v>
      </c>
      <c r="AZ28" t="s">
        <v>74</v>
      </c>
      <c r="BA28" t="s">
        <v>74</v>
      </c>
      <c r="BB28">
        <v>3406</v>
      </c>
      <c r="BC28">
        <v>3422</v>
      </c>
      <c r="BD28" t="s">
        <v>74</v>
      </c>
      <c r="BE28" t="s">
        <v>326</v>
      </c>
      <c r="BF28" t="str">
        <f>HYPERLINK("http://dx.doi.org/10.1111/1462-2920.16531","http://dx.doi.org/10.1111/1462-2920.16531")</f>
        <v>http://dx.doi.org/10.1111/1462-2920.16531</v>
      </c>
      <c r="BG28" t="s">
        <v>74</v>
      </c>
      <c r="BH28" t="s">
        <v>317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>
        <v>37916456</v>
      </c>
      <c r="BO28" t="s">
        <v>74</v>
      </c>
      <c r="BP28" t="s">
        <v>74</v>
      </c>
      <c r="BQ28" t="s">
        <v>74</v>
      </c>
      <c r="BR28" t="s">
        <v>74</v>
      </c>
      <c r="BS28" t="s">
        <v>327</v>
      </c>
      <c r="BT28" t="str">
        <f>HYPERLINK("https%3A%2F%2Fwww.webofscience.com%2Fwos%2Fwoscc%2Ffull-record%2FWOS:001097007400001","View Full Record in Web of Science")</f>
        <v>View Full Record in Web of Science</v>
      </c>
    </row>
    <row r="29" spans="1:72" x14ac:dyDescent="0.2">
      <c r="A29" t="s">
        <v>72</v>
      </c>
      <c r="B29" t="s">
        <v>328</v>
      </c>
      <c r="C29" t="s">
        <v>74</v>
      </c>
      <c r="D29" t="s">
        <v>74</v>
      </c>
      <c r="E29" t="s">
        <v>74</v>
      </c>
      <c r="F29" t="s">
        <v>329</v>
      </c>
      <c r="G29" t="s">
        <v>74</v>
      </c>
      <c r="H29" t="s">
        <v>74</v>
      </c>
      <c r="I29" t="s">
        <v>330</v>
      </c>
      <c r="J29" t="s">
        <v>331</v>
      </c>
      <c r="K29" t="s">
        <v>74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74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74</v>
      </c>
      <c r="Y29" t="s">
        <v>74</v>
      </c>
      <c r="Z29" t="s">
        <v>74</v>
      </c>
      <c r="AA29" t="s">
        <v>332</v>
      </c>
      <c r="AB29" t="s">
        <v>333</v>
      </c>
      <c r="AC29" t="s">
        <v>74</v>
      </c>
      <c r="AD29" t="s">
        <v>74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74</v>
      </c>
      <c r="AP29" t="s">
        <v>334</v>
      </c>
      <c r="AQ29" t="s">
        <v>74</v>
      </c>
      <c r="AR29" t="s">
        <v>74</v>
      </c>
      <c r="AS29" t="s">
        <v>74</v>
      </c>
      <c r="AT29" t="s">
        <v>335</v>
      </c>
      <c r="AU29">
        <v>2023</v>
      </c>
      <c r="AV29">
        <v>15</v>
      </c>
      <c r="AW29">
        <v>21</v>
      </c>
      <c r="AX29" t="s">
        <v>74</v>
      </c>
      <c r="AY29" t="s">
        <v>74</v>
      </c>
      <c r="AZ29" t="s">
        <v>74</v>
      </c>
      <c r="BA29" t="s">
        <v>74</v>
      </c>
      <c r="BB29" t="s">
        <v>74</v>
      </c>
      <c r="BC29" t="s">
        <v>74</v>
      </c>
      <c r="BD29">
        <v>3774</v>
      </c>
      <c r="BE29" t="s">
        <v>336</v>
      </c>
      <c r="BF29" t="str">
        <f>HYPERLINK("http://dx.doi.org/10.3390/w15213774","http://dx.doi.org/10.3390/w15213774")</f>
        <v>http://dx.doi.org/10.3390/w15213774</v>
      </c>
      <c r="BG29" t="s">
        <v>74</v>
      </c>
      <c r="BH29" t="s">
        <v>74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74</v>
      </c>
      <c r="BP29" t="s">
        <v>74</v>
      </c>
      <c r="BQ29" t="s">
        <v>74</v>
      </c>
      <c r="BR29" t="s">
        <v>74</v>
      </c>
      <c r="BS29" t="s">
        <v>337</v>
      </c>
      <c r="BT29" t="str">
        <f>HYPERLINK("https%3A%2F%2Fwww.webofscience.com%2Fwos%2Fwoscc%2Ffull-record%2FWOS:001100321400001","View Full Record in Web of Science")</f>
        <v>View Full Record in Web of Science</v>
      </c>
    </row>
    <row r="30" spans="1:72" x14ac:dyDescent="0.2">
      <c r="A30" t="s">
        <v>72</v>
      </c>
      <c r="B30" t="s">
        <v>338</v>
      </c>
      <c r="C30" t="s">
        <v>74</v>
      </c>
      <c r="D30" t="s">
        <v>74</v>
      </c>
      <c r="E30" t="s">
        <v>74</v>
      </c>
      <c r="F30" t="s">
        <v>339</v>
      </c>
      <c r="G30" t="s">
        <v>74</v>
      </c>
      <c r="H30" t="s">
        <v>74</v>
      </c>
      <c r="I30" t="s">
        <v>340</v>
      </c>
      <c r="J30" t="s">
        <v>341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74</v>
      </c>
      <c r="T30" t="s">
        <v>74</v>
      </c>
      <c r="U30" t="s">
        <v>74</v>
      </c>
      <c r="V30" t="s">
        <v>74</v>
      </c>
      <c r="W30" t="s">
        <v>74</v>
      </c>
      <c r="X30" t="s">
        <v>74</v>
      </c>
      <c r="Y30" t="s">
        <v>74</v>
      </c>
      <c r="Z30" t="s">
        <v>74</v>
      </c>
      <c r="AA30" t="s">
        <v>342</v>
      </c>
      <c r="AB30" t="s">
        <v>74</v>
      </c>
      <c r="AC30" t="s">
        <v>74</v>
      </c>
      <c r="AD30" t="s">
        <v>74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343</v>
      </c>
      <c r="AP30" t="s">
        <v>344</v>
      </c>
      <c r="AQ30" t="s">
        <v>74</v>
      </c>
      <c r="AR30" t="s">
        <v>74</v>
      </c>
      <c r="AS30" t="s">
        <v>74</v>
      </c>
      <c r="AT30" t="s">
        <v>82</v>
      </c>
      <c r="AU30">
        <v>2023</v>
      </c>
      <c r="AV30">
        <v>202</v>
      </c>
      <c r="AW30" t="s">
        <v>74</v>
      </c>
      <c r="AX30" t="s">
        <v>74</v>
      </c>
      <c r="AY30" t="s">
        <v>74</v>
      </c>
      <c r="AZ30" t="s">
        <v>74</v>
      </c>
      <c r="BA30" t="s">
        <v>74</v>
      </c>
      <c r="BB30" t="s">
        <v>74</v>
      </c>
      <c r="BC30" t="s">
        <v>74</v>
      </c>
      <c r="BD30">
        <v>104190</v>
      </c>
      <c r="BE30" t="s">
        <v>345</v>
      </c>
      <c r="BF30" t="str">
        <f>HYPERLINK("http://dx.doi.org/10.1016/j.dsr.2023.104190","http://dx.doi.org/10.1016/j.dsr.2023.104190")</f>
        <v>http://dx.doi.org/10.1016/j.dsr.2023.104190</v>
      </c>
      <c r="BG30" t="s">
        <v>74</v>
      </c>
      <c r="BH30" t="s">
        <v>317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 t="s">
        <v>346</v>
      </c>
      <c r="BT30" t="str">
        <f>HYPERLINK("https%3A%2F%2Fwww.webofscience.com%2Fwos%2Fwoscc%2Ffull-record%2FWOS:001107001500001","View Full Record in Web of Science")</f>
        <v>View Full Record in Web of Science</v>
      </c>
    </row>
    <row r="31" spans="1:72" x14ac:dyDescent="0.2">
      <c r="A31" t="s">
        <v>72</v>
      </c>
      <c r="B31" t="s">
        <v>347</v>
      </c>
      <c r="C31" t="s">
        <v>74</v>
      </c>
      <c r="D31" t="s">
        <v>74</v>
      </c>
      <c r="E31" t="s">
        <v>74</v>
      </c>
      <c r="F31" t="s">
        <v>348</v>
      </c>
      <c r="G31" t="s">
        <v>74</v>
      </c>
      <c r="H31" t="s">
        <v>74</v>
      </c>
      <c r="I31" t="s">
        <v>349</v>
      </c>
      <c r="J31" t="s">
        <v>350</v>
      </c>
      <c r="K31" t="s">
        <v>74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74</v>
      </c>
      <c r="U31" t="s">
        <v>74</v>
      </c>
      <c r="V31" t="s">
        <v>74</v>
      </c>
      <c r="W31" t="s">
        <v>74</v>
      </c>
      <c r="X31" t="s">
        <v>74</v>
      </c>
      <c r="Y31" t="s">
        <v>74</v>
      </c>
      <c r="Z31" t="s">
        <v>74</v>
      </c>
      <c r="AA31" t="s">
        <v>6781</v>
      </c>
      <c r="AB31" t="s">
        <v>351</v>
      </c>
      <c r="AC31" t="s">
        <v>74</v>
      </c>
      <c r="AD31" t="s">
        <v>74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352</v>
      </c>
      <c r="AP31" t="s">
        <v>353</v>
      </c>
      <c r="AQ31" t="s">
        <v>74</v>
      </c>
      <c r="AR31" t="s">
        <v>74</v>
      </c>
      <c r="AS31" t="s">
        <v>74</v>
      </c>
      <c r="AT31" t="s">
        <v>335</v>
      </c>
      <c r="AU31">
        <v>2023</v>
      </c>
      <c r="AV31">
        <v>30</v>
      </c>
      <c r="AW31">
        <v>54</v>
      </c>
      <c r="AX31" t="s">
        <v>74</v>
      </c>
      <c r="AY31" t="s">
        <v>74</v>
      </c>
      <c r="AZ31" t="s">
        <v>74</v>
      </c>
      <c r="BA31" t="s">
        <v>74</v>
      </c>
      <c r="BB31">
        <v>115805</v>
      </c>
      <c r="BC31">
        <v>115819</v>
      </c>
      <c r="BD31" t="s">
        <v>74</v>
      </c>
      <c r="BE31" t="s">
        <v>354</v>
      </c>
      <c r="BF31" t="str">
        <f>HYPERLINK("http://dx.doi.org/10.1007/s11356-023-30609-2","http://dx.doi.org/10.1007/s11356-023-30609-2")</f>
        <v>http://dx.doi.org/10.1007/s11356-023-30609-2</v>
      </c>
      <c r="BG31" t="s">
        <v>74</v>
      </c>
      <c r="BH31" t="s">
        <v>355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>
        <v>37889416</v>
      </c>
      <c r="BO31" t="s">
        <v>74</v>
      </c>
      <c r="BP31" t="s">
        <v>74</v>
      </c>
      <c r="BQ31" t="s">
        <v>74</v>
      </c>
      <c r="BR31" t="s">
        <v>74</v>
      </c>
      <c r="BS31" t="s">
        <v>356</v>
      </c>
      <c r="BT31" t="str">
        <f>HYPERLINK("https%3A%2F%2Fwww.webofscience.com%2Fwos%2Fwoscc%2Ffull-record%2FWOS:001092083000005","View Full Record in Web of Science")</f>
        <v>View Full Record in Web of Science</v>
      </c>
    </row>
    <row r="32" spans="1:72" x14ac:dyDescent="0.2">
      <c r="A32" t="s">
        <v>72</v>
      </c>
      <c r="B32" t="s">
        <v>357</v>
      </c>
      <c r="C32" t="s">
        <v>74</v>
      </c>
      <c r="D32" t="s">
        <v>74</v>
      </c>
      <c r="E32" t="s">
        <v>74</v>
      </c>
      <c r="F32" t="s">
        <v>358</v>
      </c>
      <c r="G32" t="s">
        <v>74</v>
      </c>
      <c r="H32" t="s">
        <v>74</v>
      </c>
      <c r="I32" t="s">
        <v>359</v>
      </c>
      <c r="J32" t="s">
        <v>360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74</v>
      </c>
      <c r="V32" t="s">
        <v>74</v>
      </c>
      <c r="W32" t="s">
        <v>74</v>
      </c>
      <c r="X32" t="s">
        <v>74</v>
      </c>
      <c r="Y32" t="s">
        <v>74</v>
      </c>
      <c r="Z32" t="s">
        <v>74</v>
      </c>
      <c r="AA32" t="s">
        <v>74</v>
      </c>
      <c r="AB32" t="s">
        <v>74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361</v>
      </c>
      <c r="AP32" t="s">
        <v>362</v>
      </c>
      <c r="AQ32" t="s">
        <v>74</v>
      </c>
      <c r="AR32" t="s">
        <v>74</v>
      </c>
      <c r="AS32" t="s">
        <v>74</v>
      </c>
      <c r="AT32" t="s">
        <v>363</v>
      </c>
      <c r="AU32">
        <v>2023</v>
      </c>
      <c r="AV32">
        <v>290</v>
      </c>
      <c r="AW32">
        <v>2009</v>
      </c>
      <c r="AX32" t="s">
        <v>74</v>
      </c>
      <c r="AY32" t="s">
        <v>74</v>
      </c>
      <c r="AZ32" t="s">
        <v>74</v>
      </c>
      <c r="BA32" t="s">
        <v>74</v>
      </c>
      <c r="BB32" t="s">
        <v>74</v>
      </c>
      <c r="BC32" t="s">
        <v>74</v>
      </c>
      <c r="BD32">
        <v>20231882</v>
      </c>
      <c r="BE32" t="s">
        <v>364</v>
      </c>
      <c r="BF32" t="str">
        <f>HYPERLINK("http://dx.doi.org/10.1098/rspb.2023.1882","http://dx.doi.org/10.1098/rspb.2023.1882")</f>
        <v>http://dx.doi.org/10.1098/rspb.2023.1882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>
        <v>37876191</v>
      </c>
      <c r="BO32" t="s">
        <v>74</v>
      </c>
      <c r="BP32" t="s">
        <v>74</v>
      </c>
      <c r="BQ32" t="s">
        <v>74</v>
      </c>
      <c r="BR32" t="s">
        <v>74</v>
      </c>
      <c r="BS32" t="s">
        <v>365</v>
      </c>
      <c r="BT32" t="str">
        <f>HYPERLINK("https%3A%2F%2Fwww.webofscience.com%2Fwos%2Fwoscc%2Ffull-record%2FWOS:001089307500003","View Full Record in Web of Science")</f>
        <v>View Full Record in Web of Science</v>
      </c>
    </row>
    <row r="33" spans="1:72" x14ac:dyDescent="0.2">
      <c r="A33" t="s">
        <v>72</v>
      </c>
      <c r="B33" t="s">
        <v>366</v>
      </c>
      <c r="C33" t="s">
        <v>74</v>
      </c>
      <c r="D33" t="s">
        <v>74</v>
      </c>
      <c r="E33" t="s">
        <v>74</v>
      </c>
      <c r="F33" t="s">
        <v>367</v>
      </c>
      <c r="G33" t="s">
        <v>74</v>
      </c>
      <c r="H33" t="s">
        <v>74</v>
      </c>
      <c r="I33" t="s">
        <v>368</v>
      </c>
      <c r="J33" t="s">
        <v>124</v>
      </c>
      <c r="K33" t="s">
        <v>74</v>
      </c>
      <c r="L33" t="s">
        <v>74</v>
      </c>
      <c r="M33" t="s">
        <v>74</v>
      </c>
      <c r="N33" t="s">
        <v>74</v>
      </c>
      <c r="O33" t="s">
        <v>74</v>
      </c>
      <c r="P33" t="s">
        <v>74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74</v>
      </c>
      <c r="Y33" t="s">
        <v>74</v>
      </c>
      <c r="Z33" t="s">
        <v>74</v>
      </c>
      <c r="AA33" t="s">
        <v>369</v>
      </c>
      <c r="AB33" t="s">
        <v>6760</v>
      </c>
      <c r="AC33" t="s">
        <v>74</v>
      </c>
      <c r="AD33" t="s">
        <v>74</v>
      </c>
      <c r="AE33" t="s">
        <v>74</v>
      </c>
      <c r="AF33" t="s">
        <v>74</v>
      </c>
      <c r="AG33" t="s">
        <v>74</v>
      </c>
      <c r="AH33" t="s">
        <v>74</v>
      </c>
      <c r="AI33" t="s">
        <v>74</v>
      </c>
      <c r="AJ33" t="s">
        <v>74</v>
      </c>
      <c r="AK33" t="s">
        <v>74</v>
      </c>
      <c r="AL33" t="s">
        <v>74</v>
      </c>
      <c r="AM33" t="s">
        <v>74</v>
      </c>
      <c r="AN33" t="s">
        <v>74</v>
      </c>
      <c r="AO33" t="s">
        <v>127</v>
      </c>
      <c r="AP33" t="s">
        <v>128</v>
      </c>
      <c r="AQ33" t="s">
        <v>74</v>
      </c>
      <c r="AR33" t="s">
        <v>74</v>
      </c>
      <c r="AS33" t="s">
        <v>74</v>
      </c>
      <c r="AT33" t="s">
        <v>157</v>
      </c>
      <c r="AU33">
        <v>2024</v>
      </c>
      <c r="AV33">
        <v>851</v>
      </c>
      <c r="AW33">
        <v>6</v>
      </c>
      <c r="AX33" t="s">
        <v>74</v>
      </c>
      <c r="AY33" t="s">
        <v>74</v>
      </c>
      <c r="AZ33" t="s">
        <v>74</v>
      </c>
      <c r="BA33" t="s">
        <v>74</v>
      </c>
      <c r="BB33">
        <v>1489</v>
      </c>
      <c r="BC33">
        <v>1512</v>
      </c>
      <c r="BD33" t="s">
        <v>74</v>
      </c>
      <c r="BE33" t="s">
        <v>370</v>
      </c>
      <c r="BF33" t="str">
        <f>HYPERLINK("http://dx.doi.org/10.1007/s10750-023-05398-x","http://dx.doi.org/10.1007/s10750-023-05398-x")</f>
        <v>http://dx.doi.org/10.1007/s10750-023-05398-x</v>
      </c>
      <c r="BG33" t="s">
        <v>74</v>
      </c>
      <c r="BH33" t="s">
        <v>355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">
        <v>371</v>
      </c>
      <c r="BT33" t="str">
        <f>HYPERLINK("https%3A%2F%2Fwww.webofscience.com%2Fwos%2Fwoscc%2Ffull-record%2FWOS:001088201400001","View Full Record in Web of Science")</f>
        <v>View Full Record in Web of Science</v>
      </c>
    </row>
    <row r="34" spans="1:72" x14ac:dyDescent="0.2">
      <c r="A34" t="s">
        <v>72</v>
      </c>
      <c r="B34" t="s">
        <v>372</v>
      </c>
      <c r="C34" t="s">
        <v>74</v>
      </c>
      <c r="D34" t="s">
        <v>74</v>
      </c>
      <c r="E34" t="s">
        <v>74</v>
      </c>
      <c r="F34" t="s">
        <v>373</v>
      </c>
      <c r="G34" t="s">
        <v>74</v>
      </c>
      <c r="H34" t="s">
        <v>74</v>
      </c>
      <c r="I34" t="s">
        <v>374</v>
      </c>
      <c r="J34" t="s">
        <v>145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6782</v>
      </c>
      <c r="AB34" t="s">
        <v>6783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146</v>
      </c>
      <c r="AP34" t="s">
        <v>147</v>
      </c>
      <c r="AQ34" t="s">
        <v>74</v>
      </c>
      <c r="AR34" t="s">
        <v>74</v>
      </c>
      <c r="AS34" t="s">
        <v>74</v>
      </c>
      <c r="AT34" t="s">
        <v>375</v>
      </c>
      <c r="AU34">
        <v>2024</v>
      </c>
      <c r="AV34">
        <v>907</v>
      </c>
      <c r="AW34" t="s">
        <v>74</v>
      </c>
      <c r="AX34" t="s">
        <v>74</v>
      </c>
      <c r="AY34" t="s">
        <v>74</v>
      </c>
      <c r="AZ34" t="s">
        <v>74</v>
      </c>
      <c r="BA34" t="s">
        <v>74</v>
      </c>
      <c r="BB34" t="s">
        <v>74</v>
      </c>
      <c r="BC34" t="s">
        <v>74</v>
      </c>
      <c r="BD34">
        <v>167882</v>
      </c>
      <c r="BE34" t="s">
        <v>376</v>
      </c>
      <c r="BF34" t="str">
        <f>HYPERLINK("http://dx.doi.org/10.1016/j.scitotenv.2023.167882","http://dx.doi.org/10.1016/j.scitotenv.2023.167882")</f>
        <v>http://dx.doi.org/10.1016/j.scitotenv.2023.167882</v>
      </c>
      <c r="BG34" t="s">
        <v>74</v>
      </c>
      <c r="BH34" t="s">
        <v>355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>
        <v>37858823</v>
      </c>
      <c r="BO34" t="s">
        <v>74</v>
      </c>
      <c r="BP34" t="s">
        <v>74</v>
      </c>
      <c r="BQ34" t="s">
        <v>74</v>
      </c>
      <c r="BR34" t="s">
        <v>74</v>
      </c>
      <c r="BS34" t="s">
        <v>377</v>
      </c>
      <c r="BT34" t="str">
        <f>HYPERLINK("https%3A%2F%2Fwww.webofscience.com%2Fwos%2Fwoscc%2Ffull-record%2FWOS:001102854800001","View Full Record in Web of Science")</f>
        <v>View Full Record in Web of Science</v>
      </c>
    </row>
    <row r="35" spans="1:72" x14ac:dyDescent="0.2">
      <c r="A35" t="s">
        <v>72</v>
      </c>
      <c r="B35" t="s">
        <v>378</v>
      </c>
      <c r="C35" t="s">
        <v>74</v>
      </c>
      <c r="D35" t="s">
        <v>74</v>
      </c>
      <c r="E35" t="s">
        <v>74</v>
      </c>
      <c r="F35" t="s">
        <v>379</v>
      </c>
      <c r="G35" t="s">
        <v>74</v>
      </c>
      <c r="H35" t="s">
        <v>74</v>
      </c>
      <c r="I35" t="s">
        <v>380</v>
      </c>
      <c r="J35" t="s">
        <v>381</v>
      </c>
      <c r="K35" t="s">
        <v>74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74</v>
      </c>
      <c r="T35" t="s">
        <v>74</v>
      </c>
      <c r="U35" t="s">
        <v>74</v>
      </c>
      <c r="V35" t="s">
        <v>74</v>
      </c>
      <c r="W35" t="s">
        <v>74</v>
      </c>
      <c r="X35" t="s">
        <v>74</v>
      </c>
      <c r="Y35" t="s">
        <v>74</v>
      </c>
      <c r="Z35" t="s">
        <v>74</v>
      </c>
      <c r="AA35" t="s">
        <v>6784</v>
      </c>
      <c r="AB35" t="s">
        <v>382</v>
      </c>
      <c r="AC35" t="s">
        <v>74</v>
      </c>
      <c r="AD35" t="s">
        <v>74</v>
      </c>
      <c r="AE35" t="s">
        <v>74</v>
      </c>
      <c r="AF35" t="s">
        <v>74</v>
      </c>
      <c r="AG35" t="s">
        <v>74</v>
      </c>
      <c r="AH35" t="s">
        <v>74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383</v>
      </c>
      <c r="AP35" t="s">
        <v>384</v>
      </c>
      <c r="AQ35" t="s">
        <v>74</v>
      </c>
      <c r="AR35" t="s">
        <v>74</v>
      </c>
      <c r="AS35" t="s">
        <v>74</v>
      </c>
      <c r="AT35" t="s">
        <v>385</v>
      </c>
      <c r="AU35">
        <v>2023</v>
      </c>
      <c r="AV35">
        <v>311</v>
      </c>
      <c r="AW35" t="s">
        <v>74</v>
      </c>
      <c r="AX35" t="s">
        <v>74</v>
      </c>
      <c r="AY35" t="s">
        <v>74</v>
      </c>
      <c r="AZ35" t="s">
        <v>74</v>
      </c>
      <c r="BA35" t="s">
        <v>74</v>
      </c>
      <c r="BB35" t="s">
        <v>74</v>
      </c>
      <c r="BC35" t="s">
        <v>74</v>
      </c>
      <c r="BD35">
        <v>119965</v>
      </c>
      <c r="BE35" t="s">
        <v>386</v>
      </c>
      <c r="BF35" t="str">
        <f>HYPERLINK("http://dx.doi.org/10.1016/j.envpol.2022.119965","http://dx.doi.org/10.1016/j.envpol.2022.119965")</f>
        <v>http://dx.doi.org/10.1016/j.envpol.2022.119965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>
        <v>35998771</v>
      </c>
      <c r="BO35" t="s">
        <v>74</v>
      </c>
      <c r="BP35" t="s">
        <v>74</v>
      </c>
      <c r="BQ35" t="s">
        <v>74</v>
      </c>
      <c r="BR35" t="s">
        <v>74</v>
      </c>
      <c r="BS35" t="s">
        <v>387</v>
      </c>
      <c r="BT35" t="str">
        <f>HYPERLINK("https%3A%2F%2Fwww.webofscience.com%2Fwos%2Fwoscc%2Ffull-record%2FWOS:001131819800001","View Full Record in Web of Science")</f>
        <v>View Full Record in Web of Science</v>
      </c>
    </row>
    <row r="36" spans="1:72" x14ac:dyDescent="0.2">
      <c r="A36" t="s">
        <v>72</v>
      </c>
      <c r="B36" t="s">
        <v>388</v>
      </c>
      <c r="C36" t="s">
        <v>74</v>
      </c>
      <c r="D36" t="s">
        <v>74</v>
      </c>
      <c r="E36" t="s">
        <v>74</v>
      </c>
      <c r="F36" t="s">
        <v>389</v>
      </c>
      <c r="G36" t="s">
        <v>74</v>
      </c>
      <c r="H36" t="s">
        <v>74</v>
      </c>
      <c r="I36" t="s">
        <v>390</v>
      </c>
      <c r="J36" t="s">
        <v>154</v>
      </c>
      <c r="K36" t="s">
        <v>74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391</v>
      </c>
      <c r="AB36" t="s">
        <v>392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 t="s">
        <v>74</v>
      </c>
      <c r="AK36" t="s">
        <v>74</v>
      </c>
      <c r="AL36" t="s">
        <v>74</v>
      </c>
      <c r="AM36" t="s">
        <v>74</v>
      </c>
      <c r="AN36" t="s">
        <v>74</v>
      </c>
      <c r="AO36" t="s">
        <v>155</v>
      </c>
      <c r="AP36" t="s">
        <v>156</v>
      </c>
      <c r="AQ36" t="s">
        <v>74</v>
      </c>
      <c r="AR36" t="s">
        <v>74</v>
      </c>
      <c r="AS36" t="s">
        <v>74</v>
      </c>
      <c r="AT36" t="s">
        <v>335</v>
      </c>
      <c r="AU36">
        <v>2023</v>
      </c>
      <c r="AV36">
        <v>103</v>
      </c>
      <c r="AW36" t="s">
        <v>74</v>
      </c>
      <c r="AX36" t="s">
        <v>74</v>
      </c>
      <c r="AY36" t="s">
        <v>74</v>
      </c>
      <c r="AZ36" t="s">
        <v>74</v>
      </c>
      <c r="BA36" t="s">
        <v>74</v>
      </c>
      <c r="BB36" t="s">
        <v>74</v>
      </c>
      <c r="BC36" t="s">
        <v>74</v>
      </c>
      <c r="BD36">
        <v>126110</v>
      </c>
      <c r="BE36" t="s">
        <v>393</v>
      </c>
      <c r="BF36" t="str">
        <f>HYPERLINK("http://dx.doi.org/10.1016/j.limno.2023.126110","http://dx.doi.org/10.1016/j.limno.2023.126110")</f>
        <v>http://dx.doi.org/10.1016/j.limno.2023.126110</v>
      </c>
      <c r="BG36" t="s">
        <v>74</v>
      </c>
      <c r="BH36" t="s">
        <v>355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 t="s">
        <v>394</v>
      </c>
      <c r="BT36" t="str">
        <f>HYPERLINK("https%3A%2F%2Fwww.webofscience.com%2Fwos%2Fwoscc%2Ffull-record%2FWOS:001091794800001","View Full Record in Web of Science")</f>
        <v>View Full Record in Web of Science</v>
      </c>
    </row>
    <row r="37" spans="1:72" x14ac:dyDescent="0.2">
      <c r="A37" t="s">
        <v>72</v>
      </c>
      <c r="B37" t="s">
        <v>395</v>
      </c>
      <c r="C37" t="s">
        <v>74</v>
      </c>
      <c r="D37" t="s">
        <v>74</v>
      </c>
      <c r="E37" t="s">
        <v>74</v>
      </c>
      <c r="F37" t="s">
        <v>396</v>
      </c>
      <c r="G37" t="s">
        <v>74</v>
      </c>
      <c r="H37" t="s">
        <v>74</v>
      </c>
      <c r="I37" t="s">
        <v>397</v>
      </c>
      <c r="J37" t="s">
        <v>273</v>
      </c>
      <c r="K37" t="s">
        <v>74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74</v>
      </c>
      <c r="V37" t="s">
        <v>74</v>
      </c>
      <c r="W37" t="s">
        <v>74</v>
      </c>
      <c r="X37" t="s">
        <v>74</v>
      </c>
      <c r="Y37" t="s">
        <v>74</v>
      </c>
      <c r="Z37" t="s">
        <v>74</v>
      </c>
      <c r="AA37" t="s">
        <v>398</v>
      </c>
      <c r="AB37" t="s">
        <v>6744</v>
      </c>
      <c r="AC37" t="s">
        <v>74</v>
      </c>
      <c r="AD37" t="s">
        <v>74</v>
      </c>
      <c r="AE37" t="s">
        <v>74</v>
      </c>
      <c r="AF37" t="s">
        <v>74</v>
      </c>
      <c r="AG37" t="s">
        <v>74</v>
      </c>
      <c r="AH37" t="s">
        <v>74</v>
      </c>
      <c r="AI37" t="s">
        <v>74</v>
      </c>
      <c r="AJ37" t="s">
        <v>74</v>
      </c>
      <c r="AK37" t="s">
        <v>74</v>
      </c>
      <c r="AL37" t="s">
        <v>74</v>
      </c>
      <c r="AM37" t="s">
        <v>74</v>
      </c>
      <c r="AN37" t="s">
        <v>74</v>
      </c>
      <c r="AO37" t="s">
        <v>274</v>
      </c>
      <c r="AP37" t="s">
        <v>275</v>
      </c>
      <c r="AQ37" t="s">
        <v>74</v>
      </c>
      <c r="AR37" t="s">
        <v>74</v>
      </c>
      <c r="AS37" t="s">
        <v>74</v>
      </c>
      <c r="AT37" t="s">
        <v>303</v>
      </c>
      <c r="AU37">
        <v>2023</v>
      </c>
      <c r="AV37">
        <v>238</v>
      </c>
      <c r="AW37" t="s">
        <v>74</v>
      </c>
      <c r="AX37">
        <v>2</v>
      </c>
      <c r="AY37" t="s">
        <v>74</v>
      </c>
      <c r="AZ37" t="s">
        <v>74</v>
      </c>
      <c r="BA37" t="s">
        <v>74</v>
      </c>
      <c r="BB37" t="s">
        <v>74</v>
      </c>
      <c r="BC37" t="s">
        <v>74</v>
      </c>
      <c r="BD37">
        <v>117283</v>
      </c>
      <c r="BE37" t="s">
        <v>399</v>
      </c>
      <c r="BF37" t="str">
        <f>HYPERLINK("http://dx.doi.org/10.1016/j.envres.2023.117283","http://dx.doi.org/10.1016/j.envres.2023.117283")</f>
        <v>http://dx.doi.org/10.1016/j.envres.2023.117283</v>
      </c>
      <c r="BG37" t="s">
        <v>74</v>
      </c>
      <c r="BH37" t="s">
        <v>355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>
        <v>37783333</v>
      </c>
      <c r="BO37" t="s">
        <v>74</v>
      </c>
      <c r="BP37" t="s">
        <v>74</v>
      </c>
      <c r="BQ37" t="s">
        <v>74</v>
      </c>
      <c r="BR37" t="s">
        <v>74</v>
      </c>
      <c r="BS37" t="s">
        <v>400</v>
      </c>
      <c r="BT37" t="str">
        <f>HYPERLINK("https%3A%2F%2Fwww.webofscience.com%2Fwos%2Fwoscc%2Ffull-record%2FWOS:001086949100001","View Full Record in Web of Science")</f>
        <v>View Full Record in Web of Science</v>
      </c>
    </row>
    <row r="38" spans="1:72" x14ac:dyDescent="0.2">
      <c r="A38" t="s">
        <v>72</v>
      </c>
      <c r="B38" t="s">
        <v>401</v>
      </c>
      <c r="C38" t="s">
        <v>74</v>
      </c>
      <c r="D38" t="s">
        <v>74</v>
      </c>
      <c r="E38" t="s">
        <v>74</v>
      </c>
      <c r="F38" t="s">
        <v>402</v>
      </c>
      <c r="G38" t="s">
        <v>74</v>
      </c>
      <c r="H38" t="s">
        <v>74</v>
      </c>
      <c r="I38" t="s">
        <v>403</v>
      </c>
      <c r="J38" t="s">
        <v>404</v>
      </c>
      <c r="K38" t="s">
        <v>74</v>
      </c>
      <c r="L38" t="s">
        <v>74</v>
      </c>
      <c r="M38" t="s">
        <v>74</v>
      </c>
      <c r="N38" t="s">
        <v>74</v>
      </c>
      <c r="O38" t="s">
        <v>74</v>
      </c>
      <c r="P38" t="s">
        <v>74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74</v>
      </c>
      <c r="Y38" t="s">
        <v>74</v>
      </c>
      <c r="Z38" t="s">
        <v>74</v>
      </c>
      <c r="AA38" t="s">
        <v>74</v>
      </c>
      <c r="AB38" t="s">
        <v>6785</v>
      </c>
      <c r="AC38" t="s">
        <v>74</v>
      </c>
      <c r="AD38" t="s">
        <v>74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74</v>
      </c>
      <c r="AP38" t="s">
        <v>405</v>
      </c>
      <c r="AQ38" t="s">
        <v>74</v>
      </c>
      <c r="AR38" t="s">
        <v>74</v>
      </c>
      <c r="AS38" t="s">
        <v>74</v>
      </c>
      <c r="AT38" t="s">
        <v>406</v>
      </c>
      <c r="AU38">
        <v>2023</v>
      </c>
      <c r="AV38">
        <v>11</v>
      </c>
      <c r="AW38">
        <v>10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>
        <v>827</v>
      </c>
      <c r="BE38" t="s">
        <v>407</v>
      </c>
      <c r="BF38" t="str">
        <f>HYPERLINK("http://dx.doi.org/10.3390/toxics11100827","http://dx.doi.org/10.3390/toxics11100827")</f>
        <v>http://dx.doi.org/10.3390/toxics11100827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>
        <v>37888678</v>
      </c>
      <c r="BO38" t="s">
        <v>74</v>
      </c>
      <c r="BP38" t="s">
        <v>74</v>
      </c>
      <c r="BQ38" t="s">
        <v>74</v>
      </c>
      <c r="BR38" t="s">
        <v>74</v>
      </c>
      <c r="BS38" t="s">
        <v>408</v>
      </c>
      <c r="BT38" t="str">
        <f>HYPERLINK("https%3A%2F%2Fwww.webofscience.com%2Fwos%2Fwoscc%2Ffull-record%2FWOS:001094311000001","View Full Record in Web of Science")</f>
        <v>View Full Record in Web of Science</v>
      </c>
    </row>
    <row r="39" spans="1:72" x14ac:dyDescent="0.2">
      <c r="A39" t="s">
        <v>72</v>
      </c>
      <c r="B39" t="s">
        <v>409</v>
      </c>
      <c r="C39" t="s">
        <v>74</v>
      </c>
      <c r="D39" t="s">
        <v>74</v>
      </c>
      <c r="E39" t="s">
        <v>74</v>
      </c>
      <c r="F39" t="s">
        <v>410</v>
      </c>
      <c r="G39" t="s">
        <v>74</v>
      </c>
      <c r="H39" t="s">
        <v>74</v>
      </c>
      <c r="I39" t="s">
        <v>411</v>
      </c>
      <c r="J39" t="s">
        <v>412</v>
      </c>
      <c r="K39" t="s">
        <v>74</v>
      </c>
      <c r="L39" t="s">
        <v>74</v>
      </c>
      <c r="M39" t="s">
        <v>74</v>
      </c>
      <c r="N39" t="s">
        <v>74</v>
      </c>
      <c r="O39" t="s">
        <v>74</v>
      </c>
      <c r="P39" t="s">
        <v>74</v>
      </c>
      <c r="Q39" t="s">
        <v>74</v>
      </c>
      <c r="R39" t="s">
        <v>74</v>
      </c>
      <c r="S39" t="s">
        <v>74</v>
      </c>
      <c r="T39" t="s">
        <v>74</v>
      </c>
      <c r="U39" t="s">
        <v>74</v>
      </c>
      <c r="V39" t="s">
        <v>74</v>
      </c>
      <c r="W39" t="s">
        <v>74</v>
      </c>
      <c r="X39" t="s">
        <v>74</v>
      </c>
      <c r="Y39" t="s">
        <v>74</v>
      </c>
      <c r="Z39" t="s">
        <v>74</v>
      </c>
      <c r="AA39" t="s">
        <v>74</v>
      </c>
      <c r="AB39" t="s">
        <v>413</v>
      </c>
      <c r="AC39" t="s">
        <v>74</v>
      </c>
      <c r="AD39" t="s">
        <v>74</v>
      </c>
      <c r="AE39" t="s">
        <v>74</v>
      </c>
      <c r="AF39" t="s">
        <v>74</v>
      </c>
      <c r="AG39" t="s">
        <v>74</v>
      </c>
      <c r="AH39" t="s">
        <v>74</v>
      </c>
      <c r="AI39" t="s">
        <v>74</v>
      </c>
      <c r="AJ39" t="s">
        <v>74</v>
      </c>
      <c r="AK39" t="s">
        <v>74</v>
      </c>
      <c r="AL39" t="s">
        <v>74</v>
      </c>
      <c r="AM39" t="s">
        <v>74</v>
      </c>
      <c r="AN39" t="s">
        <v>74</v>
      </c>
      <c r="AO39" t="s">
        <v>414</v>
      </c>
      <c r="AP39" t="s">
        <v>415</v>
      </c>
      <c r="AQ39" t="s">
        <v>74</v>
      </c>
      <c r="AR39" t="s">
        <v>74</v>
      </c>
      <c r="AS39" t="s">
        <v>74</v>
      </c>
      <c r="AT39" t="s">
        <v>416</v>
      </c>
      <c r="AU39">
        <v>2024</v>
      </c>
      <c r="AV39">
        <v>244</v>
      </c>
      <c r="AW39">
        <v>2</v>
      </c>
      <c r="AX39" t="s">
        <v>74</v>
      </c>
      <c r="AY39" t="s">
        <v>74</v>
      </c>
      <c r="AZ39" t="s">
        <v>74</v>
      </c>
      <c r="BA39" t="s">
        <v>74</v>
      </c>
      <c r="BB39">
        <v>260</v>
      </c>
      <c r="BC39">
        <v>273</v>
      </c>
      <c r="BD39" t="s">
        <v>74</v>
      </c>
      <c r="BE39" t="s">
        <v>417</v>
      </c>
      <c r="BF39" t="str">
        <f>HYPERLINK("http://dx.doi.org/10.1111/joa.13956","http://dx.doi.org/10.1111/joa.13956")</f>
        <v>http://dx.doi.org/10.1111/joa.13956</v>
      </c>
      <c r="BG39" t="s">
        <v>74</v>
      </c>
      <c r="BH39" t="s">
        <v>418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>
        <v>37770122</v>
      </c>
      <c r="BO39" t="s">
        <v>74</v>
      </c>
      <c r="BP39" t="s">
        <v>74</v>
      </c>
      <c r="BQ39" t="s">
        <v>74</v>
      </c>
      <c r="BR39" t="s">
        <v>74</v>
      </c>
      <c r="BS39" t="s">
        <v>419</v>
      </c>
      <c r="BT39" t="str">
        <f>HYPERLINK("https%3A%2F%2Fwww.webofscience.com%2Fwos%2Fwoscc%2Ffull-record%2FWOS:001074691200001","View Full Record in Web of Science")</f>
        <v>View Full Record in Web of Science</v>
      </c>
    </row>
    <row r="40" spans="1:72" x14ac:dyDescent="0.2">
      <c r="A40" t="s">
        <v>72</v>
      </c>
      <c r="B40" t="s">
        <v>420</v>
      </c>
      <c r="C40" t="s">
        <v>74</v>
      </c>
      <c r="D40" t="s">
        <v>74</v>
      </c>
      <c r="E40" t="s">
        <v>74</v>
      </c>
      <c r="F40" t="s">
        <v>421</v>
      </c>
      <c r="G40" t="s">
        <v>74</v>
      </c>
      <c r="H40" t="s">
        <v>74</v>
      </c>
      <c r="I40" t="s">
        <v>422</v>
      </c>
      <c r="J40" t="s">
        <v>423</v>
      </c>
      <c r="K40" t="s">
        <v>74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74</v>
      </c>
      <c r="V40" t="s">
        <v>74</v>
      </c>
      <c r="W40" t="s">
        <v>74</v>
      </c>
      <c r="X40" t="s">
        <v>74</v>
      </c>
      <c r="Y40" t="s">
        <v>74</v>
      </c>
      <c r="Z40" t="s">
        <v>74</v>
      </c>
      <c r="AA40" t="s">
        <v>74</v>
      </c>
      <c r="AB40" t="s">
        <v>424</v>
      </c>
      <c r="AC40" t="s">
        <v>74</v>
      </c>
      <c r="AD40" t="s">
        <v>74</v>
      </c>
      <c r="AE40" t="s">
        <v>74</v>
      </c>
      <c r="AF40" t="s">
        <v>74</v>
      </c>
      <c r="AG40" t="s">
        <v>74</v>
      </c>
      <c r="AH40" t="s">
        <v>74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425</v>
      </c>
      <c r="AP40" t="s">
        <v>426</v>
      </c>
      <c r="AQ40" t="s">
        <v>74</v>
      </c>
      <c r="AR40" t="s">
        <v>74</v>
      </c>
      <c r="AS40" t="s">
        <v>74</v>
      </c>
      <c r="AT40" t="s">
        <v>82</v>
      </c>
      <c r="AU40">
        <v>2023</v>
      </c>
      <c r="AV40">
        <v>68</v>
      </c>
      <c r="AW40">
        <v>12</v>
      </c>
      <c r="AX40" t="s">
        <v>74</v>
      </c>
      <c r="AY40" t="s">
        <v>74</v>
      </c>
      <c r="AZ40" t="s">
        <v>74</v>
      </c>
      <c r="BA40" t="s">
        <v>74</v>
      </c>
      <c r="BB40">
        <v>2131</v>
      </c>
      <c r="BC40">
        <v>2150</v>
      </c>
      <c r="BD40" t="s">
        <v>74</v>
      </c>
      <c r="BE40" t="s">
        <v>427</v>
      </c>
      <c r="BF40" t="str">
        <f>HYPERLINK("http://dx.doi.org/10.1111/fwb.14181","http://dx.doi.org/10.1111/fwb.14181")</f>
        <v>http://dx.doi.org/10.1111/fwb.14181</v>
      </c>
      <c r="BG40" t="s">
        <v>74</v>
      </c>
      <c r="BH40" t="s">
        <v>418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 t="s">
        <v>74</v>
      </c>
      <c r="BR40" t="s">
        <v>74</v>
      </c>
      <c r="BS40" t="s">
        <v>428</v>
      </c>
      <c r="BT40" t="str">
        <f>HYPERLINK("https%3A%2F%2Fwww.webofscience.com%2Fwos%2Fwoscc%2Ffull-record%2FWOS:001070535300001","View Full Record in Web of Science")</f>
        <v>View Full Record in Web of Science</v>
      </c>
    </row>
    <row r="41" spans="1:72" x14ac:dyDescent="0.2">
      <c r="A41" t="s">
        <v>72</v>
      </c>
      <c r="B41" t="s">
        <v>429</v>
      </c>
      <c r="C41" t="s">
        <v>74</v>
      </c>
      <c r="D41" t="s">
        <v>74</v>
      </c>
      <c r="E41" t="s">
        <v>74</v>
      </c>
      <c r="F41" t="s">
        <v>430</v>
      </c>
      <c r="G41" t="s">
        <v>74</v>
      </c>
      <c r="H41" t="s">
        <v>74</v>
      </c>
      <c r="I41" t="s">
        <v>431</v>
      </c>
      <c r="J41" t="s">
        <v>432</v>
      </c>
      <c r="K41" t="s">
        <v>74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  <c r="T41" t="s">
        <v>74</v>
      </c>
      <c r="U41" t="s">
        <v>74</v>
      </c>
      <c r="V41" t="s">
        <v>74</v>
      </c>
      <c r="W41" t="s">
        <v>74</v>
      </c>
      <c r="X41" t="s">
        <v>74</v>
      </c>
      <c r="Y41" t="s">
        <v>74</v>
      </c>
      <c r="Z41" t="s">
        <v>74</v>
      </c>
      <c r="AA41" t="s">
        <v>433</v>
      </c>
      <c r="AB41" t="s">
        <v>6786</v>
      </c>
      <c r="AC41" t="s">
        <v>74</v>
      </c>
      <c r="AD41" t="s">
        <v>74</v>
      </c>
      <c r="AE41" t="s">
        <v>74</v>
      </c>
      <c r="AF41" t="s">
        <v>74</v>
      </c>
      <c r="AG41" t="s">
        <v>74</v>
      </c>
      <c r="AH41" t="s">
        <v>74</v>
      </c>
      <c r="AI41" t="s">
        <v>74</v>
      </c>
      <c r="AJ41" t="s">
        <v>74</v>
      </c>
      <c r="AK41" t="s">
        <v>74</v>
      </c>
      <c r="AL41" t="s">
        <v>74</v>
      </c>
      <c r="AM41" t="s">
        <v>74</v>
      </c>
      <c r="AN41" t="s">
        <v>74</v>
      </c>
      <c r="AO41" t="s">
        <v>434</v>
      </c>
      <c r="AP41" t="s">
        <v>435</v>
      </c>
      <c r="AQ41" t="s">
        <v>74</v>
      </c>
      <c r="AR41" t="s">
        <v>74</v>
      </c>
      <c r="AS41" t="s">
        <v>74</v>
      </c>
      <c r="AT41" t="s">
        <v>436</v>
      </c>
      <c r="AU41">
        <v>2023</v>
      </c>
      <c r="AV41">
        <v>11</v>
      </c>
      <c r="AW41" t="s">
        <v>74</v>
      </c>
      <c r="AX41" t="s">
        <v>74</v>
      </c>
      <c r="AY41" t="s">
        <v>74</v>
      </c>
      <c r="AZ41" t="s">
        <v>74</v>
      </c>
      <c r="BA41" t="s">
        <v>74</v>
      </c>
      <c r="BB41" t="s">
        <v>74</v>
      </c>
      <c r="BC41" t="s">
        <v>74</v>
      </c>
      <c r="BD41" t="s">
        <v>437</v>
      </c>
      <c r="BE41" t="s">
        <v>438</v>
      </c>
      <c r="BF41" t="str">
        <f>HYPERLINK("http://dx.doi.org/10.3897/BDJ.11.e106947","http://dx.doi.org/10.3897/BDJ.11.e106947")</f>
        <v>http://dx.doi.org/10.3897/BDJ.11.e106947</v>
      </c>
      <c r="BG41" t="s">
        <v>74</v>
      </c>
      <c r="BH41" t="s">
        <v>74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>
        <v>38318520</v>
      </c>
      <c r="BO41" t="s">
        <v>74</v>
      </c>
      <c r="BP41" t="s">
        <v>74</v>
      </c>
      <c r="BQ41" t="s">
        <v>74</v>
      </c>
      <c r="BR41" t="s">
        <v>74</v>
      </c>
      <c r="BS41" t="s">
        <v>439</v>
      </c>
      <c r="BT41" t="str">
        <f>HYPERLINK("https%3A%2F%2Fwww.webofscience.com%2Fwos%2Fwoscc%2Ffull-record%2FWOS:001093189000001","View Full Record in Web of Science")</f>
        <v>View Full Record in Web of Science</v>
      </c>
    </row>
    <row r="42" spans="1:72" x14ac:dyDescent="0.2">
      <c r="A42" t="s">
        <v>72</v>
      </c>
      <c r="B42" t="s">
        <v>440</v>
      </c>
      <c r="C42" t="s">
        <v>74</v>
      </c>
      <c r="D42" t="s">
        <v>74</v>
      </c>
      <c r="E42" t="s">
        <v>74</v>
      </c>
      <c r="F42" t="s">
        <v>441</v>
      </c>
      <c r="G42" t="s">
        <v>74</v>
      </c>
      <c r="H42" t="s">
        <v>74</v>
      </c>
      <c r="I42" t="s">
        <v>442</v>
      </c>
      <c r="J42" t="s">
        <v>443</v>
      </c>
      <c r="K42" t="s">
        <v>74</v>
      </c>
      <c r="L42" t="s">
        <v>74</v>
      </c>
      <c r="M42" t="s">
        <v>74</v>
      </c>
      <c r="N42" t="s">
        <v>74</v>
      </c>
      <c r="O42" t="s">
        <v>74</v>
      </c>
      <c r="P42" t="s">
        <v>74</v>
      </c>
      <c r="Q42" t="s">
        <v>74</v>
      </c>
      <c r="R42" t="s">
        <v>74</v>
      </c>
      <c r="S42" t="s">
        <v>74</v>
      </c>
      <c r="T42" t="s">
        <v>74</v>
      </c>
      <c r="U42" t="s">
        <v>74</v>
      </c>
      <c r="V42" t="s">
        <v>74</v>
      </c>
      <c r="W42" t="s">
        <v>74</v>
      </c>
      <c r="X42" t="s">
        <v>74</v>
      </c>
      <c r="Y42" t="s">
        <v>74</v>
      </c>
      <c r="Z42" t="s">
        <v>74</v>
      </c>
      <c r="AA42" t="s">
        <v>6787</v>
      </c>
      <c r="AB42" t="s">
        <v>6788</v>
      </c>
      <c r="AC42" t="s">
        <v>74</v>
      </c>
      <c r="AD42" t="s">
        <v>74</v>
      </c>
      <c r="AE42" t="s">
        <v>74</v>
      </c>
      <c r="AF42" t="s">
        <v>74</v>
      </c>
      <c r="AG42" t="s">
        <v>74</v>
      </c>
      <c r="AH42" t="s">
        <v>74</v>
      </c>
      <c r="AI42" t="s">
        <v>74</v>
      </c>
      <c r="AJ42" t="s">
        <v>74</v>
      </c>
      <c r="AK42" t="s">
        <v>74</v>
      </c>
      <c r="AL42" t="s">
        <v>74</v>
      </c>
      <c r="AM42" t="s">
        <v>74</v>
      </c>
      <c r="AN42" t="s">
        <v>74</v>
      </c>
      <c r="AO42" t="s">
        <v>74</v>
      </c>
      <c r="AP42" t="s">
        <v>444</v>
      </c>
      <c r="AQ42" t="s">
        <v>74</v>
      </c>
      <c r="AR42" t="s">
        <v>74</v>
      </c>
      <c r="AS42" t="s">
        <v>74</v>
      </c>
      <c r="AT42" t="s">
        <v>445</v>
      </c>
      <c r="AU42">
        <v>2023</v>
      </c>
      <c r="AV42">
        <v>14</v>
      </c>
      <c r="AW42">
        <v>1</v>
      </c>
      <c r="AX42" t="s">
        <v>74</v>
      </c>
      <c r="AY42" t="s">
        <v>74</v>
      </c>
      <c r="AZ42" t="s">
        <v>74</v>
      </c>
      <c r="BA42" t="s">
        <v>74</v>
      </c>
      <c r="BB42" t="s">
        <v>74</v>
      </c>
      <c r="BC42" t="s">
        <v>74</v>
      </c>
      <c r="BD42">
        <v>5426</v>
      </c>
      <c r="BE42" t="s">
        <v>446</v>
      </c>
      <c r="BF42" t="str">
        <f>HYPERLINK("http://dx.doi.org/10.1038/s41467-023-41073-4","http://dx.doi.org/10.1038/s41467-023-41073-4")</f>
        <v>http://dx.doi.org/10.1038/s41467-023-41073-4</v>
      </c>
      <c r="BG42" t="s">
        <v>74</v>
      </c>
      <c r="BH42" t="s">
        <v>74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>
        <v>37704608</v>
      </c>
      <c r="BO42" t="s">
        <v>74</v>
      </c>
      <c r="BP42" t="s">
        <v>74</v>
      </c>
      <c r="BQ42" t="s">
        <v>74</v>
      </c>
      <c r="BR42" t="s">
        <v>74</v>
      </c>
      <c r="BS42" t="s">
        <v>447</v>
      </c>
      <c r="BT42" t="str">
        <f>HYPERLINK("https%3A%2F%2Fwww.webofscience.com%2Fwos%2Fwoscc%2Ffull-record%2FWOS:001087583700003","View Full Record in Web of Science")</f>
        <v>View Full Record in Web of Science</v>
      </c>
    </row>
    <row r="43" spans="1:72" x14ac:dyDescent="0.2">
      <c r="A43" t="s">
        <v>72</v>
      </c>
      <c r="B43" t="s">
        <v>448</v>
      </c>
      <c r="C43" t="s">
        <v>74</v>
      </c>
      <c r="D43" t="s">
        <v>74</v>
      </c>
      <c r="E43" t="s">
        <v>74</v>
      </c>
      <c r="F43" t="s">
        <v>449</v>
      </c>
      <c r="G43" t="s">
        <v>74</v>
      </c>
      <c r="H43" t="s">
        <v>74</v>
      </c>
      <c r="I43" t="s">
        <v>450</v>
      </c>
      <c r="J43" t="s">
        <v>292</v>
      </c>
      <c r="K43" t="s">
        <v>74</v>
      </c>
      <c r="L43" t="s">
        <v>74</v>
      </c>
      <c r="M43" t="s">
        <v>74</v>
      </c>
      <c r="N43" t="s">
        <v>74</v>
      </c>
      <c r="O43" t="s">
        <v>74</v>
      </c>
      <c r="P43" t="s">
        <v>74</v>
      </c>
      <c r="Q43" t="s">
        <v>74</v>
      </c>
      <c r="R43" t="s">
        <v>74</v>
      </c>
      <c r="S43" t="s">
        <v>74</v>
      </c>
      <c r="T43" t="s">
        <v>74</v>
      </c>
      <c r="U43" t="s">
        <v>74</v>
      </c>
      <c r="V43" t="s">
        <v>74</v>
      </c>
      <c r="W43" t="s">
        <v>74</v>
      </c>
      <c r="X43" t="s">
        <v>74</v>
      </c>
      <c r="Y43" t="s">
        <v>74</v>
      </c>
      <c r="Z43" t="s">
        <v>74</v>
      </c>
      <c r="AA43" t="s">
        <v>6789</v>
      </c>
      <c r="AB43" t="s">
        <v>6790</v>
      </c>
      <c r="AC43" t="s">
        <v>74</v>
      </c>
      <c r="AD43" t="s">
        <v>74</v>
      </c>
      <c r="AE43" t="s">
        <v>74</v>
      </c>
      <c r="AF43" t="s">
        <v>74</v>
      </c>
      <c r="AG43" t="s">
        <v>74</v>
      </c>
      <c r="AH43" t="s">
        <v>74</v>
      </c>
      <c r="AI43" t="s">
        <v>74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74</v>
      </c>
      <c r="AP43" t="s">
        <v>294</v>
      </c>
      <c r="AQ43" t="s">
        <v>74</v>
      </c>
      <c r="AR43" t="s">
        <v>74</v>
      </c>
      <c r="AS43" t="s">
        <v>74</v>
      </c>
      <c r="AT43" t="s">
        <v>451</v>
      </c>
      <c r="AU43">
        <v>2023</v>
      </c>
      <c r="AV43">
        <v>15</v>
      </c>
      <c r="AW43">
        <v>9</v>
      </c>
      <c r="AX43" t="s">
        <v>74</v>
      </c>
      <c r="AY43" t="s">
        <v>74</v>
      </c>
      <c r="AZ43" t="s">
        <v>74</v>
      </c>
      <c r="BA43" t="s">
        <v>74</v>
      </c>
      <c r="BB43" t="s">
        <v>74</v>
      </c>
      <c r="BC43" t="s">
        <v>74</v>
      </c>
      <c r="BD43">
        <v>949</v>
      </c>
      <c r="BE43" t="s">
        <v>452</v>
      </c>
      <c r="BF43" t="str">
        <f>HYPERLINK("http://dx.doi.org/10.3390/d15090949","http://dx.doi.org/10.3390/d15090949")</f>
        <v>http://dx.doi.org/10.3390/d15090949</v>
      </c>
      <c r="BG43" t="s">
        <v>74</v>
      </c>
      <c r="BH43" t="s">
        <v>74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 t="s">
        <v>74</v>
      </c>
      <c r="BR43" t="s">
        <v>74</v>
      </c>
      <c r="BS43" t="s">
        <v>453</v>
      </c>
      <c r="BT43" t="str">
        <f>HYPERLINK("https%3A%2F%2Fwww.webofscience.com%2Fwos%2Fwoscc%2Ffull-record%2FWOS:001071622800001","View Full Record in Web of Science")</f>
        <v>View Full Record in Web of Science</v>
      </c>
    </row>
    <row r="44" spans="1:72" x14ac:dyDescent="0.2">
      <c r="A44" t="s">
        <v>72</v>
      </c>
      <c r="B44" t="s">
        <v>454</v>
      </c>
      <c r="C44" t="s">
        <v>74</v>
      </c>
      <c r="D44" t="s">
        <v>74</v>
      </c>
      <c r="E44" t="s">
        <v>74</v>
      </c>
      <c r="F44" t="s">
        <v>455</v>
      </c>
      <c r="G44" t="s">
        <v>74</v>
      </c>
      <c r="H44" t="s">
        <v>74</v>
      </c>
      <c r="I44" t="s">
        <v>456</v>
      </c>
      <c r="J44" t="s">
        <v>457</v>
      </c>
      <c r="K44" t="s">
        <v>74</v>
      </c>
      <c r="L44" t="s">
        <v>74</v>
      </c>
      <c r="M44" t="s">
        <v>74</v>
      </c>
      <c r="N44" t="s">
        <v>74</v>
      </c>
      <c r="O44" t="s">
        <v>74</v>
      </c>
      <c r="P44" t="s">
        <v>74</v>
      </c>
      <c r="Q44" t="s">
        <v>74</v>
      </c>
      <c r="R44" t="s">
        <v>74</v>
      </c>
      <c r="S44" t="s">
        <v>74</v>
      </c>
      <c r="T44" t="s">
        <v>74</v>
      </c>
      <c r="U44" t="s">
        <v>74</v>
      </c>
      <c r="V44" t="s">
        <v>74</v>
      </c>
      <c r="W44" t="s">
        <v>74</v>
      </c>
      <c r="X44" t="s">
        <v>74</v>
      </c>
      <c r="Y44" t="s">
        <v>74</v>
      </c>
      <c r="Z44" t="s">
        <v>74</v>
      </c>
      <c r="AA44" t="s">
        <v>6791</v>
      </c>
      <c r="AB44" t="s">
        <v>6792</v>
      </c>
      <c r="AC44" t="s">
        <v>74</v>
      </c>
      <c r="AD44" t="s">
        <v>74</v>
      </c>
      <c r="AE44" t="s">
        <v>74</v>
      </c>
      <c r="AF44" t="s">
        <v>74</v>
      </c>
      <c r="AG44" t="s">
        <v>74</v>
      </c>
      <c r="AH44" t="s">
        <v>74</v>
      </c>
      <c r="AI44" t="s">
        <v>74</v>
      </c>
      <c r="AJ44" t="s">
        <v>74</v>
      </c>
      <c r="AK44" t="s">
        <v>74</v>
      </c>
      <c r="AL44" t="s">
        <v>74</v>
      </c>
      <c r="AM44" t="s">
        <v>74</v>
      </c>
      <c r="AN44" t="s">
        <v>74</v>
      </c>
      <c r="AO44" t="s">
        <v>458</v>
      </c>
      <c r="AP44" t="s">
        <v>74</v>
      </c>
      <c r="AQ44" t="s">
        <v>74</v>
      </c>
      <c r="AR44" t="s">
        <v>74</v>
      </c>
      <c r="AS44" t="s">
        <v>74</v>
      </c>
      <c r="AT44" t="s">
        <v>451</v>
      </c>
      <c r="AU44">
        <v>2023</v>
      </c>
      <c r="AV44">
        <v>13</v>
      </c>
      <c r="AW44">
        <v>9</v>
      </c>
      <c r="AX44" t="s">
        <v>74</v>
      </c>
      <c r="AY44" t="s">
        <v>74</v>
      </c>
      <c r="AZ44" t="s">
        <v>74</v>
      </c>
      <c r="BA44" t="s">
        <v>74</v>
      </c>
      <c r="BB44" t="s">
        <v>74</v>
      </c>
      <c r="BC44" t="s">
        <v>74</v>
      </c>
      <c r="BD44" t="s">
        <v>459</v>
      </c>
      <c r="BE44" t="s">
        <v>460</v>
      </c>
      <c r="BF44" t="str">
        <f>HYPERLINK("http://dx.doi.org/10.1002/ece3.10503","http://dx.doi.org/10.1002/ece3.10503")</f>
        <v>http://dx.doi.org/10.1002/ece3.10503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>
        <v>37680963</v>
      </c>
      <c r="BO44" t="s">
        <v>74</v>
      </c>
      <c r="BP44" t="s">
        <v>74</v>
      </c>
      <c r="BQ44" t="s">
        <v>74</v>
      </c>
      <c r="BR44" t="s">
        <v>74</v>
      </c>
      <c r="BS44" t="s">
        <v>461</v>
      </c>
      <c r="BT44" t="str">
        <f>HYPERLINK("https%3A%2F%2Fwww.webofscience.com%2Fwos%2Fwoscc%2Ffull-record%2FWOS:001062403200001","View Full Record in Web of Science")</f>
        <v>View Full Record in Web of Science</v>
      </c>
    </row>
    <row r="45" spans="1:72" x14ac:dyDescent="0.2">
      <c r="A45" t="s">
        <v>72</v>
      </c>
      <c r="B45" t="s">
        <v>462</v>
      </c>
      <c r="C45" t="s">
        <v>74</v>
      </c>
      <c r="D45" t="s">
        <v>74</v>
      </c>
      <c r="E45" t="s">
        <v>74</v>
      </c>
      <c r="F45" t="s">
        <v>463</v>
      </c>
      <c r="G45" t="s">
        <v>74</v>
      </c>
      <c r="H45" t="s">
        <v>74</v>
      </c>
      <c r="I45" t="s">
        <v>464</v>
      </c>
      <c r="J45" t="s">
        <v>457</v>
      </c>
      <c r="K45" t="s">
        <v>74</v>
      </c>
      <c r="L45" t="s">
        <v>74</v>
      </c>
      <c r="M45" t="s">
        <v>74</v>
      </c>
      <c r="N45" t="s">
        <v>74</v>
      </c>
      <c r="O45" t="s">
        <v>74</v>
      </c>
      <c r="P45" t="s">
        <v>74</v>
      </c>
      <c r="Q45" t="s">
        <v>74</v>
      </c>
      <c r="R45" t="s">
        <v>74</v>
      </c>
      <c r="S45" t="s">
        <v>74</v>
      </c>
      <c r="T45" t="s">
        <v>74</v>
      </c>
      <c r="U45" t="s">
        <v>74</v>
      </c>
      <c r="V45" t="s">
        <v>74</v>
      </c>
      <c r="W45" t="s">
        <v>74</v>
      </c>
      <c r="X45" t="s">
        <v>74</v>
      </c>
      <c r="Y45" t="s">
        <v>74</v>
      </c>
      <c r="Z45" t="s">
        <v>74</v>
      </c>
      <c r="AA45" t="s">
        <v>465</v>
      </c>
      <c r="AB45" t="s">
        <v>466</v>
      </c>
      <c r="AC45" t="s">
        <v>74</v>
      </c>
      <c r="AD45" t="s">
        <v>74</v>
      </c>
      <c r="AE45" t="s">
        <v>74</v>
      </c>
      <c r="AF45" t="s">
        <v>74</v>
      </c>
      <c r="AG45" t="s">
        <v>74</v>
      </c>
      <c r="AH45" t="s">
        <v>74</v>
      </c>
      <c r="AI45" t="s">
        <v>74</v>
      </c>
      <c r="AJ45" t="s">
        <v>74</v>
      </c>
      <c r="AK45" t="s">
        <v>74</v>
      </c>
      <c r="AL45" t="s">
        <v>74</v>
      </c>
      <c r="AM45" t="s">
        <v>74</v>
      </c>
      <c r="AN45" t="s">
        <v>74</v>
      </c>
      <c r="AO45" t="s">
        <v>458</v>
      </c>
      <c r="AP45" t="s">
        <v>74</v>
      </c>
      <c r="AQ45" t="s">
        <v>74</v>
      </c>
      <c r="AR45" t="s">
        <v>74</v>
      </c>
      <c r="AS45" t="s">
        <v>74</v>
      </c>
      <c r="AT45" t="s">
        <v>451</v>
      </c>
      <c r="AU45">
        <v>2023</v>
      </c>
      <c r="AV45">
        <v>13</v>
      </c>
      <c r="AW45">
        <v>9</v>
      </c>
      <c r="AX45" t="s">
        <v>74</v>
      </c>
      <c r="AY45" t="s">
        <v>74</v>
      </c>
      <c r="AZ45" t="s">
        <v>74</v>
      </c>
      <c r="BA45" t="s">
        <v>74</v>
      </c>
      <c r="BB45" t="s">
        <v>74</v>
      </c>
      <c r="BC45" t="s">
        <v>74</v>
      </c>
      <c r="BD45" t="s">
        <v>467</v>
      </c>
      <c r="BE45" t="s">
        <v>468</v>
      </c>
      <c r="BF45" t="str">
        <f>HYPERLINK("http://dx.doi.org/10.1002/ece3.10567","http://dx.doi.org/10.1002/ece3.10567")</f>
        <v>http://dx.doi.org/10.1002/ece3.10567</v>
      </c>
      <c r="BG45" t="s">
        <v>74</v>
      </c>
      <c r="BH45" t="s">
        <v>74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>
        <v>37753309</v>
      </c>
      <c r="BO45" t="s">
        <v>74</v>
      </c>
      <c r="BP45" t="s">
        <v>74</v>
      </c>
      <c r="BQ45" t="s">
        <v>74</v>
      </c>
      <c r="BR45" t="s">
        <v>74</v>
      </c>
      <c r="BS45" t="s">
        <v>469</v>
      </c>
      <c r="BT45" t="str">
        <f>HYPERLINK("https%3A%2F%2Fwww.webofscience.com%2Fwos%2Fwoscc%2Ffull-record%2FWOS:001069182100001","View Full Record in Web of Science")</f>
        <v>View Full Record in Web of Science</v>
      </c>
    </row>
    <row r="46" spans="1:72" x14ac:dyDescent="0.2">
      <c r="A46" t="s">
        <v>72</v>
      </c>
      <c r="B46" t="s">
        <v>470</v>
      </c>
      <c r="C46" t="s">
        <v>74</v>
      </c>
      <c r="D46" t="s">
        <v>74</v>
      </c>
      <c r="E46" t="s">
        <v>74</v>
      </c>
      <c r="F46" t="s">
        <v>471</v>
      </c>
      <c r="G46" t="s">
        <v>74</v>
      </c>
      <c r="H46" t="s">
        <v>74</v>
      </c>
      <c r="I46" t="s">
        <v>472</v>
      </c>
      <c r="J46" t="s">
        <v>381</v>
      </c>
      <c r="K46" t="s">
        <v>74</v>
      </c>
      <c r="L46" t="s">
        <v>74</v>
      </c>
      <c r="M46" t="s">
        <v>74</v>
      </c>
      <c r="N46" t="s">
        <v>74</v>
      </c>
      <c r="O46" t="s">
        <v>74</v>
      </c>
      <c r="P46" t="s">
        <v>74</v>
      </c>
      <c r="Q46" t="s">
        <v>74</v>
      </c>
      <c r="R46" t="s">
        <v>74</v>
      </c>
      <c r="S46" t="s">
        <v>74</v>
      </c>
      <c r="T46" t="s">
        <v>74</v>
      </c>
      <c r="U46" t="s">
        <v>74</v>
      </c>
      <c r="V46" t="s">
        <v>74</v>
      </c>
      <c r="W46" t="s">
        <v>74</v>
      </c>
      <c r="X46" t="s">
        <v>74</v>
      </c>
      <c r="Y46" t="s">
        <v>74</v>
      </c>
      <c r="Z46" t="s">
        <v>74</v>
      </c>
      <c r="AA46" t="s">
        <v>6793</v>
      </c>
      <c r="AB46" t="s">
        <v>473</v>
      </c>
      <c r="AC46" t="s">
        <v>74</v>
      </c>
      <c r="AD46" t="s">
        <v>74</v>
      </c>
      <c r="AE46" t="s">
        <v>74</v>
      </c>
      <c r="AF46" t="s">
        <v>74</v>
      </c>
      <c r="AG46" t="s">
        <v>74</v>
      </c>
      <c r="AH46" t="s">
        <v>74</v>
      </c>
      <c r="AI46" t="s">
        <v>74</v>
      </c>
      <c r="AJ46" t="s">
        <v>74</v>
      </c>
      <c r="AK46" t="s">
        <v>74</v>
      </c>
      <c r="AL46" t="s">
        <v>74</v>
      </c>
      <c r="AM46" t="s">
        <v>74</v>
      </c>
      <c r="AN46" t="s">
        <v>74</v>
      </c>
      <c r="AO46" t="s">
        <v>383</v>
      </c>
      <c r="AP46" t="s">
        <v>384</v>
      </c>
      <c r="AQ46" t="s">
        <v>74</v>
      </c>
      <c r="AR46" t="s">
        <v>74</v>
      </c>
      <c r="AS46" t="s">
        <v>74</v>
      </c>
      <c r="AT46" t="s">
        <v>474</v>
      </c>
      <c r="AU46">
        <v>2023</v>
      </c>
      <c r="AV46">
        <v>336</v>
      </c>
      <c r="AW46" t="s">
        <v>74</v>
      </c>
      <c r="AX46" t="s">
        <v>74</v>
      </c>
      <c r="AY46" t="s">
        <v>74</v>
      </c>
      <c r="AZ46" t="s">
        <v>74</v>
      </c>
      <c r="BA46" t="s">
        <v>74</v>
      </c>
      <c r="BB46" t="s">
        <v>74</v>
      </c>
      <c r="BC46" t="s">
        <v>74</v>
      </c>
      <c r="BD46">
        <v>122445</v>
      </c>
      <c r="BE46" t="s">
        <v>475</v>
      </c>
      <c r="BF46" t="str">
        <f>HYPERLINK("http://dx.doi.org/10.1016/j.envpol.2023.122445","http://dx.doi.org/10.1016/j.envpol.2023.122445")</f>
        <v>http://dx.doi.org/10.1016/j.envpol.2023.122445</v>
      </c>
      <c r="BG46" t="s">
        <v>74</v>
      </c>
      <c r="BH46" t="s">
        <v>476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>
        <v>37633431</v>
      </c>
      <c r="BO46" t="s">
        <v>74</v>
      </c>
      <c r="BP46" t="s">
        <v>74</v>
      </c>
      <c r="BQ46" t="s">
        <v>74</v>
      </c>
      <c r="BR46" t="s">
        <v>74</v>
      </c>
      <c r="BS46" t="s">
        <v>477</v>
      </c>
      <c r="BT46" t="str">
        <f>HYPERLINK("https%3A%2F%2Fwww.webofscience.com%2Fwos%2Fwoscc%2Ffull-record%2FWOS:001067204200001","View Full Record in Web of Science")</f>
        <v>View Full Record in Web of Science</v>
      </c>
    </row>
    <row r="47" spans="1:72" x14ac:dyDescent="0.2">
      <c r="A47" t="s">
        <v>72</v>
      </c>
      <c r="B47" t="s">
        <v>478</v>
      </c>
      <c r="C47" t="s">
        <v>74</v>
      </c>
      <c r="D47" t="s">
        <v>74</v>
      </c>
      <c r="E47" t="s">
        <v>74</v>
      </c>
      <c r="F47" t="s">
        <v>479</v>
      </c>
      <c r="G47" t="s">
        <v>74</v>
      </c>
      <c r="H47" t="s">
        <v>74</v>
      </c>
      <c r="I47" t="s">
        <v>480</v>
      </c>
      <c r="J47" t="s">
        <v>481</v>
      </c>
      <c r="K47" t="s">
        <v>74</v>
      </c>
      <c r="L47" t="s">
        <v>74</v>
      </c>
      <c r="M47" t="s">
        <v>74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74</v>
      </c>
      <c r="T47" t="s">
        <v>74</v>
      </c>
      <c r="U47" t="s">
        <v>74</v>
      </c>
      <c r="V47" t="s">
        <v>74</v>
      </c>
      <c r="W47" t="s">
        <v>74</v>
      </c>
      <c r="X47" t="s">
        <v>74</v>
      </c>
      <c r="Y47" t="s">
        <v>74</v>
      </c>
      <c r="Z47" t="s">
        <v>74</v>
      </c>
      <c r="AA47" t="s">
        <v>6794</v>
      </c>
      <c r="AB47" t="s">
        <v>6795</v>
      </c>
      <c r="AC47" t="s">
        <v>74</v>
      </c>
      <c r="AD47" t="s">
        <v>74</v>
      </c>
      <c r="AE47" t="s">
        <v>74</v>
      </c>
      <c r="AF47" t="s">
        <v>74</v>
      </c>
      <c r="AG47" t="s">
        <v>74</v>
      </c>
      <c r="AH47" t="s">
        <v>74</v>
      </c>
      <c r="AI47" t="s">
        <v>74</v>
      </c>
      <c r="AJ47" t="s">
        <v>74</v>
      </c>
      <c r="AK47" t="s">
        <v>74</v>
      </c>
      <c r="AL47" t="s">
        <v>74</v>
      </c>
      <c r="AM47" t="s">
        <v>74</v>
      </c>
      <c r="AN47" t="s">
        <v>74</v>
      </c>
      <c r="AO47" t="s">
        <v>482</v>
      </c>
      <c r="AP47" t="s">
        <v>483</v>
      </c>
      <c r="AQ47" t="s">
        <v>74</v>
      </c>
      <c r="AR47" t="s">
        <v>74</v>
      </c>
      <c r="AS47" t="s">
        <v>74</v>
      </c>
      <c r="AT47" t="s">
        <v>82</v>
      </c>
      <c r="AU47">
        <v>2023</v>
      </c>
      <c r="AV47">
        <v>33</v>
      </c>
      <c r="AW47">
        <v>2</v>
      </c>
      <c r="AX47" t="s">
        <v>74</v>
      </c>
      <c r="AY47" t="s">
        <v>74</v>
      </c>
      <c r="AZ47" t="s">
        <v>74</v>
      </c>
      <c r="BA47" t="s">
        <v>74</v>
      </c>
      <c r="BB47">
        <v>405</v>
      </c>
      <c r="BC47">
        <v>417</v>
      </c>
      <c r="BD47" t="s">
        <v>74</v>
      </c>
      <c r="BE47" t="s">
        <v>484</v>
      </c>
      <c r="BF47" t="str">
        <f>HYPERLINK("http://dx.doi.org/10.1002/tqem.22093","http://dx.doi.org/10.1002/tqem.22093")</f>
        <v>http://dx.doi.org/10.1002/tqem.22093</v>
      </c>
      <c r="BG47" t="s">
        <v>74</v>
      </c>
      <c r="BH47" t="s">
        <v>476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 t="s">
        <v>74</v>
      </c>
      <c r="BR47" t="s">
        <v>74</v>
      </c>
      <c r="BS47" t="s">
        <v>485</v>
      </c>
      <c r="BT47" t="str">
        <f>HYPERLINK("https%3A%2F%2Fwww.webofscience.com%2Fwos%2Fwoscc%2Ffull-record%2FWOS:001109860300001","View Full Record in Web of Science")</f>
        <v>View Full Record in Web of Science</v>
      </c>
    </row>
    <row r="48" spans="1:72" x14ac:dyDescent="0.2">
      <c r="A48" t="s">
        <v>72</v>
      </c>
      <c r="B48" t="s">
        <v>486</v>
      </c>
      <c r="C48" t="s">
        <v>74</v>
      </c>
      <c r="D48" t="s">
        <v>74</v>
      </c>
      <c r="E48" t="s">
        <v>74</v>
      </c>
      <c r="F48" t="s">
        <v>487</v>
      </c>
      <c r="G48" t="s">
        <v>74</v>
      </c>
      <c r="H48" t="s">
        <v>74</v>
      </c>
      <c r="I48" t="s">
        <v>488</v>
      </c>
      <c r="J48" t="s">
        <v>218</v>
      </c>
      <c r="K48" t="s">
        <v>74</v>
      </c>
      <c r="L48" t="s">
        <v>74</v>
      </c>
      <c r="M48" t="s">
        <v>74</v>
      </c>
      <c r="N48" t="s">
        <v>74</v>
      </c>
      <c r="O48" t="s">
        <v>74</v>
      </c>
      <c r="P48" t="s">
        <v>74</v>
      </c>
      <c r="Q48" t="s">
        <v>74</v>
      </c>
      <c r="R48" t="s">
        <v>74</v>
      </c>
      <c r="S48" t="s">
        <v>74</v>
      </c>
      <c r="T48" t="s">
        <v>74</v>
      </c>
      <c r="U48" t="s">
        <v>74</v>
      </c>
      <c r="V48" t="s">
        <v>74</v>
      </c>
      <c r="W48" t="s">
        <v>74</v>
      </c>
      <c r="X48" t="s">
        <v>74</v>
      </c>
      <c r="Y48" t="s">
        <v>74</v>
      </c>
      <c r="Z48" t="s">
        <v>74</v>
      </c>
      <c r="AA48" t="s">
        <v>74</v>
      </c>
      <c r="AB48" t="s">
        <v>74</v>
      </c>
      <c r="AC48" t="s">
        <v>74</v>
      </c>
      <c r="AD48" t="s">
        <v>74</v>
      </c>
      <c r="AE48" t="s">
        <v>74</v>
      </c>
      <c r="AF48" t="s">
        <v>74</v>
      </c>
      <c r="AG48" t="s">
        <v>74</v>
      </c>
      <c r="AH48" t="s">
        <v>74</v>
      </c>
      <c r="AI48" t="s">
        <v>74</v>
      </c>
      <c r="AJ48" t="s">
        <v>74</v>
      </c>
      <c r="AK48" t="s">
        <v>74</v>
      </c>
      <c r="AL48" t="s">
        <v>74</v>
      </c>
      <c r="AM48" t="s">
        <v>74</v>
      </c>
      <c r="AN48" t="s">
        <v>74</v>
      </c>
      <c r="AO48" t="s">
        <v>220</v>
      </c>
      <c r="AP48" t="s">
        <v>74</v>
      </c>
      <c r="AQ48" t="s">
        <v>74</v>
      </c>
      <c r="AR48" t="s">
        <v>74</v>
      </c>
      <c r="AS48" t="s">
        <v>74</v>
      </c>
      <c r="AT48" t="s">
        <v>489</v>
      </c>
      <c r="AU48">
        <v>2023</v>
      </c>
      <c r="AV48">
        <v>13</v>
      </c>
      <c r="AW48">
        <v>1</v>
      </c>
      <c r="AX48" t="s">
        <v>74</v>
      </c>
      <c r="AY48" t="s">
        <v>74</v>
      </c>
      <c r="AZ48" t="s">
        <v>74</v>
      </c>
      <c r="BA48" t="s">
        <v>74</v>
      </c>
      <c r="BB48" t="s">
        <v>74</v>
      </c>
      <c r="BC48" t="s">
        <v>74</v>
      </c>
      <c r="BD48" t="s">
        <v>74</v>
      </c>
      <c r="BE48" t="s">
        <v>490</v>
      </c>
      <c r="BF48" t="str">
        <f>HYPERLINK("http://dx.doi.org/10.1038/s41598-023-40180-y","http://dx.doi.org/10.1038/s41598-023-40180-y")</f>
        <v>http://dx.doi.org/10.1038/s41598-023-40180-y</v>
      </c>
      <c r="BG48" t="s">
        <v>74</v>
      </c>
      <c r="BH48" t="s">
        <v>74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>
        <v>37582969</v>
      </c>
      <c r="BO48" t="s">
        <v>74</v>
      </c>
      <c r="BP48" t="s">
        <v>74</v>
      </c>
      <c r="BQ48" t="s">
        <v>74</v>
      </c>
      <c r="BR48" t="s">
        <v>74</v>
      </c>
      <c r="BS48" t="s">
        <v>491</v>
      </c>
      <c r="BT48" t="str">
        <f>HYPERLINK("https%3A%2F%2Fwww.webofscience.com%2Fwos%2Fwoscc%2Ffull-record%2FWOS:001050087800029","View Full Record in Web of Science")</f>
        <v>View Full Record in Web of Science</v>
      </c>
    </row>
    <row r="49" spans="1:72" x14ac:dyDescent="0.2">
      <c r="A49" t="s">
        <v>72</v>
      </c>
      <c r="B49" t="s">
        <v>492</v>
      </c>
      <c r="C49" t="s">
        <v>74</v>
      </c>
      <c r="D49" t="s">
        <v>74</v>
      </c>
      <c r="E49" t="s">
        <v>74</v>
      </c>
      <c r="F49" t="s">
        <v>493</v>
      </c>
      <c r="G49" t="s">
        <v>74</v>
      </c>
      <c r="H49" t="s">
        <v>74</v>
      </c>
      <c r="I49" t="s">
        <v>494</v>
      </c>
      <c r="J49" t="s">
        <v>124</v>
      </c>
      <c r="K49" t="s">
        <v>74</v>
      </c>
      <c r="L49" t="s">
        <v>74</v>
      </c>
      <c r="M49" t="s">
        <v>74</v>
      </c>
      <c r="N49" t="s">
        <v>74</v>
      </c>
      <c r="O49" t="s">
        <v>74</v>
      </c>
      <c r="P49" t="s">
        <v>74</v>
      </c>
      <c r="Q49" t="s">
        <v>74</v>
      </c>
      <c r="R49" t="s">
        <v>74</v>
      </c>
      <c r="S49" t="s">
        <v>74</v>
      </c>
      <c r="T49" t="s">
        <v>74</v>
      </c>
      <c r="U49" t="s">
        <v>74</v>
      </c>
      <c r="V49" t="s">
        <v>74</v>
      </c>
      <c r="W49" t="s">
        <v>74</v>
      </c>
      <c r="X49" t="s">
        <v>74</v>
      </c>
      <c r="Y49" t="s">
        <v>74</v>
      </c>
      <c r="Z49" t="s">
        <v>74</v>
      </c>
      <c r="AA49" t="s">
        <v>495</v>
      </c>
      <c r="AB49" t="s">
        <v>496</v>
      </c>
      <c r="AC49" t="s">
        <v>74</v>
      </c>
      <c r="AD49" t="s">
        <v>74</v>
      </c>
      <c r="AE49" t="s">
        <v>74</v>
      </c>
      <c r="AF49" t="s">
        <v>74</v>
      </c>
      <c r="AG49" t="s">
        <v>74</v>
      </c>
      <c r="AH49" t="s">
        <v>74</v>
      </c>
      <c r="AI49" t="s">
        <v>74</v>
      </c>
      <c r="AJ49" t="s">
        <v>74</v>
      </c>
      <c r="AK49" t="s">
        <v>74</v>
      </c>
      <c r="AL49" t="s">
        <v>74</v>
      </c>
      <c r="AM49" t="s">
        <v>74</v>
      </c>
      <c r="AN49" t="s">
        <v>74</v>
      </c>
      <c r="AO49" t="s">
        <v>127</v>
      </c>
      <c r="AP49" t="s">
        <v>128</v>
      </c>
      <c r="AQ49" t="s">
        <v>74</v>
      </c>
      <c r="AR49" t="s">
        <v>74</v>
      </c>
      <c r="AS49" t="s">
        <v>74</v>
      </c>
      <c r="AT49" t="s">
        <v>315</v>
      </c>
      <c r="AU49">
        <v>2024</v>
      </c>
      <c r="AV49">
        <v>851</v>
      </c>
      <c r="AW49">
        <v>1</v>
      </c>
      <c r="AX49" t="s">
        <v>74</v>
      </c>
      <c r="AY49" t="s">
        <v>74</v>
      </c>
      <c r="AZ49" t="s">
        <v>74</v>
      </c>
      <c r="BA49" t="s">
        <v>74</v>
      </c>
      <c r="BB49">
        <v>161</v>
      </c>
      <c r="BC49">
        <v>180</v>
      </c>
      <c r="BD49" t="s">
        <v>74</v>
      </c>
      <c r="BE49" t="s">
        <v>497</v>
      </c>
      <c r="BF49" t="str">
        <f>HYPERLINK("http://dx.doi.org/10.1007/s10750-023-05323-2","http://dx.doi.org/10.1007/s10750-023-05323-2")</f>
        <v>http://dx.doi.org/10.1007/s10750-023-05323-2</v>
      </c>
      <c r="BG49" t="s">
        <v>74</v>
      </c>
      <c r="BH49" t="s">
        <v>476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 t="s">
        <v>74</v>
      </c>
      <c r="BR49" t="s">
        <v>74</v>
      </c>
      <c r="BS49" t="s">
        <v>498</v>
      </c>
      <c r="BT49" t="str">
        <f>HYPERLINK("https%3A%2F%2Fwww.webofscience.com%2Fwos%2Fwoscc%2Ffull-record%2FWOS:001046081300002","View Full Record in Web of Science")</f>
        <v>View Full Record in Web of Science</v>
      </c>
    </row>
    <row r="50" spans="1:72" x14ac:dyDescent="0.2">
      <c r="A50" t="s">
        <v>72</v>
      </c>
      <c r="B50" t="s">
        <v>499</v>
      </c>
      <c r="C50" t="s">
        <v>74</v>
      </c>
      <c r="D50" t="s">
        <v>74</v>
      </c>
      <c r="E50" t="s">
        <v>74</v>
      </c>
      <c r="F50" t="s">
        <v>500</v>
      </c>
      <c r="G50" t="s">
        <v>74</v>
      </c>
      <c r="H50" t="s">
        <v>74</v>
      </c>
      <c r="I50" t="s">
        <v>501</v>
      </c>
      <c r="J50" t="s">
        <v>502</v>
      </c>
      <c r="K50" t="s">
        <v>74</v>
      </c>
      <c r="L50" t="s">
        <v>74</v>
      </c>
      <c r="M50" t="s">
        <v>74</v>
      </c>
      <c r="N50" t="s">
        <v>74</v>
      </c>
      <c r="O50" t="s">
        <v>74</v>
      </c>
      <c r="P50" t="s">
        <v>74</v>
      </c>
      <c r="Q50" t="s">
        <v>74</v>
      </c>
      <c r="R50" t="s">
        <v>74</v>
      </c>
      <c r="S50" t="s">
        <v>74</v>
      </c>
      <c r="T50" t="s">
        <v>74</v>
      </c>
      <c r="U50" t="s">
        <v>74</v>
      </c>
      <c r="V50" t="s">
        <v>74</v>
      </c>
      <c r="W50" t="s">
        <v>74</v>
      </c>
      <c r="X50" t="s">
        <v>74</v>
      </c>
      <c r="Y50" t="s">
        <v>74</v>
      </c>
      <c r="Z50" t="s">
        <v>74</v>
      </c>
      <c r="AA50" t="s">
        <v>74</v>
      </c>
      <c r="AB50" t="s">
        <v>74</v>
      </c>
      <c r="AC50" t="s">
        <v>74</v>
      </c>
      <c r="AD50" t="s">
        <v>74</v>
      </c>
      <c r="AE50" t="s">
        <v>74</v>
      </c>
      <c r="AF50" t="s">
        <v>74</v>
      </c>
      <c r="AG50" t="s">
        <v>74</v>
      </c>
      <c r="AH50" t="s">
        <v>74</v>
      </c>
      <c r="AI50" t="s">
        <v>74</v>
      </c>
      <c r="AJ50" t="s">
        <v>74</v>
      </c>
      <c r="AK50" t="s">
        <v>74</v>
      </c>
      <c r="AL50" t="s">
        <v>74</v>
      </c>
      <c r="AM50" t="s">
        <v>74</v>
      </c>
      <c r="AN50" t="s">
        <v>74</v>
      </c>
      <c r="AO50" t="s">
        <v>503</v>
      </c>
      <c r="AP50" t="s">
        <v>504</v>
      </c>
      <c r="AQ50" t="s">
        <v>74</v>
      </c>
      <c r="AR50" t="s">
        <v>74</v>
      </c>
      <c r="AS50" t="s">
        <v>74</v>
      </c>
      <c r="AT50" t="s">
        <v>406</v>
      </c>
      <c r="AU50">
        <v>2023</v>
      </c>
      <c r="AV50">
        <v>154</v>
      </c>
      <c r="AW50" t="s">
        <v>74</v>
      </c>
      <c r="AX50" t="s">
        <v>74</v>
      </c>
      <c r="AY50" t="s">
        <v>74</v>
      </c>
      <c r="AZ50" t="s">
        <v>74</v>
      </c>
      <c r="BA50" t="s">
        <v>74</v>
      </c>
      <c r="BB50" t="s">
        <v>74</v>
      </c>
      <c r="BC50" t="s">
        <v>74</v>
      </c>
      <c r="BD50">
        <v>110774</v>
      </c>
      <c r="BE50" t="s">
        <v>505</v>
      </c>
      <c r="BF50" t="str">
        <f>HYPERLINK("http://dx.doi.org/10.1016/j.ecolind.2023.110774","http://dx.doi.org/10.1016/j.ecolind.2023.110774")</f>
        <v>http://dx.doi.org/10.1016/j.ecolind.2023.110774</v>
      </c>
      <c r="BG50" t="s">
        <v>74</v>
      </c>
      <c r="BH50" t="s">
        <v>476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 t="s">
        <v>506</v>
      </c>
      <c r="BT50" t="str">
        <f>HYPERLINK("https%3A%2F%2Fwww.webofscience.com%2Fwos%2Fwoscc%2Ffull-record%2FWOS:001062856400001","View Full Record in Web of Science")</f>
        <v>View Full Record in Web of Science</v>
      </c>
    </row>
    <row r="51" spans="1:72" x14ac:dyDescent="0.2">
      <c r="A51" t="s">
        <v>72</v>
      </c>
      <c r="B51" t="s">
        <v>507</v>
      </c>
      <c r="C51" t="s">
        <v>74</v>
      </c>
      <c r="D51" t="s">
        <v>74</v>
      </c>
      <c r="E51" t="s">
        <v>74</v>
      </c>
      <c r="F51" t="s">
        <v>508</v>
      </c>
      <c r="G51" t="s">
        <v>74</v>
      </c>
      <c r="H51" t="s">
        <v>74</v>
      </c>
      <c r="I51" t="s">
        <v>509</v>
      </c>
      <c r="J51" t="s">
        <v>115</v>
      </c>
      <c r="K51" t="s">
        <v>74</v>
      </c>
      <c r="L51" t="s">
        <v>74</v>
      </c>
      <c r="M51" t="s">
        <v>74</v>
      </c>
      <c r="N51" t="s">
        <v>74</v>
      </c>
      <c r="O51" t="s">
        <v>74</v>
      </c>
      <c r="P51" t="s">
        <v>74</v>
      </c>
      <c r="Q51" t="s">
        <v>74</v>
      </c>
      <c r="R51" t="s">
        <v>74</v>
      </c>
      <c r="S51" t="s">
        <v>74</v>
      </c>
      <c r="T51" t="s">
        <v>74</v>
      </c>
      <c r="U51" t="s">
        <v>74</v>
      </c>
      <c r="V51" t="s">
        <v>74</v>
      </c>
      <c r="W51" t="s">
        <v>74</v>
      </c>
      <c r="X51" t="s">
        <v>74</v>
      </c>
      <c r="Y51" t="s">
        <v>74</v>
      </c>
      <c r="Z51" t="s">
        <v>74</v>
      </c>
      <c r="AA51" t="s">
        <v>510</v>
      </c>
      <c r="AB51" t="s">
        <v>511</v>
      </c>
      <c r="AC51" t="s">
        <v>74</v>
      </c>
      <c r="AD51" t="s">
        <v>74</v>
      </c>
      <c r="AE51" t="s">
        <v>74</v>
      </c>
      <c r="AF51" t="s">
        <v>74</v>
      </c>
      <c r="AG51" t="s">
        <v>74</v>
      </c>
      <c r="AH51" t="s">
        <v>74</v>
      </c>
      <c r="AI51" t="s">
        <v>74</v>
      </c>
      <c r="AJ51" t="s">
        <v>74</v>
      </c>
      <c r="AK51" t="s">
        <v>74</v>
      </c>
      <c r="AL51" t="s">
        <v>74</v>
      </c>
      <c r="AM51" t="s">
        <v>74</v>
      </c>
      <c r="AN51" t="s">
        <v>74</v>
      </c>
      <c r="AO51" t="s">
        <v>116</v>
      </c>
      <c r="AP51" t="s">
        <v>117</v>
      </c>
      <c r="AQ51" t="s">
        <v>74</v>
      </c>
      <c r="AR51" t="s">
        <v>74</v>
      </c>
      <c r="AS51" t="s">
        <v>74</v>
      </c>
      <c r="AT51" t="s">
        <v>512</v>
      </c>
      <c r="AU51">
        <v>2023</v>
      </c>
      <c r="AV51">
        <v>57</v>
      </c>
      <c r="AW51">
        <v>32</v>
      </c>
      <c r="AX51" t="s">
        <v>74</v>
      </c>
      <c r="AY51" t="s">
        <v>74</v>
      </c>
      <c r="AZ51" t="s">
        <v>74</v>
      </c>
      <c r="BA51" t="s">
        <v>74</v>
      </c>
      <c r="BB51">
        <v>11767</v>
      </c>
      <c r="BC51">
        <v>11778</v>
      </c>
      <c r="BD51" t="s">
        <v>74</v>
      </c>
      <c r="BE51" t="s">
        <v>513</v>
      </c>
      <c r="BF51" t="str">
        <f>HYPERLINK("http://dx.doi.org/10.1021/acs.est.3c02257","http://dx.doi.org/10.1021/acs.est.3c02257")</f>
        <v>http://dx.doi.org/10.1021/acs.est.3c02257</v>
      </c>
      <c r="BG51" t="s">
        <v>74</v>
      </c>
      <c r="BH51" t="s">
        <v>476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>
        <v>37535835</v>
      </c>
      <c r="BO51" t="s">
        <v>74</v>
      </c>
      <c r="BP51" t="s">
        <v>74</v>
      </c>
      <c r="BQ51" t="s">
        <v>74</v>
      </c>
      <c r="BR51" t="s">
        <v>74</v>
      </c>
      <c r="BS51" t="s">
        <v>514</v>
      </c>
      <c r="BT51" t="str">
        <f>HYPERLINK("https%3A%2F%2Fwww.webofscience.com%2Fwos%2Fwoscc%2Ffull-record%2FWOS:001040267600001","View Full Record in Web of Science")</f>
        <v>View Full Record in Web of Science</v>
      </c>
    </row>
    <row r="52" spans="1:72" x14ac:dyDescent="0.2">
      <c r="A52" t="s">
        <v>72</v>
      </c>
      <c r="B52" t="s">
        <v>515</v>
      </c>
      <c r="C52" t="s">
        <v>74</v>
      </c>
      <c r="D52" t="s">
        <v>74</v>
      </c>
      <c r="E52" t="s">
        <v>74</v>
      </c>
      <c r="F52" t="s">
        <v>516</v>
      </c>
      <c r="G52" t="s">
        <v>74</v>
      </c>
      <c r="H52" t="s">
        <v>74</v>
      </c>
      <c r="I52" t="s">
        <v>517</v>
      </c>
      <c r="J52" t="s">
        <v>331</v>
      </c>
      <c r="K52" t="s">
        <v>74</v>
      </c>
      <c r="L52" t="s">
        <v>74</v>
      </c>
      <c r="M52" t="s">
        <v>74</v>
      </c>
      <c r="N52" t="s">
        <v>74</v>
      </c>
      <c r="O52" t="s">
        <v>74</v>
      </c>
      <c r="P52" t="s">
        <v>74</v>
      </c>
      <c r="Q52" t="s">
        <v>74</v>
      </c>
      <c r="R52" t="s">
        <v>74</v>
      </c>
      <c r="S52" t="s">
        <v>74</v>
      </c>
      <c r="T52" t="s">
        <v>74</v>
      </c>
      <c r="U52" t="s">
        <v>74</v>
      </c>
      <c r="V52" t="s">
        <v>74</v>
      </c>
      <c r="W52" t="s">
        <v>74</v>
      </c>
      <c r="X52" t="s">
        <v>74</v>
      </c>
      <c r="Y52" t="s">
        <v>74</v>
      </c>
      <c r="Z52" t="s">
        <v>74</v>
      </c>
      <c r="AA52" t="s">
        <v>518</v>
      </c>
      <c r="AB52" t="s">
        <v>519</v>
      </c>
      <c r="AC52" t="s">
        <v>74</v>
      </c>
      <c r="AD52" t="s">
        <v>74</v>
      </c>
      <c r="AE52" t="s">
        <v>74</v>
      </c>
      <c r="AF52" t="s">
        <v>74</v>
      </c>
      <c r="AG52" t="s">
        <v>74</v>
      </c>
      <c r="AH52" t="s">
        <v>74</v>
      </c>
      <c r="AI52" t="s">
        <v>74</v>
      </c>
      <c r="AJ52" t="s">
        <v>74</v>
      </c>
      <c r="AK52" t="s">
        <v>74</v>
      </c>
      <c r="AL52" t="s">
        <v>74</v>
      </c>
      <c r="AM52" t="s">
        <v>74</v>
      </c>
      <c r="AN52" t="s">
        <v>74</v>
      </c>
      <c r="AO52" t="s">
        <v>74</v>
      </c>
      <c r="AP52" t="s">
        <v>334</v>
      </c>
      <c r="AQ52" t="s">
        <v>74</v>
      </c>
      <c r="AR52" t="s">
        <v>74</v>
      </c>
      <c r="AS52" t="s">
        <v>74</v>
      </c>
      <c r="AT52" t="s">
        <v>520</v>
      </c>
      <c r="AU52">
        <v>2023</v>
      </c>
      <c r="AV52">
        <v>15</v>
      </c>
      <c r="AW52">
        <v>15</v>
      </c>
      <c r="AX52" t="s">
        <v>74</v>
      </c>
      <c r="AY52" t="s">
        <v>74</v>
      </c>
      <c r="AZ52" t="s">
        <v>74</v>
      </c>
      <c r="BA52" t="s">
        <v>74</v>
      </c>
      <c r="BB52" t="s">
        <v>74</v>
      </c>
      <c r="BC52" t="s">
        <v>74</v>
      </c>
      <c r="BD52">
        <v>2796</v>
      </c>
      <c r="BE52" t="s">
        <v>521</v>
      </c>
      <c r="BF52" t="str">
        <f>HYPERLINK("http://dx.doi.org/10.3390/w15152796","http://dx.doi.org/10.3390/w15152796")</f>
        <v>http://dx.doi.org/10.3390/w15152796</v>
      </c>
      <c r="BG52" t="s">
        <v>74</v>
      </c>
      <c r="BH52" t="s">
        <v>74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 t="s">
        <v>74</v>
      </c>
      <c r="BO52" t="s">
        <v>74</v>
      </c>
      <c r="BP52" t="s">
        <v>74</v>
      </c>
      <c r="BQ52" t="s">
        <v>74</v>
      </c>
      <c r="BR52" t="s">
        <v>74</v>
      </c>
      <c r="BS52" t="s">
        <v>522</v>
      </c>
      <c r="BT52" t="str">
        <f>HYPERLINK("https%3A%2F%2Fwww.webofscience.com%2Fwos%2Fwoscc%2Ffull-record%2FWOS:001046371800001","View Full Record in Web of Science")</f>
        <v>View Full Record in Web of Science</v>
      </c>
    </row>
    <row r="53" spans="1:72" x14ac:dyDescent="0.2">
      <c r="A53" t="s">
        <v>72</v>
      </c>
      <c r="B53" t="s">
        <v>523</v>
      </c>
      <c r="C53" t="s">
        <v>74</v>
      </c>
      <c r="D53" t="s">
        <v>74</v>
      </c>
      <c r="E53" t="s">
        <v>74</v>
      </c>
      <c r="F53" t="s">
        <v>524</v>
      </c>
      <c r="G53" t="s">
        <v>74</v>
      </c>
      <c r="H53" t="s">
        <v>74</v>
      </c>
      <c r="I53" t="s">
        <v>525</v>
      </c>
      <c r="J53" t="s">
        <v>457</v>
      </c>
      <c r="K53" t="s">
        <v>74</v>
      </c>
      <c r="L53" t="s">
        <v>74</v>
      </c>
      <c r="M53" t="s">
        <v>74</v>
      </c>
      <c r="N53" t="s">
        <v>74</v>
      </c>
      <c r="O53" t="s">
        <v>74</v>
      </c>
      <c r="P53" t="s">
        <v>74</v>
      </c>
      <c r="Q53" t="s">
        <v>74</v>
      </c>
      <c r="R53" t="s">
        <v>74</v>
      </c>
      <c r="S53" t="s">
        <v>74</v>
      </c>
      <c r="T53" t="s">
        <v>74</v>
      </c>
      <c r="U53" t="s">
        <v>74</v>
      </c>
      <c r="V53" t="s">
        <v>74</v>
      </c>
      <c r="W53" t="s">
        <v>74</v>
      </c>
      <c r="X53" t="s">
        <v>74</v>
      </c>
      <c r="Y53" t="s">
        <v>74</v>
      </c>
      <c r="Z53" t="s">
        <v>74</v>
      </c>
      <c r="AA53" t="s">
        <v>74</v>
      </c>
      <c r="AB53" t="s">
        <v>526</v>
      </c>
      <c r="AC53" t="s">
        <v>74</v>
      </c>
      <c r="AD53" t="s">
        <v>74</v>
      </c>
      <c r="AE53" t="s">
        <v>74</v>
      </c>
      <c r="AF53" t="s">
        <v>74</v>
      </c>
      <c r="AG53" t="s">
        <v>74</v>
      </c>
      <c r="AH53" t="s">
        <v>74</v>
      </c>
      <c r="AI53" t="s">
        <v>74</v>
      </c>
      <c r="AJ53" t="s">
        <v>74</v>
      </c>
      <c r="AK53" t="s">
        <v>74</v>
      </c>
      <c r="AL53" t="s">
        <v>74</v>
      </c>
      <c r="AM53" t="s">
        <v>74</v>
      </c>
      <c r="AN53" t="s">
        <v>74</v>
      </c>
      <c r="AO53" t="s">
        <v>458</v>
      </c>
      <c r="AP53" t="s">
        <v>74</v>
      </c>
      <c r="AQ53" t="s">
        <v>74</v>
      </c>
      <c r="AR53" t="s">
        <v>74</v>
      </c>
      <c r="AS53" t="s">
        <v>74</v>
      </c>
      <c r="AT53" t="s">
        <v>520</v>
      </c>
      <c r="AU53">
        <v>2023</v>
      </c>
      <c r="AV53">
        <v>13</v>
      </c>
      <c r="AW53">
        <v>8</v>
      </c>
      <c r="AX53" t="s">
        <v>74</v>
      </c>
      <c r="AY53" t="s">
        <v>74</v>
      </c>
      <c r="AZ53" t="s">
        <v>74</v>
      </c>
      <c r="BA53" t="s">
        <v>74</v>
      </c>
      <c r="BB53" t="s">
        <v>74</v>
      </c>
      <c r="BC53" t="s">
        <v>74</v>
      </c>
      <c r="BD53" t="s">
        <v>527</v>
      </c>
      <c r="BE53" t="s">
        <v>528</v>
      </c>
      <c r="BF53" t="str">
        <f>HYPERLINK("http://dx.doi.org/10.1002/ece3.10400","http://dx.doi.org/10.1002/ece3.10400")</f>
        <v>http://dx.doi.org/10.1002/ece3.10400</v>
      </c>
      <c r="BG53" t="s">
        <v>74</v>
      </c>
      <c r="BH53" t="s">
        <v>74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>
        <v>37560180</v>
      </c>
      <c r="BO53" t="s">
        <v>74</v>
      </c>
      <c r="BP53" t="s">
        <v>74</v>
      </c>
      <c r="BQ53" t="s">
        <v>74</v>
      </c>
      <c r="BR53" t="s">
        <v>74</v>
      </c>
      <c r="BS53" t="s">
        <v>529</v>
      </c>
      <c r="BT53" t="str">
        <f>HYPERLINK("https%3A%2F%2Fwww.webofscience.com%2Fwos%2Fwoscc%2Ffull-record%2FWOS:001044331600001","View Full Record in Web of Science")</f>
        <v>View Full Record in Web of Science</v>
      </c>
    </row>
    <row r="54" spans="1:72" x14ac:dyDescent="0.2">
      <c r="A54" t="s">
        <v>72</v>
      </c>
      <c r="B54" t="s">
        <v>530</v>
      </c>
      <c r="C54" t="s">
        <v>74</v>
      </c>
      <c r="D54" t="s">
        <v>74</v>
      </c>
      <c r="E54" t="s">
        <v>74</v>
      </c>
      <c r="F54" t="s">
        <v>531</v>
      </c>
      <c r="G54" t="s">
        <v>74</v>
      </c>
      <c r="H54" t="s">
        <v>74</v>
      </c>
      <c r="I54" t="s">
        <v>532</v>
      </c>
      <c r="J54" t="s">
        <v>533</v>
      </c>
      <c r="K54" t="s">
        <v>74</v>
      </c>
      <c r="L54" t="s">
        <v>74</v>
      </c>
      <c r="M54" t="s">
        <v>74</v>
      </c>
      <c r="N54" t="s">
        <v>74</v>
      </c>
      <c r="O54" t="s">
        <v>74</v>
      </c>
      <c r="P54" t="s">
        <v>74</v>
      </c>
      <c r="Q54" t="s">
        <v>74</v>
      </c>
      <c r="R54" t="s">
        <v>74</v>
      </c>
      <c r="S54" t="s">
        <v>74</v>
      </c>
      <c r="T54" t="s">
        <v>74</v>
      </c>
      <c r="U54" t="s">
        <v>74</v>
      </c>
      <c r="V54" t="s">
        <v>74</v>
      </c>
      <c r="W54" t="s">
        <v>74</v>
      </c>
      <c r="X54" t="s">
        <v>74</v>
      </c>
      <c r="Y54" t="s">
        <v>74</v>
      </c>
      <c r="Z54" t="s">
        <v>74</v>
      </c>
      <c r="AA54" t="s">
        <v>534</v>
      </c>
      <c r="AB54" t="s">
        <v>535</v>
      </c>
      <c r="AC54" t="s">
        <v>74</v>
      </c>
      <c r="AD54" t="s">
        <v>74</v>
      </c>
      <c r="AE54" t="s">
        <v>74</v>
      </c>
      <c r="AF54" t="s">
        <v>74</v>
      </c>
      <c r="AG54" t="s">
        <v>74</v>
      </c>
      <c r="AH54" t="s">
        <v>74</v>
      </c>
      <c r="AI54" t="s">
        <v>74</v>
      </c>
      <c r="AJ54" t="s">
        <v>74</v>
      </c>
      <c r="AK54" t="s">
        <v>74</v>
      </c>
      <c r="AL54" t="s">
        <v>74</v>
      </c>
      <c r="AM54" t="s">
        <v>74</v>
      </c>
      <c r="AN54" t="s">
        <v>74</v>
      </c>
      <c r="AO54" t="s">
        <v>536</v>
      </c>
      <c r="AP54" t="s">
        <v>537</v>
      </c>
      <c r="AQ54" t="s">
        <v>74</v>
      </c>
      <c r="AR54" t="s">
        <v>74</v>
      </c>
      <c r="AS54" t="s">
        <v>74</v>
      </c>
      <c r="AT54" t="s">
        <v>538</v>
      </c>
      <c r="AU54">
        <v>2023</v>
      </c>
      <c r="AV54">
        <v>419</v>
      </c>
      <c r="AW54" t="s">
        <v>74</v>
      </c>
      <c r="AX54" t="s">
        <v>74</v>
      </c>
      <c r="AY54" t="s">
        <v>74</v>
      </c>
      <c r="AZ54" t="s">
        <v>74</v>
      </c>
      <c r="BA54" t="s">
        <v>74</v>
      </c>
      <c r="BB54" t="s">
        <v>74</v>
      </c>
      <c r="BC54" t="s">
        <v>74</v>
      </c>
      <c r="BD54">
        <v>138275</v>
      </c>
      <c r="BE54" t="s">
        <v>539</v>
      </c>
      <c r="BF54" t="str">
        <f>HYPERLINK("http://dx.doi.org/10.1016/j.jclepro.2023.138275","http://dx.doi.org/10.1016/j.jclepro.2023.138275")</f>
        <v>http://dx.doi.org/10.1016/j.jclepro.2023.138275</v>
      </c>
      <c r="BG54" t="s">
        <v>74</v>
      </c>
      <c r="BH54" t="s">
        <v>540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 t="s">
        <v>74</v>
      </c>
      <c r="BO54" t="s">
        <v>74</v>
      </c>
      <c r="BP54" t="s">
        <v>74</v>
      </c>
      <c r="BQ54" t="s">
        <v>74</v>
      </c>
      <c r="BR54" t="s">
        <v>74</v>
      </c>
      <c r="BS54" t="s">
        <v>541</v>
      </c>
      <c r="BT54" t="str">
        <f>HYPERLINK("https%3A%2F%2Fwww.webofscience.com%2Fwos%2Fwoscc%2Ffull-record%2FWOS:001052143700001","View Full Record in Web of Science")</f>
        <v>View Full Record in Web of Science</v>
      </c>
    </row>
    <row r="55" spans="1:72" x14ac:dyDescent="0.2">
      <c r="A55" t="s">
        <v>72</v>
      </c>
      <c r="B55" t="s">
        <v>542</v>
      </c>
      <c r="C55" t="s">
        <v>74</v>
      </c>
      <c r="D55" t="s">
        <v>74</v>
      </c>
      <c r="E55" t="s">
        <v>74</v>
      </c>
      <c r="F55" t="s">
        <v>543</v>
      </c>
      <c r="G55" t="s">
        <v>74</v>
      </c>
      <c r="H55" t="s">
        <v>74</v>
      </c>
      <c r="I55" t="s">
        <v>544</v>
      </c>
      <c r="J55" t="s">
        <v>545</v>
      </c>
      <c r="K55" t="s">
        <v>74</v>
      </c>
      <c r="L55" t="s">
        <v>74</v>
      </c>
      <c r="M55" t="s">
        <v>74</v>
      </c>
      <c r="N55" t="s">
        <v>74</v>
      </c>
      <c r="O55" t="s">
        <v>74</v>
      </c>
      <c r="P55" t="s">
        <v>74</v>
      </c>
      <c r="Q55" t="s">
        <v>74</v>
      </c>
      <c r="R55" t="s">
        <v>74</v>
      </c>
      <c r="S55" t="s">
        <v>74</v>
      </c>
      <c r="T55" t="s">
        <v>74</v>
      </c>
      <c r="U55" t="s">
        <v>74</v>
      </c>
      <c r="V55" t="s">
        <v>74</v>
      </c>
      <c r="W55" t="s">
        <v>74</v>
      </c>
      <c r="X55" t="s">
        <v>74</v>
      </c>
      <c r="Y55" t="s">
        <v>74</v>
      </c>
      <c r="Z55" t="s">
        <v>74</v>
      </c>
      <c r="AA55" t="s">
        <v>74</v>
      </c>
      <c r="AB55" t="s">
        <v>74</v>
      </c>
      <c r="AC55" t="s">
        <v>74</v>
      </c>
      <c r="AD55" t="s">
        <v>74</v>
      </c>
      <c r="AE55" t="s">
        <v>74</v>
      </c>
      <c r="AF55" t="s">
        <v>74</v>
      </c>
      <c r="AG55" t="s">
        <v>74</v>
      </c>
      <c r="AH55" t="s">
        <v>74</v>
      </c>
      <c r="AI55" t="s">
        <v>74</v>
      </c>
      <c r="AJ55" t="s">
        <v>74</v>
      </c>
      <c r="AK55" t="s">
        <v>74</v>
      </c>
      <c r="AL55" t="s">
        <v>74</v>
      </c>
      <c r="AM55" t="s">
        <v>74</v>
      </c>
      <c r="AN55" t="s">
        <v>74</v>
      </c>
      <c r="AO55" t="s">
        <v>546</v>
      </c>
      <c r="AP55" t="s">
        <v>547</v>
      </c>
      <c r="AQ55" t="s">
        <v>74</v>
      </c>
      <c r="AR55" t="s">
        <v>74</v>
      </c>
      <c r="AS55" t="s">
        <v>74</v>
      </c>
      <c r="AT55" t="s">
        <v>548</v>
      </c>
      <c r="AU55">
        <v>2023</v>
      </c>
      <c r="AV55">
        <v>26</v>
      </c>
      <c r="AW55">
        <v>3</v>
      </c>
      <c r="AX55" t="s">
        <v>74</v>
      </c>
      <c r="AY55" t="s">
        <v>74</v>
      </c>
      <c r="AZ55" t="s">
        <v>74</v>
      </c>
      <c r="BA55" t="s">
        <v>74</v>
      </c>
      <c r="BB55">
        <v>17</v>
      </c>
      <c r="BC55">
        <v>25</v>
      </c>
      <c r="BD55" t="s">
        <v>74</v>
      </c>
      <c r="BE55" t="s">
        <v>549</v>
      </c>
      <c r="BF55" t="str">
        <f>HYPERLINK("http://dx.doi.org/10.14321/aehm.026.03.17","http://dx.doi.org/10.14321/aehm.026.03.17")</f>
        <v>http://dx.doi.org/10.14321/aehm.026.03.17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 t="s">
        <v>550</v>
      </c>
      <c r="BT55" t="str">
        <f>HYPERLINK("https%3A%2F%2Fwww.webofscience.com%2Fwos%2Fwoscc%2Ffull-record%2FWOS:001184700900004","View Full Record in Web of Science")</f>
        <v>View Full Record in Web of Science</v>
      </c>
    </row>
    <row r="56" spans="1:72" x14ac:dyDescent="0.2">
      <c r="A56" t="s">
        <v>72</v>
      </c>
      <c r="B56" t="s">
        <v>551</v>
      </c>
      <c r="C56" t="s">
        <v>74</v>
      </c>
      <c r="D56" t="s">
        <v>74</v>
      </c>
      <c r="E56" t="s">
        <v>74</v>
      </c>
      <c r="F56" t="s">
        <v>552</v>
      </c>
      <c r="G56" t="s">
        <v>74</v>
      </c>
      <c r="H56" t="s">
        <v>74</v>
      </c>
      <c r="I56" t="s">
        <v>553</v>
      </c>
      <c r="J56" t="s">
        <v>190</v>
      </c>
      <c r="K56" t="s">
        <v>74</v>
      </c>
      <c r="L56" t="s">
        <v>74</v>
      </c>
      <c r="M56" t="s">
        <v>74</v>
      </c>
      <c r="N56" t="s">
        <v>74</v>
      </c>
      <c r="O56" t="s">
        <v>74</v>
      </c>
      <c r="P56" t="s">
        <v>74</v>
      </c>
      <c r="Q56" t="s">
        <v>74</v>
      </c>
      <c r="R56" t="s">
        <v>74</v>
      </c>
      <c r="S56" t="s">
        <v>74</v>
      </c>
      <c r="T56" t="s">
        <v>74</v>
      </c>
      <c r="U56" t="s">
        <v>74</v>
      </c>
      <c r="V56" t="s">
        <v>74</v>
      </c>
      <c r="W56" t="s">
        <v>74</v>
      </c>
      <c r="X56" t="s">
        <v>74</v>
      </c>
      <c r="Y56" t="s">
        <v>74</v>
      </c>
      <c r="Z56" t="s">
        <v>74</v>
      </c>
      <c r="AA56" t="s">
        <v>74</v>
      </c>
      <c r="AB56" t="s">
        <v>74</v>
      </c>
      <c r="AC56" t="s">
        <v>74</v>
      </c>
      <c r="AD56" t="s">
        <v>74</v>
      </c>
      <c r="AE56" t="s">
        <v>74</v>
      </c>
      <c r="AF56" t="s">
        <v>74</v>
      </c>
      <c r="AG56" t="s">
        <v>74</v>
      </c>
      <c r="AH56" t="s">
        <v>74</v>
      </c>
      <c r="AI56" t="s">
        <v>74</v>
      </c>
      <c r="AJ56" t="s">
        <v>74</v>
      </c>
      <c r="AK56" t="s">
        <v>74</v>
      </c>
      <c r="AL56" t="s">
        <v>74</v>
      </c>
      <c r="AM56" t="s">
        <v>74</v>
      </c>
      <c r="AN56" t="s">
        <v>74</v>
      </c>
      <c r="AO56" t="s">
        <v>74</v>
      </c>
      <c r="AP56" t="s">
        <v>191</v>
      </c>
      <c r="AQ56" t="s">
        <v>74</v>
      </c>
      <c r="AR56" t="s">
        <v>74</v>
      </c>
      <c r="AS56" t="s">
        <v>74</v>
      </c>
      <c r="AT56" t="s">
        <v>554</v>
      </c>
      <c r="AU56">
        <v>2023</v>
      </c>
      <c r="AV56">
        <v>14</v>
      </c>
      <c r="AW56" t="s">
        <v>74</v>
      </c>
      <c r="AX56" t="s">
        <v>74</v>
      </c>
      <c r="AY56" t="s">
        <v>74</v>
      </c>
      <c r="AZ56" t="s">
        <v>74</v>
      </c>
      <c r="BA56" t="s">
        <v>74</v>
      </c>
      <c r="BB56" t="s">
        <v>74</v>
      </c>
      <c r="BC56" t="s">
        <v>74</v>
      </c>
      <c r="BD56">
        <v>1195776</v>
      </c>
      <c r="BE56" t="s">
        <v>555</v>
      </c>
      <c r="BF56" t="str">
        <f>HYPERLINK("http://dx.doi.org/10.3389/fmicb.2023.1195776","http://dx.doi.org/10.3389/fmicb.2023.1195776")</f>
        <v>http://dx.doi.org/10.3389/fmicb.2023.1195776</v>
      </c>
      <c r="BG56" t="s">
        <v>74</v>
      </c>
      <c r="BH56" t="s">
        <v>74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>
        <v>37426024</v>
      </c>
      <c r="BO56" t="s">
        <v>74</v>
      </c>
      <c r="BP56" t="s">
        <v>74</v>
      </c>
      <c r="BQ56" t="s">
        <v>74</v>
      </c>
      <c r="BR56" t="s">
        <v>74</v>
      </c>
      <c r="BS56" t="s">
        <v>556</v>
      </c>
      <c r="BT56" t="str">
        <f>HYPERLINK("https%3A%2F%2Fwww.webofscience.com%2Fwos%2Fwoscc%2Ffull-record%2FWOS:001024468800001","View Full Record in Web of Science")</f>
        <v>View Full Record in Web of Science</v>
      </c>
    </row>
    <row r="57" spans="1:72" x14ac:dyDescent="0.2">
      <c r="A57" t="s">
        <v>72</v>
      </c>
      <c r="B57" t="s">
        <v>557</v>
      </c>
      <c r="C57" t="s">
        <v>74</v>
      </c>
      <c r="D57" t="s">
        <v>74</v>
      </c>
      <c r="E57" t="s">
        <v>74</v>
      </c>
      <c r="F57" t="s">
        <v>558</v>
      </c>
      <c r="G57" t="s">
        <v>74</v>
      </c>
      <c r="H57" t="s">
        <v>74</v>
      </c>
      <c r="I57" t="s">
        <v>559</v>
      </c>
      <c r="J57" t="s">
        <v>145</v>
      </c>
      <c r="K57" t="s">
        <v>74</v>
      </c>
      <c r="L57" t="s">
        <v>74</v>
      </c>
      <c r="M57" t="s">
        <v>74</v>
      </c>
      <c r="N57" t="s">
        <v>74</v>
      </c>
      <c r="O57" t="s">
        <v>74</v>
      </c>
      <c r="P57" t="s">
        <v>74</v>
      </c>
      <c r="Q57" t="s">
        <v>74</v>
      </c>
      <c r="R57" t="s">
        <v>74</v>
      </c>
      <c r="S57" t="s">
        <v>74</v>
      </c>
      <c r="T57" t="s">
        <v>74</v>
      </c>
      <c r="U57" t="s">
        <v>74</v>
      </c>
      <c r="V57" t="s">
        <v>74</v>
      </c>
      <c r="W57" t="s">
        <v>74</v>
      </c>
      <c r="X57" t="s">
        <v>74</v>
      </c>
      <c r="Y57" t="s">
        <v>74</v>
      </c>
      <c r="Z57" t="s">
        <v>74</v>
      </c>
      <c r="AA57" t="s">
        <v>6796</v>
      </c>
      <c r="AB57" t="s">
        <v>74</v>
      </c>
      <c r="AC57" t="s">
        <v>74</v>
      </c>
      <c r="AD57" t="s">
        <v>74</v>
      </c>
      <c r="AE57" t="s">
        <v>74</v>
      </c>
      <c r="AF57" t="s">
        <v>74</v>
      </c>
      <c r="AG57" t="s">
        <v>74</v>
      </c>
      <c r="AH57" t="s">
        <v>74</v>
      </c>
      <c r="AI57" t="s">
        <v>74</v>
      </c>
      <c r="AJ57" t="s">
        <v>74</v>
      </c>
      <c r="AK57" t="s">
        <v>74</v>
      </c>
      <c r="AL57" t="s">
        <v>74</v>
      </c>
      <c r="AM57" t="s">
        <v>74</v>
      </c>
      <c r="AN57" t="s">
        <v>74</v>
      </c>
      <c r="AO57" t="s">
        <v>146</v>
      </c>
      <c r="AP57" t="s">
        <v>147</v>
      </c>
      <c r="AQ57" t="s">
        <v>74</v>
      </c>
      <c r="AR57" t="s">
        <v>74</v>
      </c>
      <c r="AS57" t="s">
        <v>74</v>
      </c>
      <c r="AT57" t="s">
        <v>538</v>
      </c>
      <c r="AU57">
        <v>2023</v>
      </c>
      <c r="AV57">
        <v>892</v>
      </c>
      <c r="AW57" t="s">
        <v>74</v>
      </c>
      <c r="AX57" t="s">
        <v>74</v>
      </c>
      <c r="AY57" t="s">
        <v>74</v>
      </c>
      <c r="AZ57" t="s">
        <v>74</v>
      </c>
      <c r="BA57" t="s">
        <v>74</v>
      </c>
      <c r="BB57" t="s">
        <v>74</v>
      </c>
      <c r="BC57" t="s">
        <v>74</v>
      </c>
      <c r="BD57">
        <v>164718</v>
      </c>
      <c r="BE57" t="s">
        <v>560</v>
      </c>
      <c r="BF57" t="str">
        <f>HYPERLINK("http://dx.doi.org/10.1016/j.scitotenv.2023.164718","http://dx.doi.org/10.1016/j.scitotenv.2023.164718")</f>
        <v>http://dx.doi.org/10.1016/j.scitotenv.2023.164718</v>
      </c>
      <c r="BG57" t="s">
        <v>74</v>
      </c>
      <c r="BH57" t="s">
        <v>561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>
        <v>37301391</v>
      </c>
      <c r="BO57" t="s">
        <v>74</v>
      </c>
      <c r="BP57" t="s">
        <v>74</v>
      </c>
      <c r="BQ57" t="s">
        <v>74</v>
      </c>
      <c r="BR57" t="s">
        <v>74</v>
      </c>
      <c r="BS57" t="s">
        <v>562</v>
      </c>
      <c r="BT57" t="str">
        <f>HYPERLINK("https%3A%2F%2Fwww.webofscience.com%2Fwos%2Fwoscc%2Ffull-record%2FWOS:001026200300001","View Full Record in Web of Science")</f>
        <v>View Full Record in Web of Science</v>
      </c>
    </row>
    <row r="58" spans="1:72" x14ac:dyDescent="0.2">
      <c r="A58" t="s">
        <v>72</v>
      </c>
      <c r="B58" t="s">
        <v>563</v>
      </c>
      <c r="C58" t="s">
        <v>74</v>
      </c>
      <c r="D58" t="s">
        <v>74</v>
      </c>
      <c r="E58" t="s">
        <v>74</v>
      </c>
      <c r="F58" t="s">
        <v>564</v>
      </c>
      <c r="G58" t="s">
        <v>74</v>
      </c>
      <c r="H58" t="s">
        <v>74</v>
      </c>
      <c r="I58" t="s">
        <v>565</v>
      </c>
      <c r="J58" t="s">
        <v>566</v>
      </c>
      <c r="K58" t="s">
        <v>74</v>
      </c>
      <c r="L58" t="s">
        <v>74</v>
      </c>
      <c r="M58" t="s">
        <v>74</v>
      </c>
      <c r="N58" t="s">
        <v>74</v>
      </c>
      <c r="O58" t="s">
        <v>74</v>
      </c>
      <c r="P58" t="s">
        <v>74</v>
      </c>
      <c r="Q58" t="s">
        <v>74</v>
      </c>
      <c r="R58" t="s">
        <v>74</v>
      </c>
      <c r="S58" t="s">
        <v>74</v>
      </c>
      <c r="T58" t="s">
        <v>74</v>
      </c>
      <c r="U58" t="s">
        <v>74</v>
      </c>
      <c r="V58" t="s">
        <v>74</v>
      </c>
      <c r="W58" t="s">
        <v>74</v>
      </c>
      <c r="X58" t="s">
        <v>74</v>
      </c>
      <c r="Y58" t="s">
        <v>74</v>
      </c>
      <c r="Z58" t="s">
        <v>74</v>
      </c>
      <c r="AA58" t="s">
        <v>6797</v>
      </c>
      <c r="AB58" t="s">
        <v>6798</v>
      </c>
      <c r="AC58" t="s">
        <v>74</v>
      </c>
      <c r="AD58" t="s">
        <v>74</v>
      </c>
      <c r="AE58" t="s">
        <v>74</v>
      </c>
      <c r="AF58" t="s">
        <v>74</v>
      </c>
      <c r="AG58" t="s">
        <v>74</v>
      </c>
      <c r="AH58" t="s">
        <v>74</v>
      </c>
      <c r="AI58" t="s">
        <v>74</v>
      </c>
      <c r="AJ58" t="s">
        <v>74</v>
      </c>
      <c r="AK58" t="s">
        <v>74</v>
      </c>
      <c r="AL58" t="s">
        <v>74</v>
      </c>
      <c r="AM58" t="s">
        <v>74</v>
      </c>
      <c r="AN58" t="s">
        <v>74</v>
      </c>
      <c r="AO58" t="s">
        <v>567</v>
      </c>
      <c r="AP58" t="s">
        <v>568</v>
      </c>
      <c r="AQ58" t="s">
        <v>74</v>
      </c>
      <c r="AR58" t="s">
        <v>74</v>
      </c>
      <c r="AS58" t="s">
        <v>74</v>
      </c>
      <c r="AT58" t="s">
        <v>569</v>
      </c>
      <c r="AU58">
        <v>2023</v>
      </c>
      <c r="AV58">
        <v>25</v>
      </c>
      <c r="AW58">
        <v>3</v>
      </c>
      <c r="AX58" t="s">
        <v>74</v>
      </c>
      <c r="AY58" t="s">
        <v>74</v>
      </c>
      <c r="AZ58" t="s">
        <v>74</v>
      </c>
      <c r="BA58" t="s">
        <v>74</v>
      </c>
      <c r="BB58">
        <v>473</v>
      </c>
      <c r="BC58">
        <v>487</v>
      </c>
      <c r="BD58" t="s">
        <v>74</v>
      </c>
      <c r="BE58" t="s">
        <v>570</v>
      </c>
      <c r="BF58" t="str">
        <f>HYPERLINK("http://dx.doi.org/10.1007/s10126-023-10220-9","http://dx.doi.org/10.1007/s10126-023-10220-9")</f>
        <v>http://dx.doi.org/10.1007/s10126-023-10220-9</v>
      </c>
      <c r="BG58" t="s">
        <v>74</v>
      </c>
      <c r="BH58" t="s">
        <v>561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>
        <v>37310522</v>
      </c>
      <c r="BO58" t="s">
        <v>74</v>
      </c>
      <c r="BP58" t="s">
        <v>74</v>
      </c>
      <c r="BQ58" t="s">
        <v>74</v>
      </c>
      <c r="BR58" t="s">
        <v>74</v>
      </c>
      <c r="BS58" t="s">
        <v>571</v>
      </c>
      <c r="BT58" t="str">
        <f>HYPERLINK("https%3A%2F%2Fwww.webofscience.com%2Fwos%2Fwoscc%2Ffull-record%2FWOS:001005825000001","View Full Record in Web of Science")</f>
        <v>View Full Record in Web of Science</v>
      </c>
    </row>
    <row r="59" spans="1:72" x14ac:dyDescent="0.2">
      <c r="A59" t="s">
        <v>72</v>
      </c>
      <c r="B59" t="s">
        <v>572</v>
      </c>
      <c r="C59" t="s">
        <v>74</v>
      </c>
      <c r="D59" t="s">
        <v>74</v>
      </c>
      <c r="E59" t="s">
        <v>74</v>
      </c>
      <c r="F59" t="s">
        <v>573</v>
      </c>
      <c r="G59" t="s">
        <v>74</v>
      </c>
      <c r="H59" t="s">
        <v>74</v>
      </c>
      <c r="I59" t="s">
        <v>574</v>
      </c>
      <c r="J59" t="s">
        <v>154</v>
      </c>
      <c r="K59" t="s">
        <v>74</v>
      </c>
      <c r="L59" t="s">
        <v>74</v>
      </c>
      <c r="M59" t="s">
        <v>74</v>
      </c>
      <c r="N59" t="s">
        <v>74</v>
      </c>
      <c r="O59" t="s">
        <v>74</v>
      </c>
      <c r="P59" t="s">
        <v>74</v>
      </c>
      <c r="Q59" t="s">
        <v>74</v>
      </c>
      <c r="R59" t="s">
        <v>74</v>
      </c>
      <c r="S59" t="s">
        <v>74</v>
      </c>
      <c r="T59" t="s">
        <v>74</v>
      </c>
      <c r="U59" t="s">
        <v>74</v>
      </c>
      <c r="V59" t="s">
        <v>74</v>
      </c>
      <c r="W59" t="s">
        <v>74</v>
      </c>
      <c r="X59" t="s">
        <v>74</v>
      </c>
      <c r="Y59" t="s">
        <v>74</v>
      </c>
      <c r="Z59" t="s">
        <v>74</v>
      </c>
      <c r="AA59" t="s">
        <v>6799</v>
      </c>
      <c r="AB59" t="s">
        <v>6800</v>
      </c>
      <c r="AC59" t="s">
        <v>74</v>
      </c>
      <c r="AD59" t="s">
        <v>74</v>
      </c>
      <c r="AE59" t="s">
        <v>74</v>
      </c>
      <c r="AF59" t="s">
        <v>74</v>
      </c>
      <c r="AG59" t="s">
        <v>74</v>
      </c>
      <c r="AH59" t="s">
        <v>74</v>
      </c>
      <c r="AI59" t="s">
        <v>74</v>
      </c>
      <c r="AJ59" t="s">
        <v>74</v>
      </c>
      <c r="AK59" t="s">
        <v>74</v>
      </c>
      <c r="AL59" t="s">
        <v>74</v>
      </c>
      <c r="AM59" t="s">
        <v>74</v>
      </c>
      <c r="AN59" t="s">
        <v>74</v>
      </c>
      <c r="AO59" t="s">
        <v>155</v>
      </c>
      <c r="AP59" t="s">
        <v>156</v>
      </c>
      <c r="AQ59" t="s">
        <v>74</v>
      </c>
      <c r="AR59" t="s">
        <v>74</v>
      </c>
      <c r="AS59" t="s">
        <v>74</v>
      </c>
      <c r="AT59" t="s">
        <v>575</v>
      </c>
      <c r="AU59">
        <v>2023</v>
      </c>
      <c r="AV59">
        <v>100</v>
      </c>
      <c r="AW59" t="s">
        <v>74</v>
      </c>
      <c r="AX59" t="s">
        <v>74</v>
      </c>
      <c r="AY59" t="s">
        <v>74</v>
      </c>
      <c r="AZ59" t="s">
        <v>74</v>
      </c>
      <c r="BA59" t="s">
        <v>74</v>
      </c>
      <c r="BB59" t="s">
        <v>74</v>
      </c>
      <c r="BC59" t="s">
        <v>74</v>
      </c>
      <c r="BD59">
        <v>126057</v>
      </c>
      <c r="BE59" t="s">
        <v>576</v>
      </c>
      <c r="BF59" t="str">
        <f>HYPERLINK("http://dx.doi.org/10.1016/j.limno.2023.126057","http://dx.doi.org/10.1016/j.limno.2023.126057")</f>
        <v>http://dx.doi.org/10.1016/j.limno.2023.126057</v>
      </c>
      <c r="BG59" t="s">
        <v>74</v>
      </c>
      <c r="BH59" t="s">
        <v>561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 t="s">
        <v>74</v>
      </c>
      <c r="BR59" t="s">
        <v>74</v>
      </c>
      <c r="BS59" t="s">
        <v>577</v>
      </c>
      <c r="BT59" t="str">
        <f>HYPERLINK("https%3A%2F%2Fwww.webofscience.com%2Fwos%2Fwoscc%2Ffull-record%2FWOS:001030262000001","View Full Record in Web of Science")</f>
        <v>View Full Record in Web of Science</v>
      </c>
    </row>
    <row r="60" spans="1:72" x14ac:dyDescent="0.2">
      <c r="A60" t="s">
        <v>72</v>
      </c>
      <c r="B60" t="s">
        <v>578</v>
      </c>
      <c r="C60" t="s">
        <v>74</v>
      </c>
      <c r="D60" t="s">
        <v>74</v>
      </c>
      <c r="E60" t="s">
        <v>74</v>
      </c>
      <c r="F60" t="s">
        <v>579</v>
      </c>
      <c r="G60" t="s">
        <v>74</v>
      </c>
      <c r="H60" t="s">
        <v>74</v>
      </c>
      <c r="I60" t="s">
        <v>580</v>
      </c>
      <c r="J60" t="s">
        <v>457</v>
      </c>
      <c r="K60" t="s">
        <v>74</v>
      </c>
      <c r="L60" t="s">
        <v>74</v>
      </c>
      <c r="M60" t="s">
        <v>74</v>
      </c>
      <c r="N60" t="s">
        <v>74</v>
      </c>
      <c r="O60" t="s">
        <v>74</v>
      </c>
      <c r="P60" t="s">
        <v>74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74</v>
      </c>
      <c r="Y60" t="s">
        <v>74</v>
      </c>
      <c r="Z60" t="s">
        <v>74</v>
      </c>
      <c r="AA60" t="s">
        <v>581</v>
      </c>
      <c r="AB60" t="s">
        <v>582</v>
      </c>
      <c r="AC60" t="s">
        <v>74</v>
      </c>
      <c r="AD60" t="s">
        <v>74</v>
      </c>
      <c r="AE60" t="s">
        <v>74</v>
      </c>
      <c r="AF60" t="s">
        <v>74</v>
      </c>
      <c r="AG60" t="s">
        <v>74</v>
      </c>
      <c r="AH60" t="s">
        <v>74</v>
      </c>
      <c r="AI60" t="s">
        <v>74</v>
      </c>
      <c r="AJ60" t="s">
        <v>74</v>
      </c>
      <c r="AK60" t="s">
        <v>74</v>
      </c>
      <c r="AL60" t="s">
        <v>74</v>
      </c>
      <c r="AM60" t="s">
        <v>74</v>
      </c>
      <c r="AN60" t="s">
        <v>74</v>
      </c>
      <c r="AO60" t="s">
        <v>458</v>
      </c>
      <c r="AP60" t="s">
        <v>74</v>
      </c>
      <c r="AQ60" t="s">
        <v>74</v>
      </c>
      <c r="AR60" t="s">
        <v>74</v>
      </c>
      <c r="AS60" t="s">
        <v>74</v>
      </c>
      <c r="AT60" t="s">
        <v>569</v>
      </c>
      <c r="AU60">
        <v>2023</v>
      </c>
      <c r="AV60">
        <v>13</v>
      </c>
      <c r="AW60">
        <v>6</v>
      </c>
      <c r="AX60" t="s">
        <v>74</v>
      </c>
      <c r="AY60" t="s">
        <v>74</v>
      </c>
      <c r="AZ60" t="s">
        <v>74</v>
      </c>
      <c r="BA60" t="s">
        <v>74</v>
      </c>
      <c r="BB60" t="s">
        <v>74</v>
      </c>
      <c r="BC60" t="s">
        <v>74</v>
      </c>
      <c r="BD60" t="s">
        <v>583</v>
      </c>
      <c r="BE60" t="s">
        <v>584</v>
      </c>
      <c r="BF60" t="str">
        <f>HYPERLINK("http://dx.doi.org/10.1002/ece3.10179","http://dx.doi.org/10.1002/ece3.10179")</f>
        <v>http://dx.doi.org/10.1002/ece3.10179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>
        <v>37325725</v>
      </c>
      <c r="BO60" t="s">
        <v>74</v>
      </c>
      <c r="BP60" t="s">
        <v>74</v>
      </c>
      <c r="BQ60" t="s">
        <v>74</v>
      </c>
      <c r="BR60" t="s">
        <v>74</v>
      </c>
      <c r="BS60" t="s">
        <v>585</v>
      </c>
      <c r="BT60" t="str">
        <f>HYPERLINK("https%3A%2F%2Fwww.webofscience.com%2Fwos%2Fwoscc%2Ffull-record%2FWOS:001008547100001","View Full Record in Web of Science")</f>
        <v>View Full Record in Web of Science</v>
      </c>
    </row>
    <row r="61" spans="1:72" x14ac:dyDescent="0.2">
      <c r="A61" t="s">
        <v>72</v>
      </c>
      <c r="B61" t="s">
        <v>586</v>
      </c>
      <c r="C61" t="s">
        <v>74</v>
      </c>
      <c r="D61" t="s">
        <v>74</v>
      </c>
      <c r="E61" t="s">
        <v>74</v>
      </c>
      <c r="F61" t="s">
        <v>587</v>
      </c>
      <c r="G61" t="s">
        <v>74</v>
      </c>
      <c r="H61" t="s">
        <v>74</v>
      </c>
      <c r="I61" t="s">
        <v>588</v>
      </c>
      <c r="J61" t="s">
        <v>457</v>
      </c>
      <c r="K61" t="s">
        <v>74</v>
      </c>
      <c r="L61" t="s">
        <v>74</v>
      </c>
      <c r="M61" t="s">
        <v>74</v>
      </c>
      <c r="N61" t="s">
        <v>74</v>
      </c>
      <c r="O61" t="s">
        <v>74</v>
      </c>
      <c r="P61" t="s">
        <v>74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74</v>
      </c>
      <c r="Y61" t="s">
        <v>74</v>
      </c>
      <c r="Z61" t="s">
        <v>74</v>
      </c>
      <c r="AA61" t="s">
        <v>74</v>
      </c>
      <c r="AB61" t="s">
        <v>589</v>
      </c>
      <c r="AC61" t="s">
        <v>74</v>
      </c>
      <c r="AD61" t="s">
        <v>74</v>
      </c>
      <c r="AE61" t="s">
        <v>74</v>
      </c>
      <c r="AF61" t="s">
        <v>74</v>
      </c>
      <c r="AG61" t="s">
        <v>74</v>
      </c>
      <c r="AH61" t="s">
        <v>74</v>
      </c>
      <c r="AI61" t="s">
        <v>74</v>
      </c>
      <c r="AJ61" t="s">
        <v>74</v>
      </c>
      <c r="AK61" t="s">
        <v>74</v>
      </c>
      <c r="AL61" t="s">
        <v>74</v>
      </c>
      <c r="AM61" t="s">
        <v>74</v>
      </c>
      <c r="AN61" t="s">
        <v>74</v>
      </c>
      <c r="AO61" t="s">
        <v>458</v>
      </c>
      <c r="AP61" t="s">
        <v>74</v>
      </c>
      <c r="AQ61" t="s">
        <v>74</v>
      </c>
      <c r="AR61" t="s">
        <v>74</v>
      </c>
      <c r="AS61" t="s">
        <v>74</v>
      </c>
      <c r="AT61" t="s">
        <v>569</v>
      </c>
      <c r="AU61">
        <v>2023</v>
      </c>
      <c r="AV61">
        <v>13</v>
      </c>
      <c r="AW61">
        <v>6</v>
      </c>
      <c r="AX61" t="s">
        <v>74</v>
      </c>
      <c r="AY61" t="s">
        <v>74</v>
      </c>
      <c r="AZ61" t="s">
        <v>74</v>
      </c>
      <c r="BA61" t="s">
        <v>74</v>
      </c>
      <c r="BB61" t="s">
        <v>74</v>
      </c>
      <c r="BC61" t="s">
        <v>74</v>
      </c>
      <c r="BD61" t="s">
        <v>590</v>
      </c>
      <c r="BE61" t="s">
        <v>591</v>
      </c>
      <c r="BF61" t="str">
        <f>HYPERLINK("http://dx.doi.org/10.1002/ece3.10176","http://dx.doi.org/10.1002/ece3.10176")</f>
        <v>http://dx.doi.org/10.1002/ece3.10176</v>
      </c>
      <c r="BG61" t="s">
        <v>74</v>
      </c>
      <c r="BH61" t="s">
        <v>74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>
        <v>37351479</v>
      </c>
      <c r="BO61" t="s">
        <v>74</v>
      </c>
      <c r="BP61" t="s">
        <v>74</v>
      </c>
      <c r="BQ61" t="s">
        <v>74</v>
      </c>
      <c r="BR61" t="s">
        <v>74</v>
      </c>
      <c r="BS61" t="s">
        <v>592</v>
      </c>
      <c r="BT61" t="str">
        <f>HYPERLINK("https%3A%2F%2Fwww.webofscience.com%2Fwos%2Fwoscc%2Ffull-record%2FWOS:001015486000001","View Full Record in Web of Science")</f>
        <v>View Full Record in Web of Science</v>
      </c>
    </row>
    <row r="62" spans="1:72" x14ac:dyDescent="0.2">
      <c r="A62" t="s">
        <v>72</v>
      </c>
      <c r="B62" t="s">
        <v>593</v>
      </c>
      <c r="C62" t="s">
        <v>74</v>
      </c>
      <c r="D62" t="s">
        <v>74</v>
      </c>
      <c r="E62" t="s">
        <v>74</v>
      </c>
      <c r="F62" t="s">
        <v>594</v>
      </c>
      <c r="G62" t="s">
        <v>74</v>
      </c>
      <c r="H62" t="s">
        <v>74</v>
      </c>
      <c r="I62" t="s">
        <v>595</v>
      </c>
      <c r="J62" t="s">
        <v>596</v>
      </c>
      <c r="K62" t="s">
        <v>74</v>
      </c>
      <c r="L62" t="s">
        <v>74</v>
      </c>
      <c r="M62" t="s">
        <v>74</v>
      </c>
      <c r="N62" t="s">
        <v>74</v>
      </c>
      <c r="O62" t="s">
        <v>74</v>
      </c>
      <c r="P62" t="s">
        <v>74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74</v>
      </c>
      <c r="Y62" t="s">
        <v>74</v>
      </c>
      <c r="Z62" t="s">
        <v>74</v>
      </c>
      <c r="AA62" t="s">
        <v>6801</v>
      </c>
      <c r="AB62" t="s">
        <v>6802</v>
      </c>
      <c r="AC62" t="s">
        <v>74</v>
      </c>
      <c r="AD62" t="s">
        <v>74</v>
      </c>
      <c r="AE62" t="s">
        <v>74</v>
      </c>
      <c r="AF62" t="s">
        <v>74</v>
      </c>
      <c r="AG62" t="s">
        <v>74</v>
      </c>
      <c r="AH62" t="s">
        <v>74</v>
      </c>
      <c r="AI62" t="s">
        <v>74</v>
      </c>
      <c r="AJ62" t="s">
        <v>74</v>
      </c>
      <c r="AK62" t="s">
        <v>74</v>
      </c>
      <c r="AL62" t="s">
        <v>74</v>
      </c>
      <c r="AM62" t="s">
        <v>74</v>
      </c>
      <c r="AN62" t="s">
        <v>74</v>
      </c>
      <c r="AO62" t="s">
        <v>597</v>
      </c>
      <c r="AP62" t="s">
        <v>74</v>
      </c>
      <c r="AQ62" t="s">
        <v>74</v>
      </c>
      <c r="AR62" t="s">
        <v>74</v>
      </c>
      <c r="AS62" t="s">
        <v>74</v>
      </c>
      <c r="AT62" t="s">
        <v>569</v>
      </c>
      <c r="AU62">
        <v>2023</v>
      </c>
      <c r="AV62">
        <v>14</v>
      </c>
      <c r="AW62">
        <v>6</v>
      </c>
      <c r="AX62" t="s">
        <v>74</v>
      </c>
      <c r="AY62" t="s">
        <v>74</v>
      </c>
      <c r="AZ62" t="s">
        <v>74</v>
      </c>
      <c r="BA62" t="s">
        <v>74</v>
      </c>
      <c r="BB62" t="s">
        <v>74</v>
      </c>
      <c r="BC62" t="s">
        <v>74</v>
      </c>
      <c r="BD62" t="s">
        <v>598</v>
      </c>
      <c r="BE62" t="s">
        <v>599</v>
      </c>
      <c r="BF62" t="str">
        <f>HYPERLINK("http://dx.doi.org/10.1002/ecs2.4489","http://dx.doi.org/10.1002/ecs2.4489")</f>
        <v>http://dx.doi.org/10.1002/ecs2.4489</v>
      </c>
      <c r="BG62" t="s">
        <v>74</v>
      </c>
      <c r="BH62" t="s">
        <v>74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600</v>
      </c>
      <c r="BT62" t="str">
        <f>HYPERLINK("https%3A%2F%2Fwww.webofscience.com%2Fwos%2Fwoscc%2Ffull-record%2FWOS:001003030400001","View Full Record in Web of Science")</f>
        <v>View Full Record in Web of Science</v>
      </c>
    </row>
    <row r="63" spans="1:72" x14ac:dyDescent="0.2">
      <c r="A63" t="s">
        <v>72</v>
      </c>
      <c r="B63" t="s">
        <v>601</v>
      </c>
      <c r="C63" t="s">
        <v>74</v>
      </c>
      <c r="D63" t="s">
        <v>74</v>
      </c>
      <c r="E63" t="s">
        <v>74</v>
      </c>
      <c r="F63" t="s">
        <v>602</v>
      </c>
      <c r="G63" t="s">
        <v>74</v>
      </c>
      <c r="H63" t="s">
        <v>74</v>
      </c>
      <c r="I63" t="s">
        <v>603</v>
      </c>
      <c r="J63" t="s">
        <v>604</v>
      </c>
      <c r="K63" t="s">
        <v>74</v>
      </c>
      <c r="L63" t="s">
        <v>74</v>
      </c>
      <c r="M63" t="s">
        <v>74</v>
      </c>
      <c r="N63" t="s">
        <v>74</v>
      </c>
      <c r="O63" t="s">
        <v>74</v>
      </c>
      <c r="P63" t="s">
        <v>74</v>
      </c>
      <c r="Q63" t="s">
        <v>74</v>
      </c>
      <c r="R63" t="s">
        <v>74</v>
      </c>
      <c r="S63" t="s">
        <v>74</v>
      </c>
      <c r="T63" t="s">
        <v>74</v>
      </c>
      <c r="U63" t="s">
        <v>74</v>
      </c>
      <c r="V63" t="s">
        <v>74</v>
      </c>
      <c r="W63" t="s">
        <v>74</v>
      </c>
      <c r="X63" t="s">
        <v>74</v>
      </c>
      <c r="Y63" t="s">
        <v>74</v>
      </c>
      <c r="Z63" t="s">
        <v>74</v>
      </c>
      <c r="AA63" t="s">
        <v>74</v>
      </c>
      <c r="AB63" t="s">
        <v>74</v>
      </c>
      <c r="AC63" t="s">
        <v>74</v>
      </c>
      <c r="AD63" t="s">
        <v>74</v>
      </c>
      <c r="AE63" t="s">
        <v>74</v>
      </c>
      <c r="AF63" t="s">
        <v>74</v>
      </c>
      <c r="AG63" t="s">
        <v>74</v>
      </c>
      <c r="AH63" t="s">
        <v>74</v>
      </c>
      <c r="AI63" t="s">
        <v>74</v>
      </c>
      <c r="AJ63" t="s">
        <v>74</v>
      </c>
      <c r="AK63" t="s">
        <v>74</v>
      </c>
      <c r="AL63" t="s">
        <v>74</v>
      </c>
      <c r="AM63" t="s">
        <v>74</v>
      </c>
      <c r="AN63" t="s">
        <v>74</v>
      </c>
      <c r="AO63" t="s">
        <v>605</v>
      </c>
      <c r="AP63" t="s">
        <v>606</v>
      </c>
      <c r="AQ63" t="s">
        <v>74</v>
      </c>
      <c r="AR63" t="s">
        <v>74</v>
      </c>
      <c r="AS63" t="s">
        <v>74</v>
      </c>
      <c r="AT63" t="s">
        <v>569</v>
      </c>
      <c r="AU63">
        <v>2023</v>
      </c>
      <c r="AV63" t="s">
        <v>74</v>
      </c>
      <c r="AW63">
        <v>62</v>
      </c>
      <c r="AX63" t="s">
        <v>74</v>
      </c>
      <c r="AY63" t="s">
        <v>74</v>
      </c>
      <c r="AZ63" t="s">
        <v>74</v>
      </c>
      <c r="BA63" t="s">
        <v>74</v>
      </c>
      <c r="BB63">
        <v>94</v>
      </c>
      <c r="BC63">
        <v>108</v>
      </c>
      <c r="BD63" t="s">
        <v>74</v>
      </c>
      <c r="BE63" t="s">
        <v>607</v>
      </c>
      <c r="BF63" t="str">
        <f>HYPERLINK("http://dx.doi.org/10.17223/19988591/62/5","http://dx.doi.org/10.17223/19988591/62/5")</f>
        <v>http://dx.doi.org/10.17223/19988591/62/5</v>
      </c>
      <c r="BG63" t="s">
        <v>74</v>
      </c>
      <c r="BH63" t="s">
        <v>74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74</v>
      </c>
      <c r="BP63" t="s">
        <v>74</v>
      </c>
      <c r="BQ63" t="s">
        <v>74</v>
      </c>
      <c r="BR63" t="s">
        <v>74</v>
      </c>
      <c r="BS63" t="s">
        <v>608</v>
      </c>
      <c r="BT63" t="str">
        <f>HYPERLINK("https%3A%2F%2Fwww.webofscience.com%2Fwos%2Fwoscc%2Ffull-record%2FWOS:001112524000005","View Full Record in Web of Science")</f>
        <v>View Full Record in Web of Science</v>
      </c>
    </row>
    <row r="64" spans="1:72" x14ac:dyDescent="0.2">
      <c r="A64" t="s">
        <v>72</v>
      </c>
      <c r="B64" t="s">
        <v>609</v>
      </c>
      <c r="C64" t="s">
        <v>74</v>
      </c>
      <c r="D64" t="s">
        <v>74</v>
      </c>
      <c r="E64" t="s">
        <v>74</v>
      </c>
      <c r="F64" t="s">
        <v>610</v>
      </c>
      <c r="G64" t="s">
        <v>74</v>
      </c>
      <c r="H64" t="s">
        <v>74</v>
      </c>
      <c r="I64" t="s">
        <v>611</v>
      </c>
      <c r="J64" t="s">
        <v>145</v>
      </c>
      <c r="K64" t="s">
        <v>74</v>
      </c>
      <c r="L64" t="s">
        <v>74</v>
      </c>
      <c r="M64" t="s">
        <v>74</v>
      </c>
      <c r="N64" t="s">
        <v>74</v>
      </c>
      <c r="O64" t="s">
        <v>74</v>
      </c>
      <c r="P64" t="s">
        <v>74</v>
      </c>
      <c r="Q64" t="s">
        <v>74</v>
      </c>
      <c r="R64" t="s">
        <v>74</v>
      </c>
      <c r="S64" t="s">
        <v>74</v>
      </c>
      <c r="T64" t="s">
        <v>74</v>
      </c>
      <c r="U64" t="s">
        <v>74</v>
      </c>
      <c r="V64" t="s">
        <v>74</v>
      </c>
      <c r="W64" t="s">
        <v>74</v>
      </c>
      <c r="X64" t="s">
        <v>74</v>
      </c>
      <c r="Y64" t="s">
        <v>74</v>
      </c>
      <c r="Z64" t="s">
        <v>74</v>
      </c>
      <c r="AA64" t="s">
        <v>612</v>
      </c>
      <c r="AB64" t="s">
        <v>6803</v>
      </c>
      <c r="AC64" t="s">
        <v>74</v>
      </c>
      <c r="AD64" t="s">
        <v>74</v>
      </c>
      <c r="AE64" t="s">
        <v>74</v>
      </c>
      <c r="AF64" t="s">
        <v>74</v>
      </c>
      <c r="AG64" t="s">
        <v>74</v>
      </c>
      <c r="AH64" t="s">
        <v>74</v>
      </c>
      <c r="AI64" t="s">
        <v>74</v>
      </c>
      <c r="AJ64" t="s">
        <v>74</v>
      </c>
      <c r="AK64" t="s">
        <v>74</v>
      </c>
      <c r="AL64" t="s">
        <v>74</v>
      </c>
      <c r="AM64" t="s">
        <v>74</v>
      </c>
      <c r="AN64" t="s">
        <v>74</v>
      </c>
      <c r="AO64" t="s">
        <v>146</v>
      </c>
      <c r="AP64" t="s">
        <v>147</v>
      </c>
      <c r="AQ64" t="s">
        <v>74</v>
      </c>
      <c r="AR64" t="s">
        <v>74</v>
      </c>
      <c r="AS64" t="s">
        <v>74</v>
      </c>
      <c r="AT64" t="s">
        <v>538</v>
      </c>
      <c r="AU64">
        <v>2023</v>
      </c>
      <c r="AV64">
        <v>892</v>
      </c>
      <c r="AW64" t="s">
        <v>74</v>
      </c>
      <c r="AX64" t="s">
        <v>74</v>
      </c>
      <c r="AY64" t="s">
        <v>74</v>
      </c>
      <c r="AZ64" t="s">
        <v>74</v>
      </c>
      <c r="BA64" t="s">
        <v>74</v>
      </c>
      <c r="BB64" t="s">
        <v>74</v>
      </c>
      <c r="BC64" t="s">
        <v>74</v>
      </c>
      <c r="BD64">
        <v>164061</v>
      </c>
      <c r="BE64" t="s">
        <v>613</v>
      </c>
      <c r="BF64" t="str">
        <f>HYPERLINK("http://dx.doi.org/10.1016/j.scitotenv.2023.164061","http://dx.doi.org/10.1016/j.scitotenv.2023.164061")</f>
        <v>http://dx.doi.org/10.1016/j.scitotenv.2023.164061</v>
      </c>
      <c r="BG64" t="s">
        <v>74</v>
      </c>
      <c r="BH64" t="s">
        <v>561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>
        <v>37247728</v>
      </c>
      <c r="BO64" t="s">
        <v>74</v>
      </c>
      <c r="BP64" t="s">
        <v>74</v>
      </c>
      <c r="BQ64" t="s">
        <v>74</v>
      </c>
      <c r="BR64" t="s">
        <v>74</v>
      </c>
      <c r="BS64" t="s">
        <v>614</v>
      </c>
      <c r="BT64" t="str">
        <f>HYPERLINK("https%3A%2F%2Fwww.webofscience.com%2Fwos%2Fwoscc%2Ffull-record%2FWOS:001024698400001","View Full Record in Web of Science")</f>
        <v>View Full Record in Web of Science</v>
      </c>
    </row>
    <row r="65" spans="1:72" x14ac:dyDescent="0.2">
      <c r="A65" t="s">
        <v>72</v>
      </c>
      <c r="B65" t="s">
        <v>615</v>
      </c>
      <c r="C65" t="s">
        <v>74</v>
      </c>
      <c r="D65" t="s">
        <v>74</v>
      </c>
      <c r="E65" t="s">
        <v>74</v>
      </c>
      <c r="F65" t="s">
        <v>616</v>
      </c>
      <c r="G65" t="s">
        <v>74</v>
      </c>
      <c r="H65" t="s">
        <v>74</v>
      </c>
      <c r="I65" t="s">
        <v>617</v>
      </c>
      <c r="J65" t="s">
        <v>331</v>
      </c>
      <c r="K65" t="s">
        <v>74</v>
      </c>
      <c r="L65" t="s">
        <v>74</v>
      </c>
      <c r="M65" t="s">
        <v>74</v>
      </c>
      <c r="N65" t="s">
        <v>74</v>
      </c>
      <c r="O65" t="s">
        <v>74</v>
      </c>
      <c r="P65" t="s">
        <v>74</v>
      </c>
      <c r="Q65" t="s">
        <v>74</v>
      </c>
      <c r="R65" t="s">
        <v>74</v>
      </c>
      <c r="S65" t="s">
        <v>74</v>
      </c>
      <c r="T65" t="s">
        <v>74</v>
      </c>
      <c r="U65" t="s">
        <v>74</v>
      </c>
      <c r="V65" t="s">
        <v>74</v>
      </c>
      <c r="W65" t="s">
        <v>74</v>
      </c>
      <c r="X65" t="s">
        <v>74</v>
      </c>
      <c r="Y65" t="s">
        <v>74</v>
      </c>
      <c r="Z65" t="s">
        <v>74</v>
      </c>
      <c r="AA65" t="s">
        <v>74</v>
      </c>
      <c r="AB65" t="s">
        <v>74</v>
      </c>
      <c r="AC65" t="s">
        <v>74</v>
      </c>
      <c r="AD65" t="s">
        <v>74</v>
      </c>
      <c r="AE65" t="s">
        <v>74</v>
      </c>
      <c r="AF65" t="s">
        <v>74</v>
      </c>
      <c r="AG65" t="s">
        <v>74</v>
      </c>
      <c r="AH65" t="s">
        <v>74</v>
      </c>
      <c r="AI65" t="s">
        <v>74</v>
      </c>
      <c r="AJ65" t="s">
        <v>74</v>
      </c>
      <c r="AK65" t="s">
        <v>74</v>
      </c>
      <c r="AL65" t="s">
        <v>74</v>
      </c>
      <c r="AM65" t="s">
        <v>74</v>
      </c>
      <c r="AN65" t="s">
        <v>74</v>
      </c>
      <c r="AO65" t="s">
        <v>74</v>
      </c>
      <c r="AP65" t="s">
        <v>334</v>
      </c>
      <c r="AQ65" t="s">
        <v>74</v>
      </c>
      <c r="AR65" t="s">
        <v>74</v>
      </c>
      <c r="AS65" t="s">
        <v>74</v>
      </c>
      <c r="AT65" t="s">
        <v>618</v>
      </c>
      <c r="AU65">
        <v>2023</v>
      </c>
      <c r="AV65">
        <v>15</v>
      </c>
      <c r="AW65">
        <v>11</v>
      </c>
      <c r="AX65" t="s">
        <v>74</v>
      </c>
      <c r="AY65" t="s">
        <v>74</v>
      </c>
      <c r="AZ65" t="s">
        <v>74</v>
      </c>
      <c r="BA65" t="s">
        <v>74</v>
      </c>
      <c r="BB65" t="s">
        <v>74</v>
      </c>
      <c r="BC65" t="s">
        <v>74</v>
      </c>
      <c r="BD65">
        <v>2018</v>
      </c>
      <c r="BE65" t="s">
        <v>619</v>
      </c>
      <c r="BF65" t="str">
        <f>HYPERLINK("http://dx.doi.org/10.3390/w15112018","http://dx.doi.org/10.3390/w15112018")</f>
        <v>http://dx.doi.org/10.3390/w15112018</v>
      </c>
      <c r="BG65" t="s">
        <v>74</v>
      </c>
      <c r="BH65" t="s">
        <v>74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 t="s">
        <v>74</v>
      </c>
      <c r="BR65" t="s">
        <v>74</v>
      </c>
      <c r="BS65" t="s">
        <v>620</v>
      </c>
      <c r="BT65" t="str">
        <f>HYPERLINK("https%3A%2F%2Fwww.webofscience.com%2Fwos%2Fwoscc%2Ffull-record%2FWOS:001006059000001","View Full Record in Web of Science")</f>
        <v>View Full Record in Web of Science</v>
      </c>
    </row>
    <row r="66" spans="1:72" x14ac:dyDescent="0.2">
      <c r="A66" t="s">
        <v>72</v>
      </c>
      <c r="B66" t="s">
        <v>621</v>
      </c>
      <c r="C66" t="s">
        <v>74</v>
      </c>
      <c r="D66" t="s">
        <v>74</v>
      </c>
      <c r="E66" t="s">
        <v>74</v>
      </c>
      <c r="F66" t="s">
        <v>622</v>
      </c>
      <c r="G66" t="s">
        <v>74</v>
      </c>
      <c r="H66" t="s">
        <v>74</v>
      </c>
      <c r="I66" t="s">
        <v>623</v>
      </c>
      <c r="J66" t="s">
        <v>227</v>
      </c>
      <c r="K66" t="s">
        <v>74</v>
      </c>
      <c r="L66" t="s">
        <v>74</v>
      </c>
      <c r="M66" t="s">
        <v>74</v>
      </c>
      <c r="N66" t="s">
        <v>74</v>
      </c>
      <c r="O66" t="s">
        <v>74</v>
      </c>
      <c r="P66" t="s">
        <v>74</v>
      </c>
      <c r="Q66" t="s">
        <v>74</v>
      </c>
      <c r="R66" t="s">
        <v>74</v>
      </c>
      <c r="S66" t="s">
        <v>74</v>
      </c>
      <c r="T66" t="s">
        <v>74</v>
      </c>
      <c r="U66" t="s">
        <v>74</v>
      </c>
      <c r="V66" t="s">
        <v>74</v>
      </c>
      <c r="W66" t="s">
        <v>74</v>
      </c>
      <c r="X66" t="s">
        <v>74</v>
      </c>
      <c r="Y66" t="s">
        <v>74</v>
      </c>
      <c r="Z66" t="s">
        <v>74</v>
      </c>
      <c r="AA66" t="s">
        <v>74</v>
      </c>
      <c r="AB66" t="s">
        <v>6804</v>
      </c>
      <c r="AC66" t="s">
        <v>74</v>
      </c>
      <c r="AD66" t="s">
        <v>74</v>
      </c>
      <c r="AE66" t="s">
        <v>74</v>
      </c>
      <c r="AF66" t="s">
        <v>74</v>
      </c>
      <c r="AG66" t="s">
        <v>74</v>
      </c>
      <c r="AH66" t="s">
        <v>74</v>
      </c>
      <c r="AI66" t="s">
        <v>74</v>
      </c>
      <c r="AJ66" t="s">
        <v>74</v>
      </c>
      <c r="AK66" t="s">
        <v>74</v>
      </c>
      <c r="AL66" t="s">
        <v>74</v>
      </c>
      <c r="AM66" t="s">
        <v>74</v>
      </c>
      <c r="AN66" t="s">
        <v>74</v>
      </c>
      <c r="AO66" t="s">
        <v>230</v>
      </c>
      <c r="AP66" t="s">
        <v>231</v>
      </c>
      <c r="AQ66" t="s">
        <v>74</v>
      </c>
      <c r="AR66" t="s">
        <v>74</v>
      </c>
      <c r="AS66" t="s">
        <v>74</v>
      </c>
      <c r="AT66" t="s">
        <v>624</v>
      </c>
      <c r="AU66">
        <v>2023</v>
      </c>
      <c r="AV66">
        <v>68</v>
      </c>
      <c r="AW66">
        <v>7</v>
      </c>
      <c r="AX66" t="s">
        <v>74</v>
      </c>
      <c r="AY66" t="s">
        <v>74</v>
      </c>
      <c r="AZ66" t="s">
        <v>74</v>
      </c>
      <c r="BA66" t="s">
        <v>74</v>
      </c>
      <c r="BB66">
        <v>1624</v>
      </c>
      <c r="BC66">
        <v>1635</v>
      </c>
      <c r="BD66" t="s">
        <v>74</v>
      </c>
      <c r="BE66" t="s">
        <v>625</v>
      </c>
      <c r="BF66" t="str">
        <f>HYPERLINK("http://dx.doi.org/10.1002/lno.12372","http://dx.doi.org/10.1002/lno.12372")</f>
        <v>http://dx.doi.org/10.1002/lno.12372</v>
      </c>
      <c r="BG66" t="s">
        <v>74</v>
      </c>
      <c r="BH66" t="s">
        <v>626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">
        <v>627</v>
      </c>
      <c r="BT66" t="str">
        <f>HYPERLINK("https%3A%2F%2Fwww.webofscience.com%2Fwos%2Fwoscc%2Ffull-record%2FWOS:000985751500001","View Full Record in Web of Science")</f>
        <v>View Full Record in Web of Science</v>
      </c>
    </row>
    <row r="67" spans="1:72" x14ac:dyDescent="0.2">
      <c r="A67" t="s">
        <v>72</v>
      </c>
      <c r="B67" t="s">
        <v>628</v>
      </c>
      <c r="C67" t="s">
        <v>74</v>
      </c>
      <c r="D67" t="s">
        <v>74</v>
      </c>
      <c r="E67" t="s">
        <v>74</v>
      </c>
      <c r="F67" t="s">
        <v>629</v>
      </c>
      <c r="G67" t="s">
        <v>74</v>
      </c>
      <c r="H67" t="s">
        <v>74</v>
      </c>
      <c r="I67" t="s">
        <v>630</v>
      </c>
      <c r="J67" t="s">
        <v>124</v>
      </c>
      <c r="K67" t="s">
        <v>74</v>
      </c>
      <c r="L67" t="s">
        <v>74</v>
      </c>
      <c r="M67" t="s">
        <v>74</v>
      </c>
      <c r="N67" t="s">
        <v>74</v>
      </c>
      <c r="O67" t="s">
        <v>74</v>
      </c>
      <c r="P67" t="s">
        <v>74</v>
      </c>
      <c r="Q67" t="s">
        <v>74</v>
      </c>
      <c r="R67" t="s">
        <v>74</v>
      </c>
      <c r="S67" t="s">
        <v>74</v>
      </c>
      <c r="T67" t="s">
        <v>74</v>
      </c>
      <c r="U67" t="s">
        <v>74</v>
      </c>
      <c r="V67" t="s">
        <v>74</v>
      </c>
      <c r="W67" t="s">
        <v>74</v>
      </c>
      <c r="X67" t="s">
        <v>74</v>
      </c>
      <c r="Y67" t="s">
        <v>74</v>
      </c>
      <c r="Z67" t="s">
        <v>74</v>
      </c>
      <c r="AA67" t="s">
        <v>631</v>
      </c>
      <c r="AB67" t="s">
        <v>6805</v>
      </c>
      <c r="AC67" t="s">
        <v>74</v>
      </c>
      <c r="AD67" t="s">
        <v>74</v>
      </c>
      <c r="AE67" t="s">
        <v>74</v>
      </c>
      <c r="AF67" t="s">
        <v>74</v>
      </c>
      <c r="AG67" t="s">
        <v>74</v>
      </c>
      <c r="AH67" t="s">
        <v>74</v>
      </c>
      <c r="AI67" t="s">
        <v>74</v>
      </c>
      <c r="AJ67" t="s">
        <v>74</v>
      </c>
      <c r="AK67" t="s">
        <v>74</v>
      </c>
      <c r="AL67" t="s">
        <v>74</v>
      </c>
      <c r="AM67" t="s">
        <v>74</v>
      </c>
      <c r="AN67" t="s">
        <v>74</v>
      </c>
      <c r="AO67" t="s">
        <v>127</v>
      </c>
      <c r="AP67" t="s">
        <v>128</v>
      </c>
      <c r="AQ67" t="s">
        <v>74</v>
      </c>
      <c r="AR67" t="s">
        <v>74</v>
      </c>
      <c r="AS67" t="s">
        <v>74</v>
      </c>
      <c r="AT67" t="s">
        <v>82</v>
      </c>
      <c r="AU67">
        <v>2023</v>
      </c>
      <c r="AV67">
        <v>850</v>
      </c>
      <c r="AW67">
        <v>21</v>
      </c>
      <c r="AX67" t="s">
        <v>74</v>
      </c>
      <c r="AY67" t="s">
        <v>74</v>
      </c>
      <c r="AZ67" t="s">
        <v>632</v>
      </c>
      <c r="BA67" t="s">
        <v>74</v>
      </c>
      <c r="BB67">
        <v>4719</v>
      </c>
      <c r="BC67">
        <v>4744</v>
      </c>
      <c r="BD67" t="s">
        <v>74</v>
      </c>
      <c r="BE67" t="s">
        <v>633</v>
      </c>
      <c r="BF67" t="str">
        <f>HYPERLINK("http://dx.doi.org/10.1007/s10750-023-05227-1","http://dx.doi.org/10.1007/s10750-023-05227-1")</f>
        <v>http://dx.doi.org/10.1007/s10750-023-05227-1</v>
      </c>
      <c r="BG67" t="s">
        <v>74</v>
      </c>
      <c r="BH67" t="s">
        <v>634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 t="s">
        <v>74</v>
      </c>
      <c r="BR67" t="s">
        <v>74</v>
      </c>
      <c r="BS67" t="s">
        <v>635</v>
      </c>
      <c r="BT67" t="str">
        <f>HYPERLINK("https%3A%2F%2Fwww.webofscience.com%2Fwos%2Fwoscc%2Ffull-record%2FWOS:000978134000001","View Full Record in Web of Science")</f>
        <v>View Full Record in Web of Science</v>
      </c>
    </row>
    <row r="68" spans="1:72" x14ac:dyDescent="0.2">
      <c r="A68" t="s">
        <v>72</v>
      </c>
      <c r="B68" t="s">
        <v>636</v>
      </c>
      <c r="C68" t="s">
        <v>74</v>
      </c>
      <c r="D68" t="s">
        <v>74</v>
      </c>
      <c r="E68" t="s">
        <v>74</v>
      </c>
      <c r="F68" t="s">
        <v>637</v>
      </c>
      <c r="G68" t="s">
        <v>74</v>
      </c>
      <c r="H68" t="s">
        <v>74</v>
      </c>
      <c r="I68" t="s">
        <v>638</v>
      </c>
      <c r="J68" t="s">
        <v>360</v>
      </c>
      <c r="K68" t="s">
        <v>74</v>
      </c>
      <c r="L68" t="s">
        <v>74</v>
      </c>
      <c r="M68" t="s">
        <v>74</v>
      </c>
      <c r="N68" t="s">
        <v>74</v>
      </c>
      <c r="O68" t="s">
        <v>74</v>
      </c>
      <c r="P68" t="s">
        <v>74</v>
      </c>
      <c r="Q68" t="s">
        <v>74</v>
      </c>
      <c r="R68" t="s">
        <v>74</v>
      </c>
      <c r="S68" t="s">
        <v>74</v>
      </c>
      <c r="T68" t="s">
        <v>74</v>
      </c>
      <c r="U68" t="s">
        <v>74</v>
      </c>
      <c r="V68" t="s">
        <v>74</v>
      </c>
      <c r="W68" t="s">
        <v>74</v>
      </c>
      <c r="X68" t="s">
        <v>74</v>
      </c>
      <c r="Y68" t="s">
        <v>74</v>
      </c>
      <c r="Z68" t="s">
        <v>74</v>
      </c>
      <c r="AA68" t="s">
        <v>74</v>
      </c>
      <c r="AB68" t="s">
        <v>639</v>
      </c>
      <c r="AC68" t="s">
        <v>74</v>
      </c>
      <c r="AD68" t="s">
        <v>74</v>
      </c>
      <c r="AE68" t="s">
        <v>74</v>
      </c>
      <c r="AF68" t="s">
        <v>74</v>
      </c>
      <c r="AG68" t="s">
        <v>74</v>
      </c>
      <c r="AH68" t="s">
        <v>74</v>
      </c>
      <c r="AI68" t="s">
        <v>74</v>
      </c>
      <c r="AJ68" t="s">
        <v>74</v>
      </c>
      <c r="AK68" t="s">
        <v>74</v>
      </c>
      <c r="AL68" t="s">
        <v>74</v>
      </c>
      <c r="AM68" t="s">
        <v>74</v>
      </c>
      <c r="AN68" t="s">
        <v>74</v>
      </c>
      <c r="AO68" t="s">
        <v>361</v>
      </c>
      <c r="AP68" t="s">
        <v>362</v>
      </c>
      <c r="AQ68" t="s">
        <v>74</v>
      </c>
      <c r="AR68" t="s">
        <v>74</v>
      </c>
      <c r="AS68" t="s">
        <v>74</v>
      </c>
      <c r="AT68" t="s">
        <v>640</v>
      </c>
      <c r="AU68">
        <v>2023</v>
      </c>
      <c r="AV68">
        <v>290</v>
      </c>
      <c r="AW68">
        <v>1997</v>
      </c>
      <c r="AX68" t="s">
        <v>74</v>
      </c>
      <c r="AY68" t="s">
        <v>74</v>
      </c>
      <c r="AZ68" t="s">
        <v>74</v>
      </c>
      <c r="BA68" t="s">
        <v>74</v>
      </c>
      <c r="BB68" t="s">
        <v>74</v>
      </c>
      <c r="BC68" t="s">
        <v>74</v>
      </c>
      <c r="BD68">
        <v>20222377</v>
      </c>
      <c r="BE68" t="s">
        <v>641</v>
      </c>
      <c r="BF68" t="str">
        <f>HYPERLINK("http://dx.doi.org/10.1098/rspb.2022.2377","http://dx.doi.org/10.1098/rspb.2022.2377")</f>
        <v>http://dx.doi.org/10.1098/rspb.2022.2377</v>
      </c>
      <c r="BG68" t="s">
        <v>74</v>
      </c>
      <c r="BH68" t="s">
        <v>74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>
        <v>37122251</v>
      </c>
      <c r="BO68" t="s">
        <v>74</v>
      </c>
      <c r="BP68" t="s">
        <v>74</v>
      </c>
      <c r="BQ68" t="s">
        <v>74</v>
      </c>
      <c r="BR68" t="s">
        <v>74</v>
      </c>
      <c r="BS68" t="s">
        <v>642</v>
      </c>
      <c r="BT68" t="str">
        <f>HYPERLINK("https%3A%2F%2Fwww.webofscience.com%2Fwos%2Fwoscc%2Ffull-record%2FWOS:000976014100002","View Full Record in Web of Science")</f>
        <v>View Full Record in Web of Science</v>
      </c>
    </row>
    <row r="69" spans="1:72" x14ac:dyDescent="0.2">
      <c r="A69" t="s">
        <v>72</v>
      </c>
      <c r="B69" t="s">
        <v>643</v>
      </c>
      <c r="C69" t="s">
        <v>74</v>
      </c>
      <c r="D69" t="s">
        <v>74</v>
      </c>
      <c r="E69" t="s">
        <v>74</v>
      </c>
      <c r="F69" t="s">
        <v>644</v>
      </c>
      <c r="G69" t="s">
        <v>74</v>
      </c>
      <c r="H69" t="s">
        <v>74</v>
      </c>
      <c r="I69" t="s">
        <v>645</v>
      </c>
      <c r="J69" t="s">
        <v>423</v>
      </c>
      <c r="K69" t="s">
        <v>74</v>
      </c>
      <c r="L69" t="s">
        <v>74</v>
      </c>
      <c r="M69" t="s">
        <v>74</v>
      </c>
      <c r="N69" t="s">
        <v>74</v>
      </c>
      <c r="O69" t="s">
        <v>74</v>
      </c>
      <c r="P69" t="s">
        <v>74</v>
      </c>
      <c r="Q69" t="s">
        <v>74</v>
      </c>
      <c r="R69" t="s">
        <v>74</v>
      </c>
      <c r="S69" t="s">
        <v>74</v>
      </c>
      <c r="T69" t="s">
        <v>74</v>
      </c>
      <c r="U69" t="s">
        <v>74</v>
      </c>
      <c r="V69" t="s">
        <v>74</v>
      </c>
      <c r="W69" t="s">
        <v>74</v>
      </c>
      <c r="X69" t="s">
        <v>74</v>
      </c>
      <c r="Y69" t="s">
        <v>74</v>
      </c>
      <c r="Z69" t="s">
        <v>74</v>
      </c>
      <c r="AA69" t="s">
        <v>6806</v>
      </c>
      <c r="AB69" t="s">
        <v>6807</v>
      </c>
      <c r="AC69" t="s">
        <v>74</v>
      </c>
      <c r="AD69" t="s">
        <v>74</v>
      </c>
      <c r="AE69" t="s">
        <v>74</v>
      </c>
      <c r="AF69" t="s">
        <v>74</v>
      </c>
      <c r="AG69" t="s">
        <v>74</v>
      </c>
      <c r="AH69" t="s">
        <v>74</v>
      </c>
      <c r="AI69" t="s">
        <v>74</v>
      </c>
      <c r="AJ69" t="s">
        <v>74</v>
      </c>
      <c r="AK69" t="s">
        <v>74</v>
      </c>
      <c r="AL69" t="s">
        <v>74</v>
      </c>
      <c r="AM69" t="s">
        <v>74</v>
      </c>
      <c r="AN69" t="s">
        <v>74</v>
      </c>
      <c r="AO69" t="s">
        <v>425</v>
      </c>
      <c r="AP69" t="s">
        <v>426</v>
      </c>
      <c r="AQ69" t="s">
        <v>74</v>
      </c>
      <c r="AR69" t="s">
        <v>74</v>
      </c>
      <c r="AS69" t="s">
        <v>74</v>
      </c>
      <c r="AT69" t="s">
        <v>624</v>
      </c>
      <c r="AU69">
        <v>2023</v>
      </c>
      <c r="AV69">
        <v>68</v>
      </c>
      <c r="AW69">
        <v>7</v>
      </c>
      <c r="AX69" t="s">
        <v>74</v>
      </c>
      <c r="AY69" t="s">
        <v>74</v>
      </c>
      <c r="AZ69" t="s">
        <v>74</v>
      </c>
      <c r="BA69" t="s">
        <v>74</v>
      </c>
      <c r="BB69">
        <v>1194</v>
      </c>
      <c r="BC69">
        <v>1210</v>
      </c>
      <c r="BD69" t="s">
        <v>74</v>
      </c>
      <c r="BE69" t="s">
        <v>646</v>
      </c>
      <c r="BF69" t="str">
        <f>HYPERLINK("http://dx.doi.org/10.1111/fwb.14097","http://dx.doi.org/10.1111/fwb.14097")</f>
        <v>http://dx.doi.org/10.1111/fwb.14097</v>
      </c>
      <c r="BG69" t="s">
        <v>74</v>
      </c>
      <c r="BH69" t="s">
        <v>634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 t="s">
        <v>74</v>
      </c>
      <c r="BR69" t="s">
        <v>74</v>
      </c>
      <c r="BS69" t="s">
        <v>647</v>
      </c>
      <c r="BT69" t="str">
        <f>HYPERLINK("https%3A%2F%2Fwww.webofscience.com%2Fwos%2Fwoscc%2Ffull-record%2FWOS:000972178100001","View Full Record in Web of Science")</f>
        <v>View Full Record in Web of Science</v>
      </c>
    </row>
    <row r="70" spans="1:72" x14ac:dyDescent="0.2">
      <c r="A70" t="s">
        <v>72</v>
      </c>
      <c r="B70" t="s">
        <v>648</v>
      </c>
      <c r="C70" t="s">
        <v>74</v>
      </c>
      <c r="D70" t="s">
        <v>74</v>
      </c>
      <c r="E70" t="s">
        <v>74</v>
      </c>
      <c r="F70" t="s">
        <v>649</v>
      </c>
      <c r="G70" t="s">
        <v>74</v>
      </c>
      <c r="H70" t="s">
        <v>74</v>
      </c>
      <c r="I70" t="s">
        <v>650</v>
      </c>
      <c r="J70" t="s">
        <v>124</v>
      </c>
      <c r="K70" t="s">
        <v>74</v>
      </c>
      <c r="L70" t="s">
        <v>74</v>
      </c>
      <c r="M70" t="s">
        <v>74</v>
      </c>
      <c r="N70" t="s">
        <v>74</v>
      </c>
      <c r="O70" t="s">
        <v>74</v>
      </c>
      <c r="P70" t="s">
        <v>74</v>
      </c>
      <c r="Q70" t="s">
        <v>74</v>
      </c>
      <c r="R70" t="s">
        <v>74</v>
      </c>
      <c r="S70" t="s">
        <v>74</v>
      </c>
      <c r="T70" t="s">
        <v>74</v>
      </c>
      <c r="U70" t="s">
        <v>74</v>
      </c>
      <c r="V70" t="s">
        <v>74</v>
      </c>
      <c r="W70" t="s">
        <v>74</v>
      </c>
      <c r="X70" t="s">
        <v>74</v>
      </c>
      <c r="Y70" t="s">
        <v>74</v>
      </c>
      <c r="Z70" t="s">
        <v>74</v>
      </c>
      <c r="AA70" t="s">
        <v>74</v>
      </c>
      <c r="AB70" t="s">
        <v>74</v>
      </c>
      <c r="AC70" t="s">
        <v>74</v>
      </c>
      <c r="AD70" t="s">
        <v>74</v>
      </c>
      <c r="AE70" t="s">
        <v>74</v>
      </c>
      <c r="AF70" t="s">
        <v>74</v>
      </c>
      <c r="AG70" t="s">
        <v>74</v>
      </c>
      <c r="AH70" t="s">
        <v>74</v>
      </c>
      <c r="AI70" t="s">
        <v>74</v>
      </c>
      <c r="AJ70" t="s">
        <v>74</v>
      </c>
      <c r="AK70" t="s">
        <v>74</v>
      </c>
      <c r="AL70" t="s">
        <v>74</v>
      </c>
      <c r="AM70" t="s">
        <v>74</v>
      </c>
      <c r="AN70" t="s">
        <v>74</v>
      </c>
      <c r="AO70" t="s">
        <v>127</v>
      </c>
      <c r="AP70" t="s">
        <v>128</v>
      </c>
      <c r="AQ70" t="s">
        <v>74</v>
      </c>
      <c r="AR70" t="s">
        <v>74</v>
      </c>
      <c r="AS70" t="s">
        <v>74</v>
      </c>
      <c r="AT70" t="s">
        <v>82</v>
      </c>
      <c r="AU70">
        <v>2023</v>
      </c>
      <c r="AV70">
        <v>850</v>
      </c>
      <c r="AW70">
        <v>21</v>
      </c>
      <c r="AX70" t="s">
        <v>74</v>
      </c>
      <c r="AY70" t="s">
        <v>74</v>
      </c>
      <c r="AZ70" t="s">
        <v>632</v>
      </c>
      <c r="BA70" t="s">
        <v>74</v>
      </c>
      <c r="BB70">
        <v>4693</v>
      </c>
      <c r="BC70">
        <v>4703</v>
      </c>
      <c r="BD70" t="s">
        <v>74</v>
      </c>
      <c r="BE70" t="s">
        <v>651</v>
      </c>
      <c r="BF70" t="str">
        <f>HYPERLINK("http://dx.doi.org/10.1007/s10750-023-05217-3","http://dx.doi.org/10.1007/s10750-023-05217-3")</f>
        <v>http://dx.doi.org/10.1007/s10750-023-05217-3</v>
      </c>
      <c r="BG70" t="s">
        <v>74</v>
      </c>
      <c r="BH70" t="s">
        <v>634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 t="s">
        <v>74</v>
      </c>
      <c r="BR70" t="s">
        <v>74</v>
      </c>
      <c r="BS70" t="s">
        <v>652</v>
      </c>
      <c r="BT70" t="str">
        <f>HYPERLINK("https%3A%2F%2Fwww.webofscience.com%2Fwos%2Fwoscc%2Ffull-record%2FWOS:000968104900001","View Full Record in Web of Science")</f>
        <v>View Full Record in Web of Science</v>
      </c>
    </row>
    <row r="71" spans="1:72" x14ac:dyDescent="0.2">
      <c r="A71" t="s">
        <v>72</v>
      </c>
      <c r="B71" t="s">
        <v>653</v>
      </c>
      <c r="C71" t="s">
        <v>74</v>
      </c>
      <c r="D71" t="s">
        <v>74</v>
      </c>
      <c r="E71" t="s">
        <v>74</v>
      </c>
      <c r="F71" t="s">
        <v>654</v>
      </c>
      <c r="G71" t="s">
        <v>74</v>
      </c>
      <c r="H71" t="s">
        <v>74</v>
      </c>
      <c r="I71" t="s">
        <v>655</v>
      </c>
      <c r="J71" t="s">
        <v>656</v>
      </c>
      <c r="K71" t="s">
        <v>74</v>
      </c>
      <c r="L71" t="s">
        <v>74</v>
      </c>
      <c r="M71" t="s">
        <v>74</v>
      </c>
      <c r="N71" t="s">
        <v>74</v>
      </c>
      <c r="O71" t="s">
        <v>74</v>
      </c>
      <c r="P71" t="s">
        <v>74</v>
      </c>
      <c r="Q71" t="s">
        <v>74</v>
      </c>
      <c r="R71" t="s">
        <v>74</v>
      </c>
      <c r="S71" t="s">
        <v>74</v>
      </c>
      <c r="T71" t="s">
        <v>74</v>
      </c>
      <c r="U71" t="s">
        <v>74</v>
      </c>
      <c r="V71" t="s">
        <v>74</v>
      </c>
      <c r="W71" t="s">
        <v>74</v>
      </c>
      <c r="X71" t="s">
        <v>74</v>
      </c>
      <c r="Y71" t="s">
        <v>74</v>
      </c>
      <c r="Z71" t="s">
        <v>74</v>
      </c>
      <c r="AA71" t="s">
        <v>657</v>
      </c>
      <c r="AB71" t="s">
        <v>6808</v>
      </c>
      <c r="AC71" t="s">
        <v>74</v>
      </c>
      <c r="AD71" t="s">
        <v>74</v>
      </c>
      <c r="AE71" t="s">
        <v>74</v>
      </c>
      <c r="AF71" t="s">
        <v>74</v>
      </c>
      <c r="AG71" t="s">
        <v>74</v>
      </c>
      <c r="AH71" t="s">
        <v>74</v>
      </c>
      <c r="AI71" t="s">
        <v>74</v>
      </c>
      <c r="AJ71" t="s">
        <v>74</v>
      </c>
      <c r="AK71" t="s">
        <v>74</v>
      </c>
      <c r="AL71" t="s">
        <v>74</v>
      </c>
      <c r="AM71" t="s">
        <v>74</v>
      </c>
      <c r="AN71" t="s">
        <v>74</v>
      </c>
      <c r="AO71" t="s">
        <v>658</v>
      </c>
      <c r="AP71" t="s">
        <v>659</v>
      </c>
      <c r="AQ71" t="s">
        <v>74</v>
      </c>
      <c r="AR71" t="s">
        <v>74</v>
      </c>
      <c r="AS71" t="s">
        <v>74</v>
      </c>
      <c r="AT71" t="s">
        <v>569</v>
      </c>
      <c r="AU71">
        <v>2023</v>
      </c>
      <c r="AV71">
        <v>214</v>
      </c>
      <c r="AW71" t="s">
        <v>74</v>
      </c>
      <c r="AX71" t="s">
        <v>74</v>
      </c>
      <c r="AY71" t="s">
        <v>74</v>
      </c>
      <c r="AZ71" t="s">
        <v>74</v>
      </c>
      <c r="BA71" t="s">
        <v>74</v>
      </c>
      <c r="BB71" t="s">
        <v>74</v>
      </c>
      <c r="BC71" t="s">
        <v>74</v>
      </c>
      <c r="BD71">
        <v>102982</v>
      </c>
      <c r="BE71" t="s">
        <v>660</v>
      </c>
      <c r="BF71" t="str">
        <f>HYPERLINK("http://dx.doi.org/10.1016/j.pocean.2023.102982","http://dx.doi.org/10.1016/j.pocean.2023.102982")</f>
        <v>http://dx.doi.org/10.1016/j.pocean.2023.102982</v>
      </c>
      <c r="BG71" t="s">
        <v>74</v>
      </c>
      <c r="BH71" t="s">
        <v>634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 t="s">
        <v>74</v>
      </c>
      <c r="BO71" t="s">
        <v>74</v>
      </c>
      <c r="BP71" t="s">
        <v>74</v>
      </c>
      <c r="BQ71" t="s">
        <v>74</v>
      </c>
      <c r="BR71" t="s">
        <v>74</v>
      </c>
      <c r="BS71" t="s">
        <v>661</v>
      </c>
      <c r="BT71" t="str">
        <f>HYPERLINK("https%3A%2F%2Fwww.webofscience.com%2Fwos%2Fwoscc%2Ffull-record%2FWOS:000982541400001","View Full Record in Web of Science")</f>
        <v>View Full Record in Web of Science</v>
      </c>
    </row>
    <row r="72" spans="1:72" x14ac:dyDescent="0.2">
      <c r="A72" t="s">
        <v>72</v>
      </c>
      <c r="B72" t="s">
        <v>662</v>
      </c>
      <c r="C72" t="s">
        <v>74</v>
      </c>
      <c r="D72" t="s">
        <v>74</v>
      </c>
      <c r="E72" t="s">
        <v>74</v>
      </c>
      <c r="F72" t="s">
        <v>663</v>
      </c>
      <c r="G72" t="s">
        <v>74</v>
      </c>
      <c r="H72" t="s">
        <v>74</v>
      </c>
      <c r="I72" t="s">
        <v>664</v>
      </c>
      <c r="J72" t="s">
        <v>457</v>
      </c>
      <c r="K72" t="s">
        <v>74</v>
      </c>
      <c r="L72" t="s">
        <v>74</v>
      </c>
      <c r="M72" t="s">
        <v>74</v>
      </c>
      <c r="N72" t="s">
        <v>74</v>
      </c>
      <c r="O72" t="s">
        <v>74</v>
      </c>
      <c r="P72" t="s">
        <v>74</v>
      </c>
      <c r="Q72" t="s">
        <v>74</v>
      </c>
      <c r="R72" t="s">
        <v>74</v>
      </c>
      <c r="S72" t="s">
        <v>74</v>
      </c>
      <c r="T72" t="s">
        <v>74</v>
      </c>
      <c r="U72" t="s">
        <v>74</v>
      </c>
      <c r="V72" t="s">
        <v>74</v>
      </c>
      <c r="W72" t="s">
        <v>74</v>
      </c>
      <c r="X72" t="s">
        <v>74</v>
      </c>
      <c r="Y72" t="s">
        <v>74</v>
      </c>
      <c r="Z72" t="s">
        <v>74</v>
      </c>
      <c r="AA72" t="s">
        <v>665</v>
      </c>
      <c r="AB72" t="s">
        <v>666</v>
      </c>
      <c r="AC72" t="s">
        <v>74</v>
      </c>
      <c r="AD72" t="s">
        <v>74</v>
      </c>
      <c r="AE72" t="s">
        <v>74</v>
      </c>
      <c r="AF72" t="s">
        <v>74</v>
      </c>
      <c r="AG72" t="s">
        <v>74</v>
      </c>
      <c r="AH72" t="s">
        <v>74</v>
      </c>
      <c r="AI72" t="s">
        <v>74</v>
      </c>
      <c r="AJ72" t="s">
        <v>74</v>
      </c>
      <c r="AK72" t="s">
        <v>74</v>
      </c>
      <c r="AL72" t="s">
        <v>74</v>
      </c>
      <c r="AM72" t="s">
        <v>74</v>
      </c>
      <c r="AN72" t="s">
        <v>74</v>
      </c>
      <c r="AO72" t="s">
        <v>458</v>
      </c>
      <c r="AP72" t="s">
        <v>74</v>
      </c>
      <c r="AQ72" t="s">
        <v>74</v>
      </c>
      <c r="AR72" t="s">
        <v>74</v>
      </c>
      <c r="AS72" t="s">
        <v>74</v>
      </c>
      <c r="AT72" t="s">
        <v>203</v>
      </c>
      <c r="AU72">
        <v>2023</v>
      </c>
      <c r="AV72">
        <v>13</v>
      </c>
      <c r="AW72">
        <v>4</v>
      </c>
      <c r="AX72" t="s">
        <v>74</v>
      </c>
      <c r="AY72" t="s">
        <v>74</v>
      </c>
      <c r="AZ72" t="s">
        <v>74</v>
      </c>
      <c r="BA72" t="s">
        <v>74</v>
      </c>
      <c r="BB72" t="s">
        <v>74</v>
      </c>
      <c r="BC72" t="s">
        <v>74</v>
      </c>
      <c r="BD72" t="s">
        <v>667</v>
      </c>
      <c r="BE72" t="s">
        <v>668</v>
      </c>
      <c r="BF72" t="str">
        <f>HYPERLINK("http://dx.doi.org/10.1002/ece3.9981","http://dx.doi.org/10.1002/ece3.9981")</f>
        <v>http://dx.doi.org/10.1002/ece3.9981</v>
      </c>
      <c r="BG72" t="s">
        <v>74</v>
      </c>
      <c r="BH72" t="s">
        <v>74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>
        <v>37056695</v>
      </c>
      <c r="BO72" t="s">
        <v>74</v>
      </c>
      <c r="BP72" t="s">
        <v>74</v>
      </c>
      <c r="BQ72" t="s">
        <v>74</v>
      </c>
      <c r="BR72" t="s">
        <v>74</v>
      </c>
      <c r="BS72" t="s">
        <v>669</v>
      </c>
      <c r="BT72" t="str">
        <f>HYPERLINK("https%3A%2F%2Fwww.webofscience.com%2Fwos%2Fwoscc%2Ffull-record%2FWOS:000968764400001","View Full Record in Web of Science")</f>
        <v>View Full Record in Web of Science</v>
      </c>
    </row>
    <row r="73" spans="1:72" x14ac:dyDescent="0.2">
      <c r="A73" t="s">
        <v>72</v>
      </c>
      <c r="B73" t="s">
        <v>670</v>
      </c>
      <c r="C73" t="s">
        <v>74</v>
      </c>
      <c r="D73" t="s">
        <v>74</v>
      </c>
      <c r="E73" t="s">
        <v>74</v>
      </c>
      <c r="F73" t="s">
        <v>671</v>
      </c>
      <c r="G73" t="s">
        <v>74</v>
      </c>
      <c r="H73" t="s">
        <v>74</v>
      </c>
      <c r="I73" t="s">
        <v>672</v>
      </c>
      <c r="J73" t="s">
        <v>673</v>
      </c>
      <c r="K73" t="s">
        <v>74</v>
      </c>
      <c r="L73" t="s">
        <v>74</v>
      </c>
      <c r="M73" t="s">
        <v>74</v>
      </c>
      <c r="N73" t="s">
        <v>74</v>
      </c>
      <c r="O73" t="s">
        <v>74</v>
      </c>
      <c r="P73" t="s">
        <v>74</v>
      </c>
      <c r="Q73" t="s">
        <v>74</v>
      </c>
      <c r="R73" t="s">
        <v>74</v>
      </c>
      <c r="S73" t="s">
        <v>74</v>
      </c>
      <c r="T73" t="s">
        <v>74</v>
      </c>
      <c r="U73" t="s">
        <v>74</v>
      </c>
      <c r="V73" t="s">
        <v>74</v>
      </c>
      <c r="W73" t="s">
        <v>74</v>
      </c>
      <c r="X73" t="s">
        <v>74</v>
      </c>
      <c r="Y73" t="s">
        <v>74</v>
      </c>
      <c r="Z73" t="s">
        <v>74</v>
      </c>
      <c r="AA73" t="s">
        <v>74</v>
      </c>
      <c r="AB73" t="s">
        <v>74</v>
      </c>
      <c r="AC73" t="s">
        <v>74</v>
      </c>
      <c r="AD73" t="s">
        <v>74</v>
      </c>
      <c r="AE73" t="s">
        <v>74</v>
      </c>
      <c r="AF73" t="s">
        <v>74</v>
      </c>
      <c r="AG73" t="s">
        <v>74</v>
      </c>
      <c r="AH73" t="s">
        <v>74</v>
      </c>
      <c r="AI73" t="s">
        <v>74</v>
      </c>
      <c r="AJ73" t="s">
        <v>74</v>
      </c>
      <c r="AK73" t="s">
        <v>74</v>
      </c>
      <c r="AL73" t="s">
        <v>74</v>
      </c>
      <c r="AM73" t="s">
        <v>74</v>
      </c>
      <c r="AN73" t="s">
        <v>74</v>
      </c>
      <c r="AO73" t="s">
        <v>674</v>
      </c>
      <c r="AP73" t="s">
        <v>675</v>
      </c>
      <c r="AQ73" t="s">
        <v>74</v>
      </c>
      <c r="AR73" t="s">
        <v>74</v>
      </c>
      <c r="AS73" t="s">
        <v>74</v>
      </c>
      <c r="AT73" t="s">
        <v>575</v>
      </c>
      <c r="AU73">
        <v>2023</v>
      </c>
      <c r="AV73">
        <v>256</v>
      </c>
      <c r="AW73" t="s">
        <v>74</v>
      </c>
      <c r="AX73" t="s">
        <v>74</v>
      </c>
      <c r="AY73" t="s">
        <v>74</v>
      </c>
      <c r="AZ73" t="s">
        <v>74</v>
      </c>
      <c r="BA73" t="s">
        <v>74</v>
      </c>
      <c r="BB73" t="s">
        <v>74</v>
      </c>
      <c r="BC73" t="s">
        <v>74</v>
      </c>
      <c r="BD73">
        <v>114835</v>
      </c>
      <c r="BE73" t="s">
        <v>676</v>
      </c>
      <c r="BF73" t="str">
        <f>HYPERLINK("http://dx.doi.org/10.1016/j.ecoenv.2023.114835","http://dx.doi.org/10.1016/j.ecoenv.2023.114835")</f>
        <v>http://dx.doi.org/10.1016/j.ecoenv.2023.114835</v>
      </c>
      <c r="BG73" t="s">
        <v>74</v>
      </c>
      <c r="BH73" t="s">
        <v>677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>
        <v>37003058</v>
      </c>
      <c r="BO73" t="s">
        <v>74</v>
      </c>
      <c r="BP73" t="s">
        <v>74</v>
      </c>
      <c r="BQ73" t="s">
        <v>74</v>
      </c>
      <c r="BR73" t="s">
        <v>74</v>
      </c>
      <c r="BS73" t="s">
        <v>678</v>
      </c>
      <c r="BT73" t="str">
        <f>HYPERLINK("https%3A%2F%2Fwww.webofscience.com%2Fwos%2Fwoscc%2Ffull-record%2FWOS:000968806600001","View Full Record in Web of Science")</f>
        <v>View Full Record in Web of Science</v>
      </c>
    </row>
    <row r="74" spans="1:72" x14ac:dyDescent="0.2">
      <c r="A74" t="s">
        <v>72</v>
      </c>
      <c r="B74" t="s">
        <v>679</v>
      </c>
      <c r="C74" t="s">
        <v>74</v>
      </c>
      <c r="D74" t="s">
        <v>74</v>
      </c>
      <c r="E74" t="s">
        <v>74</v>
      </c>
      <c r="F74" t="s">
        <v>680</v>
      </c>
      <c r="G74" t="s">
        <v>74</v>
      </c>
      <c r="H74" t="s">
        <v>74</v>
      </c>
      <c r="I74" t="s">
        <v>681</v>
      </c>
      <c r="J74" t="s">
        <v>88</v>
      </c>
      <c r="K74" t="s">
        <v>74</v>
      </c>
      <c r="L74" t="s">
        <v>74</v>
      </c>
      <c r="M74" t="s">
        <v>74</v>
      </c>
      <c r="N74" t="s">
        <v>74</v>
      </c>
      <c r="O74" t="s">
        <v>74</v>
      </c>
      <c r="P74" t="s">
        <v>74</v>
      </c>
      <c r="Q74" t="s">
        <v>74</v>
      </c>
      <c r="R74" t="s">
        <v>74</v>
      </c>
      <c r="S74" t="s">
        <v>74</v>
      </c>
      <c r="T74" t="s">
        <v>74</v>
      </c>
      <c r="U74" t="s">
        <v>74</v>
      </c>
      <c r="V74" t="s">
        <v>74</v>
      </c>
      <c r="W74" t="s">
        <v>74</v>
      </c>
      <c r="X74" t="s">
        <v>74</v>
      </c>
      <c r="Y74" t="s">
        <v>74</v>
      </c>
      <c r="Z74" t="s">
        <v>74</v>
      </c>
      <c r="AA74" t="s">
        <v>74</v>
      </c>
      <c r="AB74" t="s">
        <v>682</v>
      </c>
      <c r="AC74" t="s">
        <v>74</v>
      </c>
      <c r="AD74" t="s">
        <v>74</v>
      </c>
      <c r="AE74" t="s">
        <v>74</v>
      </c>
      <c r="AF74" t="s">
        <v>74</v>
      </c>
      <c r="AG74" t="s">
        <v>74</v>
      </c>
      <c r="AH74" t="s">
        <v>74</v>
      </c>
      <c r="AI74" t="s">
        <v>74</v>
      </c>
      <c r="AJ74" t="s">
        <v>74</v>
      </c>
      <c r="AK74" t="s">
        <v>74</v>
      </c>
      <c r="AL74" t="s">
        <v>74</v>
      </c>
      <c r="AM74" t="s">
        <v>74</v>
      </c>
      <c r="AN74" t="s">
        <v>74</v>
      </c>
      <c r="AO74" t="s">
        <v>89</v>
      </c>
      <c r="AP74" t="s">
        <v>90</v>
      </c>
      <c r="AQ74" t="s">
        <v>74</v>
      </c>
      <c r="AR74" t="s">
        <v>74</v>
      </c>
      <c r="AS74" t="s">
        <v>74</v>
      </c>
      <c r="AT74" t="s">
        <v>520</v>
      </c>
      <c r="AU74">
        <v>2023</v>
      </c>
      <c r="AV74">
        <v>80</v>
      </c>
      <c r="AW74">
        <v>8</v>
      </c>
      <c r="AX74" t="s">
        <v>74</v>
      </c>
      <c r="AY74" t="s">
        <v>74</v>
      </c>
      <c r="AZ74" t="s">
        <v>74</v>
      </c>
      <c r="BA74" t="s">
        <v>74</v>
      </c>
      <c r="BB74">
        <v>1248</v>
      </c>
      <c r="BC74">
        <v>1267</v>
      </c>
      <c r="BD74" t="s">
        <v>74</v>
      </c>
      <c r="BE74" t="s">
        <v>683</v>
      </c>
      <c r="BF74" t="str">
        <f>HYPERLINK("http://dx.doi.org/10.1139/cjfas-2022-0293","http://dx.doi.org/10.1139/cjfas-2022-0293")</f>
        <v>http://dx.doi.org/10.1139/cjfas-2022-0293</v>
      </c>
      <c r="BG74" t="s">
        <v>74</v>
      </c>
      <c r="BH74" t="s">
        <v>677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 t="s">
        <v>74</v>
      </c>
      <c r="BR74" t="s">
        <v>74</v>
      </c>
      <c r="BS74" t="s">
        <v>684</v>
      </c>
      <c r="BT74" t="str">
        <f>HYPERLINK("https%3A%2F%2Fwww.webofscience.com%2Fwos%2Fwoscc%2Ffull-record%2FWOS:000978403300001","View Full Record in Web of Science")</f>
        <v>View Full Record in Web of Science</v>
      </c>
    </row>
    <row r="75" spans="1:72" x14ac:dyDescent="0.2">
      <c r="A75" t="s">
        <v>72</v>
      </c>
      <c r="B75" t="s">
        <v>685</v>
      </c>
      <c r="C75" t="s">
        <v>74</v>
      </c>
      <c r="D75" t="s">
        <v>74</v>
      </c>
      <c r="E75" t="s">
        <v>74</v>
      </c>
      <c r="F75" t="s">
        <v>686</v>
      </c>
      <c r="G75" t="s">
        <v>74</v>
      </c>
      <c r="H75" t="s">
        <v>74</v>
      </c>
      <c r="I75" t="s">
        <v>687</v>
      </c>
      <c r="J75" t="s">
        <v>423</v>
      </c>
      <c r="K75" t="s">
        <v>74</v>
      </c>
      <c r="L75" t="s">
        <v>74</v>
      </c>
      <c r="M75" t="s">
        <v>74</v>
      </c>
      <c r="N75" t="s">
        <v>74</v>
      </c>
      <c r="O75" t="s">
        <v>74</v>
      </c>
      <c r="P75" t="s">
        <v>74</v>
      </c>
      <c r="Q75" t="s">
        <v>74</v>
      </c>
      <c r="R75" t="s">
        <v>74</v>
      </c>
      <c r="S75" t="s">
        <v>74</v>
      </c>
      <c r="T75" t="s">
        <v>74</v>
      </c>
      <c r="U75" t="s">
        <v>74</v>
      </c>
      <c r="V75" t="s">
        <v>74</v>
      </c>
      <c r="W75" t="s">
        <v>74</v>
      </c>
      <c r="X75" t="s">
        <v>74</v>
      </c>
      <c r="Y75" t="s">
        <v>74</v>
      </c>
      <c r="Z75" t="s">
        <v>74</v>
      </c>
      <c r="AA75" t="s">
        <v>688</v>
      </c>
      <c r="AB75" t="s">
        <v>689</v>
      </c>
      <c r="AC75" t="s">
        <v>74</v>
      </c>
      <c r="AD75" t="s">
        <v>74</v>
      </c>
      <c r="AE75" t="s">
        <v>74</v>
      </c>
      <c r="AF75" t="s">
        <v>74</v>
      </c>
      <c r="AG75" t="s">
        <v>74</v>
      </c>
      <c r="AH75" t="s">
        <v>74</v>
      </c>
      <c r="AI75" t="s">
        <v>74</v>
      </c>
      <c r="AJ75" t="s">
        <v>74</v>
      </c>
      <c r="AK75" t="s">
        <v>74</v>
      </c>
      <c r="AL75" t="s">
        <v>74</v>
      </c>
      <c r="AM75" t="s">
        <v>74</v>
      </c>
      <c r="AN75" t="s">
        <v>74</v>
      </c>
      <c r="AO75" t="s">
        <v>425</v>
      </c>
      <c r="AP75" t="s">
        <v>426</v>
      </c>
      <c r="AQ75" t="s">
        <v>74</v>
      </c>
      <c r="AR75" t="s">
        <v>74</v>
      </c>
      <c r="AS75" t="s">
        <v>74</v>
      </c>
      <c r="AT75" t="s">
        <v>575</v>
      </c>
      <c r="AU75">
        <v>2023</v>
      </c>
      <c r="AV75">
        <v>68</v>
      </c>
      <c r="AW75">
        <v>5</v>
      </c>
      <c r="AX75" t="s">
        <v>74</v>
      </c>
      <c r="AY75" t="s">
        <v>74</v>
      </c>
      <c r="AZ75" t="s">
        <v>74</v>
      </c>
      <c r="BA75" t="s">
        <v>74</v>
      </c>
      <c r="BB75">
        <v>847</v>
      </c>
      <c r="BC75">
        <v>859</v>
      </c>
      <c r="BD75" t="s">
        <v>74</v>
      </c>
      <c r="BE75" t="s">
        <v>690</v>
      </c>
      <c r="BF75" t="str">
        <f>HYPERLINK("http://dx.doi.org/10.1111/fwb.14068","http://dx.doi.org/10.1111/fwb.14068")</f>
        <v>http://dx.doi.org/10.1111/fwb.14068</v>
      </c>
      <c r="BG75" t="s">
        <v>74</v>
      </c>
      <c r="BH75" t="s">
        <v>677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 t="s">
        <v>74</v>
      </c>
      <c r="BO75" t="s">
        <v>74</v>
      </c>
      <c r="BP75" t="s">
        <v>74</v>
      </c>
      <c r="BQ75" t="s">
        <v>74</v>
      </c>
      <c r="BR75" t="s">
        <v>74</v>
      </c>
      <c r="BS75" t="s">
        <v>691</v>
      </c>
      <c r="BT75" t="str">
        <f>HYPERLINK("https%3A%2F%2Fwww.webofscience.com%2Fwos%2Fwoscc%2Ffull-record%2FWOS:000950708000001","View Full Record in Web of Science")</f>
        <v>View Full Record in Web of Science</v>
      </c>
    </row>
    <row r="76" spans="1:72" x14ac:dyDescent="0.2">
      <c r="A76" t="s">
        <v>72</v>
      </c>
      <c r="B76" t="s">
        <v>692</v>
      </c>
      <c r="C76" t="s">
        <v>74</v>
      </c>
      <c r="D76" t="s">
        <v>74</v>
      </c>
      <c r="E76" t="s">
        <v>74</v>
      </c>
      <c r="F76" t="s">
        <v>693</v>
      </c>
      <c r="G76" t="s">
        <v>74</v>
      </c>
      <c r="H76" t="s">
        <v>74</v>
      </c>
      <c r="I76" t="s">
        <v>694</v>
      </c>
      <c r="J76" t="s">
        <v>695</v>
      </c>
      <c r="K76" t="s">
        <v>74</v>
      </c>
      <c r="L76" t="s">
        <v>74</v>
      </c>
      <c r="M76" t="s">
        <v>74</v>
      </c>
      <c r="N76" t="s">
        <v>74</v>
      </c>
      <c r="O76" t="s">
        <v>74</v>
      </c>
      <c r="P76" t="s">
        <v>74</v>
      </c>
      <c r="Q76" t="s">
        <v>74</v>
      </c>
      <c r="R76" t="s">
        <v>74</v>
      </c>
      <c r="S76" t="s">
        <v>74</v>
      </c>
      <c r="T76" t="s">
        <v>74</v>
      </c>
      <c r="U76" t="s">
        <v>74</v>
      </c>
      <c r="V76" t="s">
        <v>74</v>
      </c>
      <c r="W76" t="s">
        <v>74</v>
      </c>
      <c r="X76" t="s">
        <v>74</v>
      </c>
      <c r="Y76" t="s">
        <v>74</v>
      </c>
      <c r="Z76" t="s">
        <v>74</v>
      </c>
      <c r="AA76" t="s">
        <v>696</v>
      </c>
      <c r="AB76" t="s">
        <v>6809</v>
      </c>
      <c r="AC76" t="s">
        <v>74</v>
      </c>
      <c r="AD76" t="s">
        <v>74</v>
      </c>
      <c r="AE76" t="s">
        <v>74</v>
      </c>
      <c r="AF76" t="s">
        <v>74</v>
      </c>
      <c r="AG76" t="s">
        <v>74</v>
      </c>
      <c r="AH76" t="s">
        <v>74</v>
      </c>
      <c r="AI76" t="s">
        <v>74</v>
      </c>
      <c r="AJ76" t="s">
        <v>74</v>
      </c>
      <c r="AK76" t="s">
        <v>74</v>
      </c>
      <c r="AL76" t="s">
        <v>74</v>
      </c>
      <c r="AM76" t="s">
        <v>74</v>
      </c>
      <c r="AN76" t="s">
        <v>74</v>
      </c>
      <c r="AO76" t="s">
        <v>697</v>
      </c>
      <c r="AP76" t="s">
        <v>698</v>
      </c>
      <c r="AQ76" t="s">
        <v>74</v>
      </c>
      <c r="AR76" t="s">
        <v>74</v>
      </c>
      <c r="AS76" t="s">
        <v>74</v>
      </c>
      <c r="AT76" t="s">
        <v>575</v>
      </c>
      <c r="AU76">
        <v>2023</v>
      </c>
      <c r="AV76">
        <v>93</v>
      </c>
      <c r="AW76">
        <v>2</v>
      </c>
      <c r="AX76" t="s">
        <v>74</v>
      </c>
      <c r="AY76" t="s">
        <v>74</v>
      </c>
      <c r="AZ76" t="s">
        <v>74</v>
      </c>
      <c r="BA76" t="s">
        <v>74</v>
      </c>
      <c r="BB76" t="s">
        <v>74</v>
      </c>
      <c r="BC76" t="s">
        <v>74</v>
      </c>
      <c r="BD76" t="s">
        <v>74</v>
      </c>
      <c r="BE76" t="s">
        <v>699</v>
      </c>
      <c r="BF76" t="str">
        <f>HYPERLINK("http://dx.doi.org/10.1002/ecm.1567","http://dx.doi.org/10.1002/ecm.1567")</f>
        <v>http://dx.doi.org/10.1002/ecm.1567</v>
      </c>
      <c r="BG76" t="s">
        <v>74</v>
      </c>
      <c r="BH76" t="s">
        <v>677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 t="s">
        <v>74</v>
      </c>
      <c r="BR76" t="s">
        <v>74</v>
      </c>
      <c r="BS76" t="s">
        <v>700</v>
      </c>
      <c r="BT76" t="str">
        <f>HYPERLINK("https%3A%2F%2Fwww.webofscience.com%2Fwos%2Fwoscc%2Ffull-record%2FWOS:000948547500001","View Full Record in Web of Science")</f>
        <v>View Full Record in Web of Science</v>
      </c>
    </row>
    <row r="77" spans="1:72" x14ac:dyDescent="0.2">
      <c r="A77" t="s">
        <v>72</v>
      </c>
      <c r="B77" t="s">
        <v>701</v>
      </c>
      <c r="C77" t="s">
        <v>74</v>
      </c>
      <c r="D77" t="s">
        <v>74</v>
      </c>
      <c r="E77" t="s">
        <v>74</v>
      </c>
      <c r="F77" t="s">
        <v>702</v>
      </c>
      <c r="G77" t="s">
        <v>74</v>
      </c>
      <c r="H77" t="s">
        <v>74</v>
      </c>
      <c r="I77" t="s">
        <v>703</v>
      </c>
      <c r="J77" t="s">
        <v>423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6810</v>
      </c>
      <c r="AB77" t="s">
        <v>704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425</v>
      </c>
      <c r="AP77" t="s">
        <v>426</v>
      </c>
      <c r="AQ77" t="s">
        <v>74</v>
      </c>
      <c r="AR77" t="s">
        <v>74</v>
      </c>
      <c r="AS77" t="s">
        <v>74</v>
      </c>
      <c r="AT77" t="s">
        <v>575</v>
      </c>
      <c r="AU77">
        <v>2023</v>
      </c>
      <c r="AV77">
        <v>68</v>
      </c>
      <c r="AW77">
        <v>5</v>
      </c>
      <c r="AX77" t="s">
        <v>74</v>
      </c>
      <c r="AY77" t="s">
        <v>74</v>
      </c>
      <c r="AZ77" t="s">
        <v>74</v>
      </c>
      <c r="BA77" t="s">
        <v>74</v>
      </c>
      <c r="BB77">
        <v>806</v>
      </c>
      <c r="BC77">
        <v>820</v>
      </c>
      <c r="BD77" t="s">
        <v>74</v>
      </c>
      <c r="BE77" t="s">
        <v>705</v>
      </c>
      <c r="BF77" t="str">
        <f>HYPERLINK("http://dx.doi.org/10.1111/fwb.14065","http://dx.doi.org/10.1111/fwb.14065")</f>
        <v>http://dx.doi.org/10.1111/fwb.14065</v>
      </c>
      <c r="BG77" t="s">
        <v>74</v>
      </c>
      <c r="BH77" t="s">
        <v>677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 t="s">
        <v>74</v>
      </c>
      <c r="BR77" t="s">
        <v>74</v>
      </c>
      <c r="BS77" t="s">
        <v>706</v>
      </c>
      <c r="BT77" t="str">
        <f>HYPERLINK("https%3A%2F%2Fwww.webofscience.com%2Fwos%2Fwoscc%2Ffull-record%2FWOS:000942337500001","View Full Record in Web of Science")</f>
        <v>View Full Record in Web of Science</v>
      </c>
    </row>
    <row r="78" spans="1:72" x14ac:dyDescent="0.2">
      <c r="A78" t="s">
        <v>72</v>
      </c>
      <c r="B78" t="s">
        <v>707</v>
      </c>
      <c r="C78" t="s">
        <v>74</v>
      </c>
      <c r="D78" t="s">
        <v>74</v>
      </c>
      <c r="E78" t="s">
        <v>74</v>
      </c>
      <c r="F78" t="s">
        <v>708</v>
      </c>
      <c r="G78" t="s">
        <v>74</v>
      </c>
      <c r="H78" t="s">
        <v>74</v>
      </c>
      <c r="I78" t="s">
        <v>709</v>
      </c>
      <c r="J78" t="s">
        <v>710</v>
      </c>
      <c r="K78" t="s">
        <v>74</v>
      </c>
      <c r="L78" t="s">
        <v>74</v>
      </c>
      <c r="M78" t="s">
        <v>74</v>
      </c>
      <c r="N78" t="s">
        <v>74</v>
      </c>
      <c r="O78" t="s">
        <v>74</v>
      </c>
      <c r="P78" t="s">
        <v>74</v>
      </c>
      <c r="Q78" t="s">
        <v>74</v>
      </c>
      <c r="R78" t="s">
        <v>74</v>
      </c>
      <c r="S78" t="s">
        <v>74</v>
      </c>
      <c r="T78" t="s">
        <v>74</v>
      </c>
      <c r="U78" t="s">
        <v>74</v>
      </c>
      <c r="V78" t="s">
        <v>74</v>
      </c>
      <c r="W78" t="s">
        <v>74</v>
      </c>
      <c r="X78" t="s">
        <v>74</v>
      </c>
      <c r="Y78" t="s">
        <v>74</v>
      </c>
      <c r="Z78" t="s">
        <v>74</v>
      </c>
      <c r="AA78" t="s">
        <v>711</v>
      </c>
      <c r="AB78" t="s">
        <v>712</v>
      </c>
      <c r="AC78" t="s">
        <v>74</v>
      </c>
      <c r="AD78" t="s">
        <v>74</v>
      </c>
      <c r="AE78" t="s">
        <v>74</v>
      </c>
      <c r="AF78" t="s">
        <v>74</v>
      </c>
      <c r="AG78" t="s">
        <v>74</v>
      </c>
      <c r="AH78" t="s">
        <v>74</v>
      </c>
      <c r="AI78" t="s">
        <v>74</v>
      </c>
      <c r="AJ78" t="s">
        <v>74</v>
      </c>
      <c r="AK78" t="s">
        <v>74</v>
      </c>
      <c r="AL78" t="s">
        <v>74</v>
      </c>
      <c r="AM78" t="s">
        <v>74</v>
      </c>
      <c r="AN78" t="s">
        <v>74</v>
      </c>
      <c r="AO78" t="s">
        <v>713</v>
      </c>
      <c r="AP78" t="s">
        <v>74</v>
      </c>
      <c r="AQ78" t="s">
        <v>74</v>
      </c>
      <c r="AR78" t="s">
        <v>74</v>
      </c>
      <c r="AS78" t="s">
        <v>74</v>
      </c>
      <c r="AT78" t="s">
        <v>575</v>
      </c>
      <c r="AU78">
        <v>2023</v>
      </c>
      <c r="AV78">
        <v>10</v>
      </c>
      <c r="AW78">
        <v>3</v>
      </c>
      <c r="AX78" t="s">
        <v>74</v>
      </c>
      <c r="AY78" t="s">
        <v>74</v>
      </c>
      <c r="AZ78" t="s">
        <v>74</v>
      </c>
      <c r="BA78" t="s">
        <v>74</v>
      </c>
      <c r="BB78" t="s">
        <v>74</v>
      </c>
      <c r="BC78" t="s">
        <v>74</v>
      </c>
      <c r="BD78" t="s">
        <v>74</v>
      </c>
      <c r="BE78" t="s">
        <v>714</v>
      </c>
      <c r="BF78" t="str">
        <f>HYPERLINK("http://dx.doi.org/10.1002/wat2.1641","http://dx.doi.org/10.1002/wat2.1641")</f>
        <v>http://dx.doi.org/10.1002/wat2.1641</v>
      </c>
      <c r="BG78" t="s">
        <v>74</v>
      </c>
      <c r="BH78" t="s">
        <v>715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 t="s">
        <v>74</v>
      </c>
      <c r="BO78" t="s">
        <v>74</v>
      </c>
      <c r="BP78" t="s">
        <v>74</v>
      </c>
      <c r="BQ78" t="s">
        <v>74</v>
      </c>
      <c r="BR78" t="s">
        <v>74</v>
      </c>
      <c r="BS78" t="s">
        <v>716</v>
      </c>
      <c r="BT78" t="str">
        <f>HYPERLINK("https%3A%2F%2Fwww.webofscience.com%2Fwos%2Fwoscc%2Ffull-record%2FWOS:000939785600001","View Full Record in Web of Science")</f>
        <v>View Full Record in Web of Science</v>
      </c>
    </row>
    <row r="79" spans="1:72" x14ac:dyDescent="0.2">
      <c r="A79" t="s">
        <v>72</v>
      </c>
      <c r="B79" t="s">
        <v>717</v>
      </c>
      <c r="C79" t="s">
        <v>74</v>
      </c>
      <c r="D79" t="s">
        <v>74</v>
      </c>
      <c r="E79" t="s">
        <v>74</v>
      </c>
      <c r="F79" t="s">
        <v>718</v>
      </c>
      <c r="G79" t="s">
        <v>74</v>
      </c>
      <c r="H79" t="s">
        <v>74</v>
      </c>
      <c r="I79" t="s">
        <v>719</v>
      </c>
      <c r="J79" t="s">
        <v>145</v>
      </c>
      <c r="K79" t="s">
        <v>74</v>
      </c>
      <c r="L79" t="s">
        <v>74</v>
      </c>
      <c r="M79" t="s">
        <v>74</v>
      </c>
      <c r="N79" t="s">
        <v>74</v>
      </c>
      <c r="O79" t="s">
        <v>74</v>
      </c>
      <c r="P79" t="s">
        <v>74</v>
      </c>
      <c r="Q79" t="s">
        <v>74</v>
      </c>
      <c r="R79" t="s">
        <v>74</v>
      </c>
      <c r="S79" t="s">
        <v>74</v>
      </c>
      <c r="T79" t="s">
        <v>74</v>
      </c>
      <c r="U79" t="s">
        <v>74</v>
      </c>
      <c r="V79" t="s">
        <v>74</v>
      </c>
      <c r="W79" t="s">
        <v>74</v>
      </c>
      <c r="X79" t="s">
        <v>74</v>
      </c>
      <c r="Y79" t="s">
        <v>74</v>
      </c>
      <c r="Z79" t="s">
        <v>74</v>
      </c>
      <c r="AA79" t="s">
        <v>74</v>
      </c>
      <c r="AB79" t="s">
        <v>720</v>
      </c>
      <c r="AC79" t="s">
        <v>74</v>
      </c>
      <c r="AD79" t="s">
        <v>74</v>
      </c>
      <c r="AE79" t="s">
        <v>74</v>
      </c>
      <c r="AF79" t="s">
        <v>74</v>
      </c>
      <c r="AG79" t="s">
        <v>74</v>
      </c>
      <c r="AH79" t="s">
        <v>74</v>
      </c>
      <c r="AI79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146</v>
      </c>
      <c r="AP79" t="s">
        <v>147</v>
      </c>
      <c r="AQ79" t="s">
        <v>74</v>
      </c>
      <c r="AR79" t="s">
        <v>74</v>
      </c>
      <c r="AS79" t="s">
        <v>74</v>
      </c>
      <c r="AT79" t="s">
        <v>174</v>
      </c>
      <c r="AU79">
        <v>2023</v>
      </c>
      <c r="AV79">
        <v>871</v>
      </c>
      <c r="AW79" t="s">
        <v>74</v>
      </c>
      <c r="AX79" t="s">
        <v>74</v>
      </c>
      <c r="AY79" t="s">
        <v>74</v>
      </c>
      <c r="AZ79" t="s">
        <v>74</v>
      </c>
      <c r="BA79" t="s">
        <v>74</v>
      </c>
      <c r="BB79" t="s">
        <v>74</v>
      </c>
      <c r="BC79" t="s">
        <v>74</v>
      </c>
      <c r="BD79">
        <v>162115</v>
      </c>
      <c r="BE79" t="s">
        <v>721</v>
      </c>
      <c r="BF79" t="str">
        <f>HYPERLINK("http://dx.doi.org/10.1016/j.scitotenv.2023.162115","http://dx.doi.org/10.1016/j.scitotenv.2023.162115")</f>
        <v>http://dx.doi.org/10.1016/j.scitotenv.2023.162115</v>
      </c>
      <c r="BG79" t="s">
        <v>74</v>
      </c>
      <c r="BH79" t="s">
        <v>715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>
        <v>36764544</v>
      </c>
      <c r="BO79" t="s">
        <v>74</v>
      </c>
      <c r="BP79" t="s">
        <v>74</v>
      </c>
      <c r="BQ79" t="s">
        <v>74</v>
      </c>
      <c r="BR79" t="s">
        <v>74</v>
      </c>
      <c r="BS79" t="s">
        <v>722</v>
      </c>
      <c r="BT79" t="str">
        <f>HYPERLINK("https%3A%2F%2Fwww.webofscience.com%2Fwos%2Fwoscc%2Ffull-record%2FWOS:000945054500001","View Full Record in Web of Science")</f>
        <v>View Full Record in Web of Science</v>
      </c>
    </row>
    <row r="80" spans="1:72" x14ac:dyDescent="0.2">
      <c r="A80" t="s">
        <v>72</v>
      </c>
      <c r="B80" t="s">
        <v>723</v>
      </c>
      <c r="C80" t="s">
        <v>74</v>
      </c>
      <c r="D80" t="s">
        <v>74</v>
      </c>
      <c r="E80" t="s">
        <v>74</v>
      </c>
      <c r="F80" t="s">
        <v>724</v>
      </c>
      <c r="G80" t="s">
        <v>74</v>
      </c>
      <c r="H80" t="s">
        <v>74</v>
      </c>
      <c r="I80" t="s">
        <v>725</v>
      </c>
      <c r="J80" t="s">
        <v>381</v>
      </c>
      <c r="K80" t="s">
        <v>74</v>
      </c>
      <c r="L80" t="s">
        <v>74</v>
      </c>
      <c r="M80" t="s">
        <v>74</v>
      </c>
      <c r="N80" t="s">
        <v>74</v>
      </c>
      <c r="O80" t="s">
        <v>74</v>
      </c>
      <c r="P80" t="s">
        <v>74</v>
      </c>
      <c r="Q80" t="s">
        <v>74</v>
      </c>
      <c r="R80" t="s">
        <v>74</v>
      </c>
      <c r="S80" t="s">
        <v>74</v>
      </c>
      <c r="T80" t="s">
        <v>74</v>
      </c>
      <c r="U80" t="s">
        <v>74</v>
      </c>
      <c r="V80" t="s">
        <v>74</v>
      </c>
      <c r="W80" t="s">
        <v>74</v>
      </c>
      <c r="X80" t="s">
        <v>74</v>
      </c>
      <c r="Y80" t="s">
        <v>74</v>
      </c>
      <c r="Z80" t="s">
        <v>74</v>
      </c>
      <c r="AA80" t="s">
        <v>6762</v>
      </c>
      <c r="AB80" t="s">
        <v>726</v>
      </c>
      <c r="AC80" t="s">
        <v>74</v>
      </c>
      <c r="AD80" t="s">
        <v>74</v>
      </c>
      <c r="AE80" t="s">
        <v>74</v>
      </c>
      <c r="AF80" t="s">
        <v>74</v>
      </c>
      <c r="AG80" t="s">
        <v>74</v>
      </c>
      <c r="AH80" t="s">
        <v>74</v>
      </c>
      <c r="AI80" t="s">
        <v>74</v>
      </c>
      <c r="AJ80" t="s">
        <v>74</v>
      </c>
      <c r="AK80" t="s">
        <v>74</v>
      </c>
      <c r="AL80" t="s">
        <v>74</v>
      </c>
      <c r="AM80" t="s">
        <v>74</v>
      </c>
      <c r="AN80" t="s">
        <v>74</v>
      </c>
      <c r="AO80" t="s">
        <v>383</v>
      </c>
      <c r="AP80" t="s">
        <v>384</v>
      </c>
      <c r="AQ80" t="s">
        <v>74</v>
      </c>
      <c r="AR80" t="s">
        <v>74</v>
      </c>
      <c r="AS80" t="s">
        <v>74</v>
      </c>
      <c r="AT80" t="s">
        <v>727</v>
      </c>
      <c r="AU80">
        <v>2023</v>
      </c>
      <c r="AV80">
        <v>322</v>
      </c>
      <c r="AW80" t="s">
        <v>74</v>
      </c>
      <c r="AX80" t="s">
        <v>74</v>
      </c>
      <c r="AY80" t="s">
        <v>74</v>
      </c>
      <c r="AZ80" t="s">
        <v>74</v>
      </c>
      <c r="BA80" t="s">
        <v>74</v>
      </c>
      <c r="BB80" t="s">
        <v>74</v>
      </c>
      <c r="BC80" t="s">
        <v>74</v>
      </c>
      <c r="BD80">
        <v>121199</v>
      </c>
      <c r="BE80" t="s">
        <v>728</v>
      </c>
      <c r="BF80" t="str">
        <f>HYPERLINK("http://dx.doi.org/10.1016/j.envpol.2023.121199","http://dx.doi.org/10.1016/j.envpol.2023.121199")</f>
        <v>http://dx.doi.org/10.1016/j.envpol.2023.121199</v>
      </c>
      <c r="BG80" t="s">
        <v>74</v>
      </c>
      <c r="BH80" t="s">
        <v>715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>
        <v>36738884</v>
      </c>
      <c r="BO80" t="s">
        <v>74</v>
      </c>
      <c r="BP80" t="s">
        <v>74</v>
      </c>
      <c r="BQ80" t="s">
        <v>74</v>
      </c>
      <c r="BR80" t="s">
        <v>74</v>
      </c>
      <c r="BS80" t="s">
        <v>729</v>
      </c>
      <c r="BT80" t="str">
        <f>HYPERLINK("https%3A%2F%2Fwww.webofscience.com%2Fwos%2Fwoscc%2Ffull-record%2FWOS:000944534100001","View Full Record in Web of Science")</f>
        <v>View Full Record in Web of Science</v>
      </c>
    </row>
    <row r="81" spans="1:72" x14ac:dyDescent="0.2">
      <c r="A81" t="s">
        <v>72</v>
      </c>
      <c r="B81" t="s">
        <v>730</v>
      </c>
      <c r="C81" t="s">
        <v>74</v>
      </c>
      <c r="D81" t="s">
        <v>74</v>
      </c>
      <c r="E81" t="s">
        <v>74</v>
      </c>
      <c r="F81" t="s">
        <v>731</v>
      </c>
      <c r="G81" t="s">
        <v>74</v>
      </c>
      <c r="H81" t="s">
        <v>74</v>
      </c>
      <c r="I81" t="s">
        <v>732</v>
      </c>
      <c r="J81" t="s">
        <v>733</v>
      </c>
      <c r="K81" t="s">
        <v>74</v>
      </c>
      <c r="L81" t="s">
        <v>74</v>
      </c>
      <c r="M81" t="s">
        <v>74</v>
      </c>
      <c r="N81" t="s">
        <v>74</v>
      </c>
      <c r="O81" t="s">
        <v>74</v>
      </c>
      <c r="P81" t="s">
        <v>74</v>
      </c>
      <c r="Q81" t="s">
        <v>74</v>
      </c>
      <c r="R81" t="s">
        <v>74</v>
      </c>
      <c r="S81" t="s">
        <v>74</v>
      </c>
      <c r="T81" t="s">
        <v>74</v>
      </c>
      <c r="U81" t="s">
        <v>74</v>
      </c>
      <c r="V81" t="s">
        <v>74</v>
      </c>
      <c r="W81" t="s">
        <v>74</v>
      </c>
      <c r="X81" t="s">
        <v>74</v>
      </c>
      <c r="Y81" t="s">
        <v>74</v>
      </c>
      <c r="Z81" t="s">
        <v>74</v>
      </c>
      <c r="AA81" t="s">
        <v>74</v>
      </c>
      <c r="AB81" t="s">
        <v>74</v>
      </c>
      <c r="AC81" t="s">
        <v>74</v>
      </c>
      <c r="AD81" t="s">
        <v>74</v>
      </c>
      <c r="AE81" t="s">
        <v>74</v>
      </c>
      <c r="AF81" t="s">
        <v>74</v>
      </c>
      <c r="AG81" t="s">
        <v>74</v>
      </c>
      <c r="AH81" t="s">
        <v>74</v>
      </c>
      <c r="AI81" t="s">
        <v>74</v>
      </c>
      <c r="AJ81" t="s">
        <v>74</v>
      </c>
      <c r="AK81" t="s">
        <v>74</v>
      </c>
      <c r="AL81" t="s">
        <v>74</v>
      </c>
      <c r="AM81" t="s">
        <v>74</v>
      </c>
      <c r="AN81" t="s">
        <v>74</v>
      </c>
      <c r="AO81" t="s">
        <v>734</v>
      </c>
      <c r="AP81" t="s">
        <v>74</v>
      </c>
      <c r="AQ81" t="s">
        <v>74</v>
      </c>
      <c r="AR81" t="s">
        <v>74</v>
      </c>
      <c r="AS81" t="s">
        <v>74</v>
      </c>
      <c r="AT81" t="s">
        <v>735</v>
      </c>
      <c r="AU81">
        <v>2023</v>
      </c>
      <c r="AV81">
        <v>11</v>
      </c>
      <c r="AW81" t="s">
        <v>74</v>
      </c>
      <c r="AX81" t="s">
        <v>74</v>
      </c>
      <c r="AY81" t="s">
        <v>74</v>
      </c>
      <c r="AZ81" t="s">
        <v>74</v>
      </c>
      <c r="BA81" t="s">
        <v>74</v>
      </c>
      <c r="BB81" t="s">
        <v>74</v>
      </c>
      <c r="BC81" t="s">
        <v>74</v>
      </c>
      <c r="BD81">
        <v>1137985</v>
      </c>
      <c r="BE81" t="s">
        <v>736</v>
      </c>
      <c r="BF81" t="str">
        <f>HYPERLINK("http://dx.doi.org/10.3389/fevo.2023.1137985","http://dx.doi.org/10.3389/fevo.2023.1137985")</f>
        <v>http://dx.doi.org/10.3389/fevo.2023.1137985</v>
      </c>
      <c r="BG81" t="s">
        <v>74</v>
      </c>
      <c r="BH81" t="s">
        <v>74</v>
      </c>
      <c r="BI81" t="s">
        <v>74</v>
      </c>
      <c r="BJ81" t="s">
        <v>74</v>
      </c>
      <c r="BK81" t="s">
        <v>74</v>
      </c>
      <c r="BL81" t="s">
        <v>74</v>
      </c>
      <c r="BM81" t="s">
        <v>74</v>
      </c>
      <c r="BN81" t="s">
        <v>74</v>
      </c>
      <c r="BO81" t="s">
        <v>74</v>
      </c>
      <c r="BP81" t="s">
        <v>74</v>
      </c>
      <c r="BQ81" t="s">
        <v>74</v>
      </c>
      <c r="BR81" t="s">
        <v>74</v>
      </c>
      <c r="BS81" t="s">
        <v>737</v>
      </c>
      <c r="BT81" t="str">
        <f>HYPERLINK("https%3A%2F%2Fwww.webofscience.com%2Fwos%2Fwoscc%2Ffull-record%2FWOS:000936073200001","View Full Record in Web of Science")</f>
        <v>View Full Record in Web of Science</v>
      </c>
    </row>
    <row r="82" spans="1:72" x14ac:dyDescent="0.2">
      <c r="A82" t="s">
        <v>72</v>
      </c>
      <c r="B82" t="s">
        <v>738</v>
      </c>
      <c r="C82" t="s">
        <v>74</v>
      </c>
      <c r="D82" t="s">
        <v>74</v>
      </c>
      <c r="E82" t="s">
        <v>74</v>
      </c>
      <c r="F82" t="s">
        <v>739</v>
      </c>
      <c r="G82" t="s">
        <v>74</v>
      </c>
      <c r="H82" t="s">
        <v>74</v>
      </c>
      <c r="I82" t="s">
        <v>740</v>
      </c>
      <c r="J82" t="s">
        <v>292</v>
      </c>
      <c r="K82" t="s">
        <v>74</v>
      </c>
      <c r="L82" t="s">
        <v>74</v>
      </c>
      <c r="M82" t="s">
        <v>74</v>
      </c>
      <c r="N82" t="s">
        <v>74</v>
      </c>
      <c r="O82" t="s">
        <v>74</v>
      </c>
      <c r="P82" t="s">
        <v>74</v>
      </c>
      <c r="Q82" t="s">
        <v>74</v>
      </c>
      <c r="R82" t="s">
        <v>74</v>
      </c>
      <c r="S82" t="s">
        <v>74</v>
      </c>
      <c r="T82" t="s">
        <v>74</v>
      </c>
      <c r="U82" t="s">
        <v>74</v>
      </c>
      <c r="V82" t="s">
        <v>74</v>
      </c>
      <c r="W82" t="s">
        <v>74</v>
      </c>
      <c r="X82" t="s">
        <v>74</v>
      </c>
      <c r="Y82" t="s">
        <v>74</v>
      </c>
      <c r="Z82" t="s">
        <v>74</v>
      </c>
      <c r="AA82" t="s">
        <v>741</v>
      </c>
      <c r="AB82" t="s">
        <v>742</v>
      </c>
      <c r="AC82" t="s">
        <v>74</v>
      </c>
      <c r="AD82" t="s">
        <v>74</v>
      </c>
      <c r="AE82" t="s">
        <v>74</v>
      </c>
      <c r="AF82" t="s">
        <v>74</v>
      </c>
      <c r="AG82" t="s">
        <v>74</v>
      </c>
      <c r="AH82" t="s">
        <v>74</v>
      </c>
      <c r="AI82" t="s">
        <v>74</v>
      </c>
      <c r="AJ82" t="s">
        <v>74</v>
      </c>
      <c r="AK82" t="s">
        <v>74</v>
      </c>
      <c r="AL82" t="s">
        <v>74</v>
      </c>
      <c r="AM82" t="s">
        <v>74</v>
      </c>
      <c r="AN82" t="s">
        <v>74</v>
      </c>
      <c r="AO82" t="s">
        <v>74</v>
      </c>
      <c r="AP82" t="s">
        <v>294</v>
      </c>
      <c r="AQ82" t="s">
        <v>74</v>
      </c>
      <c r="AR82" t="s">
        <v>74</v>
      </c>
      <c r="AS82" t="s">
        <v>74</v>
      </c>
      <c r="AT82" t="s">
        <v>416</v>
      </c>
      <c r="AU82">
        <v>2023</v>
      </c>
      <c r="AV82">
        <v>15</v>
      </c>
      <c r="AW82">
        <v>2</v>
      </c>
      <c r="AX82" t="s">
        <v>74</v>
      </c>
      <c r="AY82" t="s">
        <v>74</v>
      </c>
      <c r="AZ82" t="s">
        <v>74</v>
      </c>
      <c r="BA82" t="s">
        <v>74</v>
      </c>
      <c r="BB82" t="s">
        <v>74</v>
      </c>
      <c r="BC82" t="s">
        <v>74</v>
      </c>
      <c r="BD82">
        <v>263</v>
      </c>
      <c r="BE82" t="s">
        <v>743</v>
      </c>
      <c r="BF82" t="str">
        <f>HYPERLINK("http://dx.doi.org/10.3390/d15020263","http://dx.doi.org/10.3390/d15020263")</f>
        <v>http://dx.doi.org/10.3390/d15020263</v>
      </c>
      <c r="BG82" t="s">
        <v>74</v>
      </c>
      <c r="BH82" t="s">
        <v>74</v>
      </c>
      <c r="BI82" t="s">
        <v>74</v>
      </c>
      <c r="BJ82" t="s">
        <v>74</v>
      </c>
      <c r="BK82" t="s">
        <v>74</v>
      </c>
      <c r="BL82" t="s">
        <v>74</v>
      </c>
      <c r="BM82" t="s">
        <v>74</v>
      </c>
      <c r="BN82" t="s">
        <v>74</v>
      </c>
      <c r="BO82" t="s">
        <v>74</v>
      </c>
      <c r="BP82" t="s">
        <v>74</v>
      </c>
      <c r="BQ82" t="s">
        <v>74</v>
      </c>
      <c r="BR82" t="s">
        <v>74</v>
      </c>
      <c r="BS82" t="s">
        <v>744</v>
      </c>
      <c r="BT82" t="str">
        <f>HYPERLINK("https%3A%2F%2Fwww.webofscience.com%2Fwos%2Fwoscc%2Ffull-record%2FWOS:000944987400001","View Full Record in Web of Science")</f>
        <v>View Full Record in Web of Science</v>
      </c>
    </row>
    <row r="83" spans="1:72" x14ac:dyDescent="0.2">
      <c r="A83" t="s">
        <v>72</v>
      </c>
      <c r="B83" t="s">
        <v>745</v>
      </c>
      <c r="C83" t="s">
        <v>74</v>
      </c>
      <c r="D83" t="s">
        <v>74</v>
      </c>
      <c r="E83" t="s">
        <v>74</v>
      </c>
      <c r="F83" t="s">
        <v>746</v>
      </c>
      <c r="G83" t="s">
        <v>74</v>
      </c>
      <c r="H83" t="s">
        <v>74</v>
      </c>
      <c r="I83" t="s">
        <v>747</v>
      </c>
      <c r="J83" t="s">
        <v>748</v>
      </c>
      <c r="K83" t="s">
        <v>74</v>
      </c>
      <c r="L83" t="s">
        <v>74</v>
      </c>
      <c r="M83" t="s">
        <v>74</v>
      </c>
      <c r="N83" t="s">
        <v>74</v>
      </c>
      <c r="O83" t="s">
        <v>74</v>
      </c>
      <c r="P83" t="s">
        <v>74</v>
      </c>
      <c r="Q83" t="s">
        <v>74</v>
      </c>
      <c r="R83" t="s">
        <v>74</v>
      </c>
      <c r="S83" t="s">
        <v>74</v>
      </c>
      <c r="T83" t="s">
        <v>74</v>
      </c>
      <c r="U83" t="s">
        <v>74</v>
      </c>
      <c r="V83" t="s">
        <v>74</v>
      </c>
      <c r="W83" t="s">
        <v>74</v>
      </c>
      <c r="X83" t="s">
        <v>74</v>
      </c>
      <c r="Y83" t="s">
        <v>74</v>
      </c>
      <c r="Z83" t="s">
        <v>74</v>
      </c>
      <c r="AA83" t="s">
        <v>74</v>
      </c>
      <c r="AB83" t="s">
        <v>74</v>
      </c>
      <c r="AC83" t="s">
        <v>74</v>
      </c>
      <c r="AD83" t="s">
        <v>74</v>
      </c>
      <c r="AE83" t="s">
        <v>74</v>
      </c>
      <c r="AF83" t="s">
        <v>74</v>
      </c>
      <c r="AG83" t="s">
        <v>74</v>
      </c>
      <c r="AH83" t="s">
        <v>74</v>
      </c>
      <c r="AI83" t="s">
        <v>74</v>
      </c>
      <c r="AJ83" t="s">
        <v>74</v>
      </c>
      <c r="AK83" t="s">
        <v>74</v>
      </c>
      <c r="AL83" t="s">
        <v>74</v>
      </c>
      <c r="AM83" t="s">
        <v>74</v>
      </c>
      <c r="AN83" t="s">
        <v>74</v>
      </c>
      <c r="AO83" t="s">
        <v>749</v>
      </c>
      <c r="AP83" t="s">
        <v>750</v>
      </c>
      <c r="AQ83" t="s">
        <v>74</v>
      </c>
      <c r="AR83" t="s">
        <v>74</v>
      </c>
      <c r="AS83" t="s">
        <v>74</v>
      </c>
      <c r="AT83" t="s">
        <v>416</v>
      </c>
      <c r="AU83">
        <v>2023</v>
      </c>
      <c r="AV83">
        <v>18</v>
      </c>
      <c r="AW83">
        <v>1</v>
      </c>
      <c r="AX83" t="s">
        <v>74</v>
      </c>
      <c r="AY83" t="s">
        <v>74</v>
      </c>
      <c r="AZ83" t="s">
        <v>74</v>
      </c>
      <c r="BA83" t="s">
        <v>74</v>
      </c>
      <c r="BB83">
        <v>21</v>
      </c>
      <c r="BC83">
        <v>33</v>
      </c>
      <c r="BD83" t="s">
        <v>74</v>
      </c>
      <c r="BE83" t="s">
        <v>751</v>
      </c>
      <c r="BF83" t="str">
        <f>HYPERLINK("http://dx.doi.org/10.3800/pbr.18.21","http://dx.doi.org/10.3800/pbr.18.21")</f>
        <v>http://dx.doi.org/10.3800/pbr.18.21</v>
      </c>
      <c r="BG83" t="s">
        <v>74</v>
      </c>
      <c r="BH83" t="s">
        <v>74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 t="s">
        <v>74</v>
      </c>
      <c r="BO83" t="s">
        <v>74</v>
      </c>
      <c r="BP83" t="s">
        <v>74</v>
      </c>
      <c r="BQ83" t="s">
        <v>74</v>
      </c>
      <c r="BR83" t="s">
        <v>74</v>
      </c>
      <c r="BS83" t="s">
        <v>752</v>
      </c>
      <c r="BT83" t="str">
        <f>HYPERLINK("https%3A%2F%2Fwww.webofscience.com%2Fwos%2Fwoscc%2Ffull-record%2FWOS:001000124100003","View Full Record in Web of Science")</f>
        <v>View Full Record in Web of Science</v>
      </c>
    </row>
    <row r="84" spans="1:72" x14ac:dyDescent="0.2">
      <c r="A84" t="s">
        <v>72</v>
      </c>
      <c r="B84" t="s">
        <v>753</v>
      </c>
      <c r="C84" t="s">
        <v>74</v>
      </c>
      <c r="D84" t="s">
        <v>74</v>
      </c>
      <c r="E84" t="s">
        <v>74</v>
      </c>
      <c r="F84" t="s">
        <v>754</v>
      </c>
      <c r="G84" t="s">
        <v>74</v>
      </c>
      <c r="H84" t="s">
        <v>74</v>
      </c>
      <c r="I84" t="s">
        <v>755</v>
      </c>
      <c r="J84" t="s">
        <v>756</v>
      </c>
      <c r="K84" t="s">
        <v>74</v>
      </c>
      <c r="L84" t="s">
        <v>74</v>
      </c>
      <c r="M84" t="s">
        <v>74</v>
      </c>
      <c r="N84" t="s">
        <v>74</v>
      </c>
      <c r="O84" t="s">
        <v>74</v>
      </c>
      <c r="P84" t="s">
        <v>74</v>
      </c>
      <c r="Q84" t="s">
        <v>74</v>
      </c>
      <c r="R84" t="s">
        <v>74</v>
      </c>
      <c r="S84" t="s">
        <v>74</v>
      </c>
      <c r="T84" t="s">
        <v>74</v>
      </c>
      <c r="U84" t="s">
        <v>74</v>
      </c>
      <c r="V84" t="s">
        <v>74</v>
      </c>
      <c r="W84" t="s">
        <v>74</v>
      </c>
      <c r="X84" t="s">
        <v>74</v>
      </c>
      <c r="Y84" t="s">
        <v>74</v>
      </c>
      <c r="Z84" t="s">
        <v>74</v>
      </c>
      <c r="AA84" t="s">
        <v>757</v>
      </c>
      <c r="AB84" t="s">
        <v>758</v>
      </c>
      <c r="AC84" t="s">
        <v>74</v>
      </c>
      <c r="AD84" t="s">
        <v>74</v>
      </c>
      <c r="AE84" t="s">
        <v>74</v>
      </c>
      <c r="AF84" t="s">
        <v>74</v>
      </c>
      <c r="AG84" t="s">
        <v>74</v>
      </c>
      <c r="AH84" t="s">
        <v>74</v>
      </c>
      <c r="AI84" t="s">
        <v>74</v>
      </c>
      <c r="AJ84" t="s">
        <v>74</v>
      </c>
      <c r="AK84" t="s">
        <v>74</v>
      </c>
      <c r="AL84" t="s">
        <v>74</v>
      </c>
      <c r="AM84" t="s">
        <v>74</v>
      </c>
      <c r="AN84" t="s">
        <v>74</v>
      </c>
      <c r="AO84" t="s">
        <v>759</v>
      </c>
      <c r="AP84" t="s">
        <v>74</v>
      </c>
      <c r="AQ84" t="s">
        <v>74</v>
      </c>
      <c r="AR84" t="s">
        <v>74</v>
      </c>
      <c r="AS84" t="s">
        <v>74</v>
      </c>
      <c r="AT84" t="s">
        <v>624</v>
      </c>
      <c r="AU84">
        <v>2023</v>
      </c>
      <c r="AV84">
        <v>196</v>
      </c>
      <c r="AW84" t="s">
        <v>760</v>
      </c>
      <c r="AX84" t="s">
        <v>74</v>
      </c>
      <c r="AY84" t="s">
        <v>74</v>
      </c>
      <c r="AZ84" t="s">
        <v>74</v>
      </c>
      <c r="BA84" t="s">
        <v>74</v>
      </c>
      <c r="BB84">
        <v>229</v>
      </c>
      <c r="BC84">
        <v>249</v>
      </c>
      <c r="BD84" t="s">
        <v>74</v>
      </c>
      <c r="BE84" t="s">
        <v>761</v>
      </c>
      <c r="BF84" t="str">
        <f>HYPERLINK("http://dx.doi.org/10.1127/fal/2023/1466","http://dx.doi.org/10.1127/fal/2023/1466")</f>
        <v>http://dx.doi.org/10.1127/fal/2023/1466</v>
      </c>
      <c r="BG84" t="s">
        <v>74</v>
      </c>
      <c r="BH84" t="s">
        <v>762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 t="s">
        <v>74</v>
      </c>
      <c r="BR84" t="s">
        <v>74</v>
      </c>
      <c r="BS84" t="s">
        <v>763</v>
      </c>
      <c r="BT84" t="str">
        <f>HYPERLINK("https%3A%2F%2Fwww.webofscience.com%2Fwos%2Fwoscc%2Ffull-record%2FWOS:000911914800001","View Full Record in Web of Science")</f>
        <v>View Full Record in Web of Science</v>
      </c>
    </row>
    <row r="85" spans="1:72" x14ac:dyDescent="0.2">
      <c r="A85" t="s">
        <v>72</v>
      </c>
      <c r="B85" t="s">
        <v>764</v>
      </c>
      <c r="C85" t="s">
        <v>74</v>
      </c>
      <c r="D85" t="s">
        <v>74</v>
      </c>
      <c r="E85" t="s">
        <v>74</v>
      </c>
      <c r="F85" t="s">
        <v>765</v>
      </c>
      <c r="G85" t="s">
        <v>74</v>
      </c>
      <c r="H85" t="s">
        <v>74</v>
      </c>
      <c r="I85" t="s">
        <v>766</v>
      </c>
      <c r="J85" t="s">
        <v>767</v>
      </c>
      <c r="K85" t="s">
        <v>74</v>
      </c>
      <c r="L85" t="s">
        <v>74</v>
      </c>
      <c r="M85" t="s">
        <v>74</v>
      </c>
      <c r="N85" t="s">
        <v>74</v>
      </c>
      <c r="O85" t="s">
        <v>74</v>
      </c>
      <c r="P85" t="s">
        <v>74</v>
      </c>
      <c r="Q85" t="s">
        <v>74</v>
      </c>
      <c r="R85" t="s">
        <v>74</v>
      </c>
      <c r="S85" t="s">
        <v>74</v>
      </c>
      <c r="T85" t="s">
        <v>74</v>
      </c>
      <c r="U85" t="s">
        <v>74</v>
      </c>
      <c r="V85" t="s">
        <v>74</v>
      </c>
      <c r="W85" t="s">
        <v>74</v>
      </c>
      <c r="X85" t="s">
        <v>74</v>
      </c>
      <c r="Y85" t="s">
        <v>74</v>
      </c>
      <c r="Z85" t="s">
        <v>74</v>
      </c>
      <c r="AA85" t="s">
        <v>768</v>
      </c>
      <c r="AB85" t="s">
        <v>769</v>
      </c>
      <c r="AC85" t="s">
        <v>74</v>
      </c>
      <c r="AD85" t="s">
        <v>74</v>
      </c>
      <c r="AE85" t="s">
        <v>74</v>
      </c>
      <c r="AF85" t="s">
        <v>74</v>
      </c>
      <c r="AG85" t="s">
        <v>74</v>
      </c>
      <c r="AH85" t="s">
        <v>74</v>
      </c>
      <c r="AI85" t="s">
        <v>74</v>
      </c>
      <c r="AJ85" t="s">
        <v>74</v>
      </c>
      <c r="AK85" t="s">
        <v>74</v>
      </c>
      <c r="AL85" t="s">
        <v>74</v>
      </c>
      <c r="AM85" t="s">
        <v>74</v>
      </c>
      <c r="AN85" t="s">
        <v>74</v>
      </c>
      <c r="AO85" t="s">
        <v>770</v>
      </c>
      <c r="AP85" t="s">
        <v>771</v>
      </c>
      <c r="AQ85" t="s">
        <v>74</v>
      </c>
      <c r="AR85" t="s">
        <v>74</v>
      </c>
      <c r="AS85" t="s">
        <v>74</v>
      </c>
      <c r="AT85" t="s">
        <v>276</v>
      </c>
      <c r="AU85">
        <v>2023</v>
      </c>
      <c r="AV85">
        <v>255</v>
      </c>
      <c r="AW85" t="s">
        <v>74</v>
      </c>
      <c r="AX85" t="s">
        <v>74</v>
      </c>
      <c r="AY85" t="s">
        <v>74</v>
      </c>
      <c r="AZ85" t="s">
        <v>74</v>
      </c>
      <c r="BA85" t="s">
        <v>74</v>
      </c>
      <c r="BB85" t="s">
        <v>74</v>
      </c>
      <c r="BC85" t="s">
        <v>74</v>
      </c>
      <c r="BD85">
        <v>104933</v>
      </c>
      <c r="BE85" t="s">
        <v>772</v>
      </c>
      <c r="BF85" t="str">
        <f>HYPERLINK("http://dx.doi.org/10.1016/j.csr.2023.104933","http://dx.doi.org/10.1016/j.csr.2023.104933")</f>
        <v>http://dx.doi.org/10.1016/j.csr.2023.104933</v>
      </c>
      <c r="BG85" t="s">
        <v>74</v>
      </c>
      <c r="BH85" t="s">
        <v>762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 t="s">
        <v>74</v>
      </c>
      <c r="BR85" t="s">
        <v>74</v>
      </c>
      <c r="BS85" t="s">
        <v>773</v>
      </c>
      <c r="BT85" t="str">
        <f>HYPERLINK("https%3A%2F%2Fwww.webofscience.com%2Fwos%2Fwoscc%2Ffull-record%2FWOS:000924217500001","View Full Record in Web of Science")</f>
        <v>View Full Record in Web of Science</v>
      </c>
    </row>
    <row r="86" spans="1:72" x14ac:dyDescent="0.2">
      <c r="A86" t="s">
        <v>72</v>
      </c>
      <c r="B86" t="s">
        <v>774</v>
      </c>
      <c r="C86" t="s">
        <v>74</v>
      </c>
      <c r="D86" t="s">
        <v>74</v>
      </c>
      <c r="E86" t="s">
        <v>74</v>
      </c>
      <c r="F86" t="s">
        <v>775</v>
      </c>
      <c r="G86" t="s">
        <v>74</v>
      </c>
      <c r="H86" t="s">
        <v>74</v>
      </c>
      <c r="I86" t="s">
        <v>776</v>
      </c>
      <c r="J86" t="s">
        <v>777</v>
      </c>
      <c r="K86" t="s">
        <v>74</v>
      </c>
      <c r="L86" t="s">
        <v>74</v>
      </c>
      <c r="M86" t="s">
        <v>74</v>
      </c>
      <c r="N86" t="s">
        <v>74</v>
      </c>
      <c r="O86" t="s">
        <v>74</v>
      </c>
      <c r="P86" t="s">
        <v>74</v>
      </c>
      <c r="Q86" t="s">
        <v>74</v>
      </c>
      <c r="R86" t="s">
        <v>74</v>
      </c>
      <c r="S86" t="s">
        <v>74</v>
      </c>
      <c r="T86" t="s">
        <v>74</v>
      </c>
      <c r="U86" t="s">
        <v>74</v>
      </c>
      <c r="V86" t="s">
        <v>74</v>
      </c>
      <c r="W86" t="s">
        <v>74</v>
      </c>
      <c r="X86" t="s">
        <v>74</v>
      </c>
      <c r="Y86" t="s">
        <v>74</v>
      </c>
      <c r="Z86" t="s">
        <v>74</v>
      </c>
      <c r="AA86" t="s">
        <v>778</v>
      </c>
      <c r="AB86" t="s">
        <v>779</v>
      </c>
      <c r="AC86" t="s">
        <v>74</v>
      </c>
      <c r="AD86" t="s">
        <v>74</v>
      </c>
      <c r="AE86" t="s">
        <v>74</v>
      </c>
      <c r="AF86" t="s">
        <v>74</v>
      </c>
      <c r="AG86" t="s">
        <v>74</v>
      </c>
      <c r="AH86" t="s">
        <v>74</v>
      </c>
      <c r="AI86" t="s">
        <v>74</v>
      </c>
      <c r="AJ86" t="s">
        <v>74</v>
      </c>
      <c r="AK86" t="s">
        <v>74</v>
      </c>
      <c r="AL86" t="s">
        <v>74</v>
      </c>
      <c r="AM86" t="s">
        <v>74</v>
      </c>
      <c r="AN86" t="s">
        <v>74</v>
      </c>
      <c r="AO86" t="s">
        <v>780</v>
      </c>
      <c r="AP86" t="s">
        <v>781</v>
      </c>
      <c r="AQ86" t="s">
        <v>74</v>
      </c>
      <c r="AR86" t="s">
        <v>74</v>
      </c>
      <c r="AS86" t="s">
        <v>74</v>
      </c>
      <c r="AT86" t="s">
        <v>782</v>
      </c>
      <c r="AU86">
        <v>2023</v>
      </c>
      <c r="AV86">
        <v>35</v>
      </c>
      <c r="AW86">
        <v>1</v>
      </c>
      <c r="AX86" t="s">
        <v>74</v>
      </c>
      <c r="AY86" t="s">
        <v>74</v>
      </c>
      <c r="AZ86" t="s">
        <v>74</v>
      </c>
      <c r="BA86" t="s">
        <v>74</v>
      </c>
      <c r="BB86" t="s">
        <v>74</v>
      </c>
      <c r="BC86" t="s">
        <v>74</v>
      </c>
      <c r="BD86">
        <v>3</v>
      </c>
      <c r="BE86" t="s">
        <v>783</v>
      </c>
      <c r="BF86" t="str">
        <f>HYPERLINK("http://dx.doi.org/10.1186/s12302-022-00710-3","http://dx.doi.org/10.1186/s12302-022-00710-3")</f>
        <v>http://dx.doi.org/10.1186/s12302-022-00710-3</v>
      </c>
      <c r="BG86" t="s">
        <v>74</v>
      </c>
      <c r="BH86" t="s">
        <v>74</v>
      </c>
      <c r="BI86" t="s">
        <v>74</v>
      </c>
      <c r="BJ86" t="s">
        <v>74</v>
      </c>
      <c r="BK86" t="s">
        <v>74</v>
      </c>
      <c r="BL86" t="s">
        <v>74</v>
      </c>
      <c r="BM86" t="s">
        <v>74</v>
      </c>
      <c r="BN86" t="s">
        <v>74</v>
      </c>
      <c r="BO86" t="s">
        <v>74</v>
      </c>
      <c r="BP86" t="s">
        <v>74</v>
      </c>
      <c r="BQ86" t="s">
        <v>74</v>
      </c>
      <c r="BR86" t="s">
        <v>74</v>
      </c>
      <c r="BS86" t="s">
        <v>784</v>
      </c>
      <c r="BT86" t="str">
        <f>HYPERLINK("https%3A%2F%2Fwww.webofscience.com%2Fwos%2Fwoscc%2Ffull-record%2FWOS:000912717400001","View Full Record in Web of Science")</f>
        <v>View Full Record in Web of Science</v>
      </c>
    </row>
    <row r="87" spans="1:72" x14ac:dyDescent="0.2">
      <c r="A87" t="s">
        <v>72</v>
      </c>
      <c r="B87" t="s">
        <v>785</v>
      </c>
      <c r="C87" t="s">
        <v>74</v>
      </c>
      <c r="D87" t="s">
        <v>74</v>
      </c>
      <c r="E87" t="s">
        <v>74</v>
      </c>
      <c r="F87" t="s">
        <v>786</v>
      </c>
      <c r="G87" t="s">
        <v>74</v>
      </c>
      <c r="H87" t="s">
        <v>74</v>
      </c>
      <c r="I87" t="s">
        <v>787</v>
      </c>
      <c r="J87" t="s">
        <v>115</v>
      </c>
      <c r="K87" t="s">
        <v>74</v>
      </c>
      <c r="L87" t="s">
        <v>74</v>
      </c>
      <c r="M87" t="s">
        <v>74</v>
      </c>
      <c r="N87" t="s">
        <v>74</v>
      </c>
      <c r="O87" t="s">
        <v>74</v>
      </c>
      <c r="P87" t="s">
        <v>74</v>
      </c>
      <c r="Q87" t="s">
        <v>74</v>
      </c>
      <c r="R87" t="s">
        <v>74</v>
      </c>
      <c r="S87" t="s">
        <v>74</v>
      </c>
      <c r="T87" t="s">
        <v>74</v>
      </c>
      <c r="U87" t="s">
        <v>74</v>
      </c>
      <c r="V87" t="s">
        <v>74</v>
      </c>
      <c r="W87" t="s">
        <v>74</v>
      </c>
      <c r="X87" t="s">
        <v>74</v>
      </c>
      <c r="Y87" t="s">
        <v>74</v>
      </c>
      <c r="Z87" t="s">
        <v>74</v>
      </c>
      <c r="AA87" t="s">
        <v>788</v>
      </c>
      <c r="AB87" t="s">
        <v>789</v>
      </c>
      <c r="AC87" t="s">
        <v>74</v>
      </c>
      <c r="AD87" t="s">
        <v>74</v>
      </c>
      <c r="AE87" t="s">
        <v>74</v>
      </c>
      <c r="AF87" t="s">
        <v>74</v>
      </c>
      <c r="AG87" t="s">
        <v>74</v>
      </c>
      <c r="AH87" t="s">
        <v>74</v>
      </c>
      <c r="AI87" t="s">
        <v>74</v>
      </c>
      <c r="AJ87" t="s">
        <v>74</v>
      </c>
      <c r="AK87" t="s">
        <v>74</v>
      </c>
      <c r="AL87" t="s">
        <v>74</v>
      </c>
      <c r="AM87" t="s">
        <v>74</v>
      </c>
      <c r="AN87" t="s">
        <v>74</v>
      </c>
      <c r="AO87" t="s">
        <v>116</v>
      </c>
      <c r="AP87" t="s">
        <v>117</v>
      </c>
      <c r="AQ87" t="s">
        <v>74</v>
      </c>
      <c r="AR87" t="s">
        <v>74</v>
      </c>
      <c r="AS87" t="s">
        <v>74</v>
      </c>
      <c r="AT87" t="s">
        <v>790</v>
      </c>
      <c r="AU87">
        <v>2023</v>
      </c>
      <c r="AV87">
        <v>57</v>
      </c>
      <c r="AW87">
        <v>3</v>
      </c>
      <c r="AX87" t="s">
        <v>74</v>
      </c>
      <c r="AY87" t="s">
        <v>74</v>
      </c>
      <c r="AZ87" t="s">
        <v>74</v>
      </c>
      <c r="BA87" t="s">
        <v>74</v>
      </c>
      <c r="BB87">
        <v>1199</v>
      </c>
      <c r="BC87">
        <v>1213</v>
      </c>
      <c r="BD87" t="s">
        <v>74</v>
      </c>
      <c r="BE87" t="s">
        <v>791</v>
      </c>
      <c r="BF87" t="str">
        <f>HYPERLINK("http://dx.doi.org/10.1021/acs.est.2c06787","http://dx.doi.org/10.1021/acs.est.2c06787")</f>
        <v>http://dx.doi.org/10.1021/acs.est.2c06787</v>
      </c>
      <c r="BG87" t="s">
        <v>74</v>
      </c>
      <c r="BH87" t="s">
        <v>762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>
        <v>36628989</v>
      </c>
      <c r="BO87" t="s">
        <v>74</v>
      </c>
      <c r="BP87" t="s">
        <v>74</v>
      </c>
      <c r="BQ87" t="s">
        <v>74</v>
      </c>
      <c r="BR87" t="s">
        <v>74</v>
      </c>
      <c r="BS87" t="s">
        <v>792</v>
      </c>
      <c r="BT87" t="str">
        <f>HYPERLINK("https%3A%2F%2Fwww.webofscience.com%2Fwos%2Fwoscc%2Ffull-record%2FWOS:000924196300001","View Full Record in Web of Science")</f>
        <v>View Full Record in Web of Science</v>
      </c>
    </row>
    <row r="88" spans="1:72" x14ac:dyDescent="0.2">
      <c r="A88" t="s">
        <v>72</v>
      </c>
      <c r="B88" t="s">
        <v>793</v>
      </c>
      <c r="C88" t="s">
        <v>74</v>
      </c>
      <c r="D88" t="s">
        <v>74</v>
      </c>
      <c r="E88" t="s">
        <v>74</v>
      </c>
      <c r="F88" t="s">
        <v>794</v>
      </c>
      <c r="G88" t="s">
        <v>74</v>
      </c>
      <c r="H88" t="s">
        <v>74</v>
      </c>
      <c r="I88" t="s">
        <v>795</v>
      </c>
      <c r="J88" t="s">
        <v>502</v>
      </c>
      <c r="K88" t="s">
        <v>74</v>
      </c>
      <c r="L88" t="s">
        <v>74</v>
      </c>
      <c r="M88" t="s">
        <v>74</v>
      </c>
      <c r="N88" t="s">
        <v>74</v>
      </c>
      <c r="O88" t="s">
        <v>74</v>
      </c>
      <c r="P88" t="s">
        <v>74</v>
      </c>
      <c r="Q88" t="s">
        <v>74</v>
      </c>
      <c r="R88" t="s">
        <v>74</v>
      </c>
      <c r="S88" t="s">
        <v>74</v>
      </c>
      <c r="T88" t="s">
        <v>74</v>
      </c>
      <c r="U88" t="s">
        <v>74</v>
      </c>
      <c r="V88" t="s">
        <v>74</v>
      </c>
      <c r="W88" t="s">
        <v>74</v>
      </c>
      <c r="X88" t="s">
        <v>74</v>
      </c>
      <c r="Y88" t="s">
        <v>74</v>
      </c>
      <c r="Z88" t="s">
        <v>74</v>
      </c>
      <c r="AA88" t="s">
        <v>6811</v>
      </c>
      <c r="AB88" t="s">
        <v>796</v>
      </c>
      <c r="AC88" t="s">
        <v>74</v>
      </c>
      <c r="AD88" t="s">
        <v>74</v>
      </c>
      <c r="AE88" t="s">
        <v>74</v>
      </c>
      <c r="AF88" t="s">
        <v>74</v>
      </c>
      <c r="AG88" t="s">
        <v>74</v>
      </c>
      <c r="AH88" t="s">
        <v>74</v>
      </c>
      <c r="AI88" t="s">
        <v>74</v>
      </c>
      <c r="AJ88" t="s">
        <v>74</v>
      </c>
      <c r="AK88" t="s">
        <v>74</v>
      </c>
      <c r="AL88" t="s">
        <v>74</v>
      </c>
      <c r="AM88" t="s">
        <v>74</v>
      </c>
      <c r="AN88" t="s">
        <v>74</v>
      </c>
      <c r="AO88" t="s">
        <v>503</v>
      </c>
      <c r="AP88" t="s">
        <v>504</v>
      </c>
      <c r="AQ88" t="s">
        <v>74</v>
      </c>
      <c r="AR88" t="s">
        <v>74</v>
      </c>
      <c r="AS88" t="s">
        <v>74</v>
      </c>
      <c r="AT88" t="s">
        <v>416</v>
      </c>
      <c r="AU88">
        <v>2023</v>
      </c>
      <c r="AV88">
        <v>146</v>
      </c>
      <c r="AW88" t="s">
        <v>74</v>
      </c>
      <c r="AX88" t="s">
        <v>74</v>
      </c>
      <c r="AY88" t="s">
        <v>74</v>
      </c>
      <c r="AZ88" t="s">
        <v>74</v>
      </c>
      <c r="BA88" t="s">
        <v>74</v>
      </c>
      <c r="BB88" t="s">
        <v>74</v>
      </c>
      <c r="BC88" t="s">
        <v>74</v>
      </c>
      <c r="BD88">
        <v>109833</v>
      </c>
      <c r="BE88" t="s">
        <v>797</v>
      </c>
      <c r="BF88" t="str">
        <f>HYPERLINK("http://dx.doi.org/10.1016/j.ecolind.2022.109833","http://dx.doi.org/10.1016/j.ecolind.2022.109833")</f>
        <v>http://dx.doi.org/10.1016/j.ecolind.2022.109833</v>
      </c>
      <c r="BG88" t="s">
        <v>74</v>
      </c>
      <c r="BH88" t="s">
        <v>762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 t="s">
        <v>74</v>
      </c>
      <c r="BR88" t="s">
        <v>74</v>
      </c>
      <c r="BS88" t="s">
        <v>798</v>
      </c>
      <c r="BT88" t="str">
        <f>HYPERLINK("https%3A%2F%2Fwww.webofscience.com%2Fwos%2Fwoscc%2Ffull-record%2FWOS:000964776100001","View Full Record in Web of Science")</f>
        <v>View Full Record in Web of Science</v>
      </c>
    </row>
    <row r="89" spans="1:72" x14ac:dyDescent="0.2">
      <c r="A89" t="s">
        <v>72</v>
      </c>
      <c r="B89" t="s">
        <v>799</v>
      </c>
      <c r="C89" t="s">
        <v>74</v>
      </c>
      <c r="D89" t="s">
        <v>74</v>
      </c>
      <c r="E89" t="s">
        <v>74</v>
      </c>
      <c r="F89" t="s">
        <v>800</v>
      </c>
      <c r="G89" t="s">
        <v>74</v>
      </c>
      <c r="H89" t="s">
        <v>74</v>
      </c>
      <c r="I89" t="s">
        <v>801</v>
      </c>
      <c r="J89" t="s">
        <v>802</v>
      </c>
      <c r="K89" t="s">
        <v>74</v>
      </c>
      <c r="L89" t="s">
        <v>74</v>
      </c>
      <c r="M89" t="s">
        <v>74</v>
      </c>
      <c r="N89" t="s">
        <v>74</v>
      </c>
      <c r="O89" t="s">
        <v>74</v>
      </c>
      <c r="P89" t="s">
        <v>74</v>
      </c>
      <c r="Q89" t="s">
        <v>74</v>
      </c>
      <c r="R89" t="s">
        <v>74</v>
      </c>
      <c r="S89" t="s">
        <v>74</v>
      </c>
      <c r="T89" t="s">
        <v>74</v>
      </c>
      <c r="U89" t="s">
        <v>74</v>
      </c>
      <c r="V89" t="s">
        <v>74</v>
      </c>
      <c r="W89" t="s">
        <v>74</v>
      </c>
      <c r="X89" t="s">
        <v>74</v>
      </c>
      <c r="Y89" t="s">
        <v>74</v>
      </c>
      <c r="Z89" t="s">
        <v>74</v>
      </c>
      <c r="AA89" t="s">
        <v>74</v>
      </c>
      <c r="AB89" t="s">
        <v>74</v>
      </c>
      <c r="AC89" t="s">
        <v>74</v>
      </c>
      <c r="AD89" t="s">
        <v>74</v>
      </c>
      <c r="AE89" t="s">
        <v>74</v>
      </c>
      <c r="AF89" t="s">
        <v>74</v>
      </c>
      <c r="AG89" t="s">
        <v>74</v>
      </c>
      <c r="AH89" t="s">
        <v>74</v>
      </c>
      <c r="AI89" t="s">
        <v>74</v>
      </c>
      <c r="AJ89" t="s">
        <v>74</v>
      </c>
      <c r="AK89" t="s">
        <v>74</v>
      </c>
      <c r="AL89" t="s">
        <v>74</v>
      </c>
      <c r="AM89" t="s">
        <v>74</v>
      </c>
      <c r="AN89" t="s">
        <v>74</v>
      </c>
      <c r="AO89" t="s">
        <v>803</v>
      </c>
      <c r="AP89" t="s">
        <v>804</v>
      </c>
      <c r="AQ89" t="s">
        <v>74</v>
      </c>
      <c r="AR89" t="s">
        <v>74</v>
      </c>
      <c r="AS89" t="s">
        <v>74</v>
      </c>
      <c r="AT89" t="s">
        <v>74</v>
      </c>
      <c r="AU89">
        <v>2023</v>
      </c>
      <c r="AV89">
        <v>48</v>
      </c>
      <c r="AW89" t="s">
        <v>74</v>
      </c>
      <c r="AX89" t="s">
        <v>74</v>
      </c>
      <c r="AY89" t="s">
        <v>74</v>
      </c>
      <c r="AZ89" t="s">
        <v>74</v>
      </c>
      <c r="BA89" t="s">
        <v>74</v>
      </c>
      <c r="BB89">
        <v>123</v>
      </c>
      <c r="BC89">
        <v>147</v>
      </c>
      <c r="BD89" t="s">
        <v>74</v>
      </c>
      <c r="BE89" t="s">
        <v>805</v>
      </c>
      <c r="BF89" t="str">
        <f>HYPERLINK("http://dx.doi.org/10.1146/annurev-environ-112320-081653","http://dx.doi.org/10.1146/annurev-environ-112320-081653")</f>
        <v>http://dx.doi.org/10.1146/annurev-environ-112320-081653</v>
      </c>
      <c r="BG89" t="s">
        <v>74</v>
      </c>
      <c r="BH89" t="s">
        <v>74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 t="s">
        <v>74</v>
      </c>
      <c r="BR89" t="s">
        <v>74</v>
      </c>
      <c r="BS89" t="s">
        <v>806</v>
      </c>
      <c r="BT89" t="str">
        <f>HYPERLINK("https%3A%2F%2Fwww.webofscience.com%2Fwos%2Fwoscc%2Ffull-record%2FWOS:001101629000005","View Full Record in Web of Science")</f>
        <v>View Full Record in Web of Science</v>
      </c>
    </row>
    <row r="90" spans="1:72" x14ac:dyDescent="0.2">
      <c r="A90" t="s">
        <v>72</v>
      </c>
      <c r="B90" t="s">
        <v>807</v>
      </c>
      <c r="C90" t="s">
        <v>74</v>
      </c>
      <c r="D90" t="s">
        <v>74</v>
      </c>
      <c r="E90" t="s">
        <v>74</v>
      </c>
      <c r="F90" t="s">
        <v>808</v>
      </c>
      <c r="G90" t="s">
        <v>74</v>
      </c>
      <c r="H90" t="s">
        <v>74</v>
      </c>
      <c r="I90" t="s">
        <v>809</v>
      </c>
      <c r="J90" t="s">
        <v>810</v>
      </c>
      <c r="K90" t="s">
        <v>74</v>
      </c>
      <c r="L90" t="s">
        <v>74</v>
      </c>
      <c r="M90" t="s">
        <v>74</v>
      </c>
      <c r="N90" t="s">
        <v>74</v>
      </c>
      <c r="O90" t="s">
        <v>74</v>
      </c>
      <c r="P90" t="s">
        <v>74</v>
      </c>
      <c r="Q90" t="s">
        <v>74</v>
      </c>
      <c r="R90" t="s">
        <v>74</v>
      </c>
      <c r="S90" t="s">
        <v>74</v>
      </c>
      <c r="T90" t="s">
        <v>74</v>
      </c>
      <c r="U90" t="s">
        <v>74</v>
      </c>
      <c r="V90" t="s">
        <v>74</v>
      </c>
      <c r="W90" t="s">
        <v>74</v>
      </c>
      <c r="X90" t="s">
        <v>74</v>
      </c>
      <c r="Y90" t="s">
        <v>74</v>
      </c>
      <c r="Z90" t="s">
        <v>74</v>
      </c>
      <c r="AA90" t="s">
        <v>74</v>
      </c>
      <c r="AB90" t="s">
        <v>74</v>
      </c>
      <c r="AC90" t="s">
        <v>74</v>
      </c>
      <c r="AD90" t="s">
        <v>74</v>
      </c>
      <c r="AE90" t="s">
        <v>74</v>
      </c>
      <c r="AF90" t="s">
        <v>74</v>
      </c>
      <c r="AG90" t="s">
        <v>74</v>
      </c>
      <c r="AH90" t="s">
        <v>74</v>
      </c>
      <c r="AI90" t="s">
        <v>74</v>
      </c>
      <c r="AJ90" t="s">
        <v>74</v>
      </c>
      <c r="AK90" t="s">
        <v>74</v>
      </c>
      <c r="AL90" t="s">
        <v>74</v>
      </c>
      <c r="AM90" t="s">
        <v>74</v>
      </c>
      <c r="AN90" t="s">
        <v>74</v>
      </c>
      <c r="AO90" t="s">
        <v>811</v>
      </c>
      <c r="AP90" t="s">
        <v>74</v>
      </c>
      <c r="AQ90" t="s">
        <v>74</v>
      </c>
      <c r="AR90" t="s">
        <v>74</v>
      </c>
      <c r="AS90" t="s">
        <v>74</v>
      </c>
      <c r="AT90" t="s">
        <v>812</v>
      </c>
      <c r="AU90">
        <v>2023</v>
      </c>
      <c r="AV90">
        <v>11</v>
      </c>
      <c r="AW90">
        <v>1</v>
      </c>
      <c r="AX90" t="s">
        <v>74</v>
      </c>
      <c r="AY90" t="s">
        <v>74</v>
      </c>
      <c r="AZ90" t="s">
        <v>74</v>
      </c>
      <c r="BA90" t="s">
        <v>74</v>
      </c>
      <c r="BB90" t="s">
        <v>74</v>
      </c>
      <c r="BC90" t="s">
        <v>74</v>
      </c>
      <c r="BD90" t="s">
        <v>813</v>
      </c>
      <c r="BE90" t="s">
        <v>814</v>
      </c>
      <c r="BF90" t="str">
        <f>HYPERLINK("http://dx.doi.org/10.1093/conphys/coad021","http://dx.doi.org/10.1093/conphys/coad021")</f>
        <v>http://dx.doi.org/10.1093/conphys/coad021</v>
      </c>
      <c r="BG90" t="s">
        <v>74</v>
      </c>
      <c r="BH90" t="s">
        <v>74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>
        <v>37152447</v>
      </c>
      <c r="BO90" t="s">
        <v>74</v>
      </c>
      <c r="BP90" t="s">
        <v>74</v>
      </c>
      <c r="BQ90" t="s">
        <v>74</v>
      </c>
      <c r="BR90" t="s">
        <v>74</v>
      </c>
      <c r="BS90" t="s">
        <v>815</v>
      </c>
      <c r="BT90" t="str">
        <f>HYPERLINK("https%3A%2F%2Fwww.webofscience.com%2Fwos%2Fwoscc%2Ffull-record%2FWOS:000981155500001","View Full Record in Web of Science")</f>
        <v>View Full Record in Web of Science</v>
      </c>
    </row>
    <row r="91" spans="1:72" x14ac:dyDescent="0.2">
      <c r="A91" t="s">
        <v>72</v>
      </c>
      <c r="B91" t="s">
        <v>816</v>
      </c>
      <c r="C91" t="s">
        <v>74</v>
      </c>
      <c r="D91" t="s">
        <v>74</v>
      </c>
      <c r="E91" t="s">
        <v>74</v>
      </c>
      <c r="F91" t="s">
        <v>817</v>
      </c>
      <c r="G91" t="s">
        <v>74</v>
      </c>
      <c r="H91" t="s">
        <v>74</v>
      </c>
      <c r="I91" t="s">
        <v>818</v>
      </c>
      <c r="J91" t="s">
        <v>322</v>
      </c>
      <c r="K91" t="s">
        <v>74</v>
      </c>
      <c r="L91" t="s">
        <v>74</v>
      </c>
      <c r="M91" t="s">
        <v>74</v>
      </c>
      <c r="N91" t="s">
        <v>74</v>
      </c>
      <c r="O91" t="s">
        <v>74</v>
      </c>
      <c r="P91" t="s">
        <v>74</v>
      </c>
      <c r="Q91" t="s">
        <v>74</v>
      </c>
      <c r="R91" t="s">
        <v>74</v>
      </c>
      <c r="S91" t="s">
        <v>74</v>
      </c>
      <c r="T91" t="s">
        <v>74</v>
      </c>
      <c r="U91" t="s">
        <v>74</v>
      </c>
      <c r="V91" t="s">
        <v>74</v>
      </c>
      <c r="W91" t="s">
        <v>74</v>
      </c>
      <c r="X91" t="s">
        <v>74</v>
      </c>
      <c r="Y91" t="s">
        <v>74</v>
      </c>
      <c r="Z91" t="s">
        <v>74</v>
      </c>
      <c r="AA91" t="s">
        <v>819</v>
      </c>
      <c r="AB91" t="s">
        <v>820</v>
      </c>
      <c r="AC91" t="s">
        <v>74</v>
      </c>
      <c r="AD91" t="s">
        <v>74</v>
      </c>
      <c r="AE91" t="s">
        <v>74</v>
      </c>
      <c r="AF91" t="s">
        <v>74</v>
      </c>
      <c r="AG91" t="s">
        <v>74</v>
      </c>
      <c r="AH91" t="s">
        <v>74</v>
      </c>
      <c r="AI91" t="s">
        <v>74</v>
      </c>
      <c r="AJ91" t="s">
        <v>74</v>
      </c>
      <c r="AK91" t="s">
        <v>74</v>
      </c>
      <c r="AL91" t="s">
        <v>74</v>
      </c>
      <c r="AM91" t="s">
        <v>74</v>
      </c>
      <c r="AN91" t="s">
        <v>74</v>
      </c>
      <c r="AO91" t="s">
        <v>324</v>
      </c>
      <c r="AP91" t="s">
        <v>325</v>
      </c>
      <c r="AQ91" t="s">
        <v>74</v>
      </c>
      <c r="AR91" t="s">
        <v>74</v>
      </c>
      <c r="AS91" t="s">
        <v>74</v>
      </c>
      <c r="AT91" t="s">
        <v>157</v>
      </c>
      <c r="AU91">
        <v>2023</v>
      </c>
      <c r="AV91">
        <v>25</v>
      </c>
      <c r="AW91">
        <v>3</v>
      </c>
      <c r="AX91" t="s">
        <v>74</v>
      </c>
      <c r="AY91" t="s">
        <v>74</v>
      </c>
      <c r="AZ91" t="s">
        <v>74</v>
      </c>
      <c r="BA91" t="s">
        <v>74</v>
      </c>
      <c r="BB91">
        <v>606</v>
      </c>
      <c r="BC91">
        <v>641</v>
      </c>
      <c r="BD91" t="s">
        <v>74</v>
      </c>
      <c r="BE91" t="s">
        <v>821</v>
      </c>
      <c r="BF91" t="str">
        <f>HYPERLINK("http://dx.doi.org/10.1111/1462-2920.16313","http://dx.doi.org/10.1111/1462-2920.16313")</f>
        <v>http://dx.doi.org/10.1111/1462-2920.16313</v>
      </c>
      <c r="BG91" t="s">
        <v>74</v>
      </c>
      <c r="BH91" t="s">
        <v>822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>
        <v>36513610</v>
      </c>
      <c r="BO91" t="s">
        <v>74</v>
      </c>
      <c r="BP91" t="s">
        <v>74</v>
      </c>
      <c r="BQ91" t="s">
        <v>74</v>
      </c>
      <c r="BR91" t="s">
        <v>74</v>
      </c>
      <c r="BS91" t="s">
        <v>823</v>
      </c>
      <c r="BT91" t="str">
        <f>HYPERLINK("https%3A%2F%2Fwww.webofscience.com%2Fwos%2Fwoscc%2Ffull-record%2FWOS:000905443900001","View Full Record in Web of Science")</f>
        <v>View Full Record in Web of Science</v>
      </c>
    </row>
    <row r="92" spans="1:72" x14ac:dyDescent="0.2">
      <c r="A92" t="s">
        <v>72</v>
      </c>
      <c r="B92" t="s">
        <v>824</v>
      </c>
      <c r="C92" t="s">
        <v>74</v>
      </c>
      <c r="D92" t="s">
        <v>74</v>
      </c>
      <c r="E92" t="s">
        <v>74</v>
      </c>
      <c r="F92" t="s">
        <v>825</v>
      </c>
      <c r="G92" t="s">
        <v>74</v>
      </c>
      <c r="H92" t="s">
        <v>74</v>
      </c>
      <c r="I92" t="s">
        <v>826</v>
      </c>
      <c r="J92" t="s">
        <v>827</v>
      </c>
      <c r="K92" t="s">
        <v>74</v>
      </c>
      <c r="L92" t="s">
        <v>74</v>
      </c>
      <c r="M92" t="s">
        <v>74</v>
      </c>
      <c r="N92" t="s">
        <v>74</v>
      </c>
      <c r="O92" t="s">
        <v>74</v>
      </c>
      <c r="P92" t="s">
        <v>74</v>
      </c>
      <c r="Q92" t="s">
        <v>74</v>
      </c>
      <c r="R92" t="s">
        <v>74</v>
      </c>
      <c r="S92" t="s">
        <v>74</v>
      </c>
      <c r="T92" t="s">
        <v>74</v>
      </c>
      <c r="U92" t="s">
        <v>74</v>
      </c>
      <c r="V92" t="s">
        <v>74</v>
      </c>
      <c r="W92" t="s">
        <v>74</v>
      </c>
      <c r="X92" t="s">
        <v>74</v>
      </c>
      <c r="Y92" t="s">
        <v>74</v>
      </c>
      <c r="Z92" t="s">
        <v>74</v>
      </c>
      <c r="AA92" t="s">
        <v>6812</v>
      </c>
      <c r="AB92" t="s">
        <v>828</v>
      </c>
      <c r="AC92" t="s">
        <v>74</v>
      </c>
      <c r="AD92" t="s">
        <v>74</v>
      </c>
      <c r="AE92" t="s">
        <v>74</v>
      </c>
      <c r="AF92" t="s">
        <v>74</v>
      </c>
      <c r="AG92" t="s">
        <v>74</v>
      </c>
      <c r="AH92" t="s">
        <v>74</v>
      </c>
      <c r="AI92" t="s">
        <v>74</v>
      </c>
      <c r="AJ92" t="s">
        <v>74</v>
      </c>
      <c r="AK92" t="s">
        <v>74</v>
      </c>
      <c r="AL92" t="s">
        <v>74</v>
      </c>
      <c r="AM92" t="s">
        <v>74</v>
      </c>
      <c r="AN92" t="s">
        <v>74</v>
      </c>
      <c r="AO92" t="s">
        <v>829</v>
      </c>
      <c r="AP92" t="s">
        <v>830</v>
      </c>
      <c r="AQ92" t="s">
        <v>74</v>
      </c>
      <c r="AR92" t="s">
        <v>74</v>
      </c>
      <c r="AS92" t="s">
        <v>74</v>
      </c>
      <c r="AT92" t="s">
        <v>416</v>
      </c>
      <c r="AU92">
        <v>2023</v>
      </c>
      <c r="AV92">
        <v>32</v>
      </c>
      <c r="AW92">
        <v>2</v>
      </c>
      <c r="AX92" t="s">
        <v>74</v>
      </c>
      <c r="AY92" t="s">
        <v>74</v>
      </c>
      <c r="AZ92" t="s">
        <v>74</v>
      </c>
      <c r="BA92" t="s">
        <v>74</v>
      </c>
      <c r="BB92">
        <v>295</v>
      </c>
      <c r="BC92">
        <v>309</v>
      </c>
      <c r="BD92" t="s">
        <v>74</v>
      </c>
      <c r="BE92" t="s">
        <v>831</v>
      </c>
      <c r="BF92" t="str">
        <f>HYPERLINK("http://dx.doi.org/10.1111/geb.13626","http://dx.doi.org/10.1111/geb.13626")</f>
        <v>http://dx.doi.org/10.1111/geb.13626</v>
      </c>
      <c r="BG92" t="s">
        <v>74</v>
      </c>
      <c r="BH92" t="s">
        <v>822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>
        <v>37081858</v>
      </c>
      <c r="BO92" t="s">
        <v>74</v>
      </c>
      <c r="BP92" t="s">
        <v>74</v>
      </c>
      <c r="BQ92" t="s">
        <v>74</v>
      </c>
      <c r="BR92" t="s">
        <v>74</v>
      </c>
      <c r="BS92" t="s">
        <v>832</v>
      </c>
      <c r="BT92" t="str">
        <f>HYPERLINK("https%3A%2F%2Fwww.webofscience.com%2Fwos%2Fwoscc%2Ffull-record%2FWOS:000901793600001","View Full Record in Web of Science")</f>
        <v>View Full Record in Web of Science</v>
      </c>
    </row>
    <row r="93" spans="1:72" x14ac:dyDescent="0.2">
      <c r="A93" t="s">
        <v>72</v>
      </c>
      <c r="B93" t="s">
        <v>833</v>
      </c>
      <c r="C93" t="s">
        <v>74</v>
      </c>
      <c r="D93" t="s">
        <v>74</v>
      </c>
      <c r="E93" t="s">
        <v>74</v>
      </c>
      <c r="F93" t="s">
        <v>834</v>
      </c>
      <c r="G93" t="s">
        <v>74</v>
      </c>
      <c r="H93" t="s">
        <v>74</v>
      </c>
      <c r="I93" t="s">
        <v>835</v>
      </c>
      <c r="J93" t="s">
        <v>836</v>
      </c>
      <c r="K93" t="s">
        <v>74</v>
      </c>
      <c r="L93" t="s">
        <v>74</v>
      </c>
      <c r="M93" t="s">
        <v>74</v>
      </c>
      <c r="N93" t="s">
        <v>74</v>
      </c>
      <c r="O93" t="s">
        <v>74</v>
      </c>
      <c r="P93" t="s">
        <v>74</v>
      </c>
      <c r="Q93" t="s">
        <v>74</v>
      </c>
      <c r="R93" t="s">
        <v>74</v>
      </c>
      <c r="S93" t="s">
        <v>74</v>
      </c>
      <c r="T93" t="s">
        <v>74</v>
      </c>
      <c r="U93" t="s">
        <v>74</v>
      </c>
      <c r="V93" t="s">
        <v>74</v>
      </c>
      <c r="W93" t="s">
        <v>74</v>
      </c>
      <c r="X93" t="s">
        <v>74</v>
      </c>
      <c r="Y93" t="s">
        <v>74</v>
      </c>
      <c r="Z93" t="s">
        <v>74</v>
      </c>
      <c r="AA93" t="s">
        <v>6813</v>
      </c>
      <c r="AB93" t="s">
        <v>6814</v>
      </c>
      <c r="AC93" t="s">
        <v>74</v>
      </c>
      <c r="AD93" t="s">
        <v>74</v>
      </c>
      <c r="AE93" t="s">
        <v>74</v>
      </c>
      <c r="AF93" t="s">
        <v>74</v>
      </c>
      <c r="AG93" t="s">
        <v>74</v>
      </c>
      <c r="AH93" t="s">
        <v>74</v>
      </c>
      <c r="AI93" t="s">
        <v>74</v>
      </c>
      <c r="AJ93" t="s">
        <v>74</v>
      </c>
      <c r="AK93" t="s">
        <v>74</v>
      </c>
      <c r="AL93" t="s">
        <v>74</v>
      </c>
      <c r="AM93" t="s">
        <v>74</v>
      </c>
      <c r="AN93" t="s">
        <v>74</v>
      </c>
      <c r="AO93" t="s">
        <v>837</v>
      </c>
      <c r="AP93" t="s">
        <v>838</v>
      </c>
      <c r="AQ93" t="s">
        <v>74</v>
      </c>
      <c r="AR93" t="s">
        <v>74</v>
      </c>
      <c r="AS93" t="s">
        <v>74</v>
      </c>
      <c r="AT93" t="s">
        <v>315</v>
      </c>
      <c r="AU93">
        <v>2023</v>
      </c>
      <c r="AV93">
        <v>121</v>
      </c>
      <c r="AW93" t="s">
        <v>74</v>
      </c>
      <c r="AX93" t="s">
        <v>74</v>
      </c>
      <c r="AY93" t="s">
        <v>74</v>
      </c>
      <c r="AZ93" t="s">
        <v>74</v>
      </c>
      <c r="BA93" t="s">
        <v>74</v>
      </c>
      <c r="BB93" t="s">
        <v>74</v>
      </c>
      <c r="BC93" t="s">
        <v>74</v>
      </c>
      <c r="BD93">
        <v>102367</v>
      </c>
      <c r="BE93" t="s">
        <v>839</v>
      </c>
      <c r="BF93" t="str">
        <f>HYPERLINK("http://dx.doi.org/10.1016/j.hal.2022.102367","http://dx.doi.org/10.1016/j.hal.2022.102367")</f>
        <v>http://dx.doi.org/10.1016/j.hal.2022.102367</v>
      </c>
      <c r="BG93" t="s">
        <v>74</v>
      </c>
      <c r="BH93" t="s">
        <v>822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>
        <v>36639186</v>
      </c>
      <c r="BO93" t="s">
        <v>74</v>
      </c>
      <c r="BP93" t="s">
        <v>74</v>
      </c>
      <c r="BQ93" t="s">
        <v>74</v>
      </c>
      <c r="BR93" t="s">
        <v>74</v>
      </c>
      <c r="BS93" t="s">
        <v>840</v>
      </c>
      <c r="BT93" t="str">
        <f>HYPERLINK("https%3A%2F%2Fwww.webofscience.com%2Fwos%2Fwoscc%2Ffull-record%2FWOS:000903524800003","View Full Record in Web of Science")</f>
        <v>View Full Record in Web of Science</v>
      </c>
    </row>
    <row r="94" spans="1:72" x14ac:dyDescent="0.2">
      <c r="A94" t="s">
        <v>72</v>
      </c>
      <c r="B94" t="s">
        <v>841</v>
      </c>
      <c r="C94" t="s">
        <v>74</v>
      </c>
      <c r="D94" t="s">
        <v>74</v>
      </c>
      <c r="E94" t="s">
        <v>74</v>
      </c>
      <c r="F94" t="s">
        <v>842</v>
      </c>
      <c r="G94" t="s">
        <v>74</v>
      </c>
      <c r="H94" t="s">
        <v>74</v>
      </c>
      <c r="I94" t="s">
        <v>843</v>
      </c>
      <c r="J94" t="s">
        <v>844</v>
      </c>
      <c r="K94" t="s">
        <v>74</v>
      </c>
      <c r="L94" t="s">
        <v>74</v>
      </c>
      <c r="M94" t="s">
        <v>74</v>
      </c>
      <c r="N94" t="s">
        <v>74</v>
      </c>
      <c r="O94" t="s">
        <v>74</v>
      </c>
      <c r="P94" t="s">
        <v>74</v>
      </c>
      <c r="Q94" t="s">
        <v>74</v>
      </c>
      <c r="R94" t="s">
        <v>74</v>
      </c>
      <c r="S94" t="s">
        <v>74</v>
      </c>
      <c r="T94" t="s">
        <v>74</v>
      </c>
      <c r="U94" t="s">
        <v>74</v>
      </c>
      <c r="V94" t="s">
        <v>74</v>
      </c>
      <c r="W94" t="s">
        <v>74</v>
      </c>
      <c r="X94" t="s">
        <v>74</v>
      </c>
      <c r="Y94" t="s">
        <v>74</v>
      </c>
      <c r="Z94" t="s">
        <v>74</v>
      </c>
      <c r="AA94" t="s">
        <v>845</v>
      </c>
      <c r="AB94" t="s">
        <v>846</v>
      </c>
      <c r="AC94" t="s">
        <v>74</v>
      </c>
      <c r="AD94" t="s">
        <v>74</v>
      </c>
      <c r="AE94" t="s">
        <v>74</v>
      </c>
      <c r="AF94" t="s">
        <v>74</v>
      </c>
      <c r="AG94" t="s">
        <v>74</v>
      </c>
      <c r="AH94" t="s">
        <v>74</v>
      </c>
      <c r="AI94" t="s">
        <v>74</v>
      </c>
      <c r="AJ94" t="s">
        <v>74</v>
      </c>
      <c r="AK94" t="s">
        <v>74</v>
      </c>
      <c r="AL94" t="s">
        <v>74</v>
      </c>
      <c r="AM94" t="s">
        <v>74</v>
      </c>
      <c r="AN94" t="s">
        <v>74</v>
      </c>
      <c r="AO94" t="s">
        <v>847</v>
      </c>
      <c r="AP94" t="s">
        <v>848</v>
      </c>
      <c r="AQ94" t="s">
        <v>74</v>
      </c>
      <c r="AR94" t="s">
        <v>74</v>
      </c>
      <c r="AS94" t="s">
        <v>74</v>
      </c>
      <c r="AT94" t="s">
        <v>416</v>
      </c>
      <c r="AU94">
        <v>2023</v>
      </c>
      <c r="AV94">
        <v>42</v>
      </c>
      <c r="AW94">
        <v>2</v>
      </c>
      <c r="AX94" t="s">
        <v>74</v>
      </c>
      <c r="AY94" t="s">
        <v>74</v>
      </c>
      <c r="AZ94" t="s">
        <v>74</v>
      </c>
      <c r="BA94" t="s">
        <v>74</v>
      </c>
      <c r="BB94">
        <v>385</v>
      </c>
      <c r="BC94">
        <v>392</v>
      </c>
      <c r="BD94" t="s">
        <v>74</v>
      </c>
      <c r="BE94" t="s">
        <v>849</v>
      </c>
      <c r="BF94" t="str">
        <f>HYPERLINK("http://dx.doi.org/10.1002/etc.5525","http://dx.doi.org/10.1002/etc.5525")</f>
        <v>http://dx.doi.org/10.1002/etc.5525</v>
      </c>
      <c r="BG94" t="s">
        <v>74</v>
      </c>
      <c r="BH94" t="s">
        <v>822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>
        <v>36377689</v>
      </c>
      <c r="BO94" t="s">
        <v>74</v>
      </c>
      <c r="BP94" t="s">
        <v>74</v>
      </c>
      <c r="BQ94" t="s">
        <v>74</v>
      </c>
      <c r="BR94" t="s">
        <v>74</v>
      </c>
      <c r="BS94" t="s">
        <v>850</v>
      </c>
      <c r="BT94" t="str">
        <f>HYPERLINK("https%3A%2F%2Fwww.webofscience.com%2Fwos%2Fwoscc%2Ffull-record%2FWOS:000898038100001","View Full Record in Web of Science")</f>
        <v>View Full Record in Web of Science</v>
      </c>
    </row>
    <row r="95" spans="1:72" x14ac:dyDescent="0.2">
      <c r="A95" t="s">
        <v>72</v>
      </c>
      <c r="B95" t="s">
        <v>851</v>
      </c>
      <c r="C95" t="s">
        <v>74</v>
      </c>
      <c r="D95" t="s">
        <v>74</v>
      </c>
      <c r="E95" t="s">
        <v>74</v>
      </c>
      <c r="F95" t="s">
        <v>852</v>
      </c>
      <c r="G95" t="s">
        <v>74</v>
      </c>
      <c r="H95" t="s">
        <v>74</v>
      </c>
      <c r="I95" t="s">
        <v>853</v>
      </c>
      <c r="J95" t="s">
        <v>854</v>
      </c>
      <c r="K95" t="s">
        <v>74</v>
      </c>
      <c r="L95" t="s">
        <v>74</v>
      </c>
      <c r="M95" t="s">
        <v>74</v>
      </c>
      <c r="N95" t="s">
        <v>74</v>
      </c>
      <c r="O95" t="s">
        <v>74</v>
      </c>
      <c r="P95" t="s">
        <v>74</v>
      </c>
      <c r="Q95" t="s">
        <v>74</v>
      </c>
      <c r="R95" t="s">
        <v>74</v>
      </c>
      <c r="S95" t="s">
        <v>74</v>
      </c>
      <c r="T95" t="s">
        <v>74</v>
      </c>
      <c r="U95" t="s">
        <v>74</v>
      </c>
      <c r="V95" t="s">
        <v>74</v>
      </c>
      <c r="W95" t="s">
        <v>74</v>
      </c>
      <c r="X95" t="s">
        <v>74</v>
      </c>
      <c r="Y95" t="s">
        <v>74</v>
      </c>
      <c r="Z95" t="s">
        <v>74</v>
      </c>
      <c r="AA95" t="s">
        <v>74</v>
      </c>
      <c r="AB95" t="s">
        <v>6815</v>
      </c>
      <c r="AC95" t="s">
        <v>74</v>
      </c>
      <c r="AD95" t="s">
        <v>74</v>
      </c>
      <c r="AE95" t="s">
        <v>74</v>
      </c>
      <c r="AF95" t="s">
        <v>74</v>
      </c>
      <c r="AG95" t="s">
        <v>74</v>
      </c>
      <c r="AH95" t="s">
        <v>74</v>
      </c>
      <c r="AI95" t="s">
        <v>74</v>
      </c>
      <c r="AJ95" t="s">
        <v>74</v>
      </c>
      <c r="AK95" t="s">
        <v>74</v>
      </c>
      <c r="AL95" t="s">
        <v>74</v>
      </c>
      <c r="AM95" t="s">
        <v>74</v>
      </c>
      <c r="AN95" t="s">
        <v>74</v>
      </c>
      <c r="AO95" t="s">
        <v>855</v>
      </c>
      <c r="AP95" t="s">
        <v>856</v>
      </c>
      <c r="AQ95" t="s">
        <v>74</v>
      </c>
      <c r="AR95" t="s">
        <v>74</v>
      </c>
      <c r="AS95" t="s">
        <v>74</v>
      </c>
      <c r="AT95" t="s">
        <v>857</v>
      </c>
      <c r="AU95">
        <v>2022</v>
      </c>
      <c r="AV95">
        <v>99</v>
      </c>
      <c r="AW95">
        <v>1</v>
      </c>
      <c r="AX95" t="s">
        <v>74</v>
      </c>
      <c r="AY95" t="s">
        <v>74</v>
      </c>
      <c r="AZ95" t="s">
        <v>74</v>
      </c>
      <c r="BA95" t="s">
        <v>74</v>
      </c>
      <c r="BB95" t="s">
        <v>74</v>
      </c>
      <c r="BC95" t="s">
        <v>74</v>
      </c>
      <c r="BD95" t="s">
        <v>858</v>
      </c>
      <c r="BE95" t="s">
        <v>859</v>
      </c>
      <c r="BF95" t="str">
        <f>HYPERLINK("http://dx.doi.org/10.1093/femsec/fiac149","http://dx.doi.org/10.1093/femsec/fiac149")</f>
        <v>http://dx.doi.org/10.1093/femsec/fiac149</v>
      </c>
      <c r="BG95" t="s">
        <v>74</v>
      </c>
      <c r="BH95" t="s">
        <v>74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>
        <v>36482091</v>
      </c>
      <c r="BO95" t="s">
        <v>74</v>
      </c>
      <c r="BP95" t="s">
        <v>74</v>
      </c>
      <c r="BQ95" t="s">
        <v>74</v>
      </c>
      <c r="BR95" t="s">
        <v>74</v>
      </c>
      <c r="BS95" t="s">
        <v>860</v>
      </c>
      <c r="BT95" t="str">
        <f>HYPERLINK("https%3A%2F%2Fwww.webofscience.com%2Fwos%2Fwoscc%2Ffull-record%2FWOS:000904592300001","View Full Record in Web of Science")</f>
        <v>View Full Record in Web of Science</v>
      </c>
    </row>
    <row r="96" spans="1:72" x14ac:dyDescent="0.2">
      <c r="A96" t="s">
        <v>72</v>
      </c>
      <c r="B96" t="s">
        <v>861</v>
      </c>
      <c r="C96" t="s">
        <v>74</v>
      </c>
      <c r="D96" t="s">
        <v>74</v>
      </c>
      <c r="E96" t="s">
        <v>74</v>
      </c>
      <c r="F96" t="s">
        <v>862</v>
      </c>
      <c r="G96" t="s">
        <v>74</v>
      </c>
      <c r="H96" t="s">
        <v>74</v>
      </c>
      <c r="I96" t="s">
        <v>863</v>
      </c>
      <c r="J96" t="s">
        <v>864</v>
      </c>
      <c r="K96" t="s">
        <v>74</v>
      </c>
      <c r="L96" t="s">
        <v>74</v>
      </c>
      <c r="M96" t="s">
        <v>74</v>
      </c>
      <c r="N96" t="s">
        <v>74</v>
      </c>
      <c r="O96" t="s">
        <v>74</v>
      </c>
      <c r="P96" t="s">
        <v>74</v>
      </c>
      <c r="Q96" t="s">
        <v>74</v>
      </c>
      <c r="R96" t="s">
        <v>74</v>
      </c>
      <c r="S96" t="s">
        <v>74</v>
      </c>
      <c r="T96" t="s">
        <v>74</v>
      </c>
      <c r="U96" t="s">
        <v>74</v>
      </c>
      <c r="V96" t="s">
        <v>74</v>
      </c>
      <c r="W96" t="s">
        <v>74</v>
      </c>
      <c r="X96" t="s">
        <v>74</v>
      </c>
      <c r="Y96" t="s">
        <v>74</v>
      </c>
      <c r="Z96" t="s">
        <v>74</v>
      </c>
      <c r="AA96" t="s">
        <v>74</v>
      </c>
      <c r="AB96" t="s">
        <v>865</v>
      </c>
      <c r="AC96" t="s">
        <v>74</v>
      </c>
      <c r="AD96" t="s">
        <v>74</v>
      </c>
      <c r="AE96" t="s">
        <v>74</v>
      </c>
      <c r="AF96" t="s">
        <v>74</v>
      </c>
      <c r="AG96" t="s">
        <v>74</v>
      </c>
      <c r="AH96" t="s">
        <v>74</v>
      </c>
      <c r="AI96" t="s">
        <v>74</v>
      </c>
      <c r="AJ96" t="s">
        <v>74</v>
      </c>
      <c r="AK96" t="s">
        <v>74</v>
      </c>
      <c r="AL96" t="s">
        <v>74</v>
      </c>
      <c r="AM96" t="s">
        <v>74</v>
      </c>
      <c r="AN96" t="s">
        <v>74</v>
      </c>
      <c r="AO96" t="s">
        <v>74</v>
      </c>
      <c r="AP96" t="s">
        <v>866</v>
      </c>
      <c r="AQ96" t="s">
        <v>74</v>
      </c>
      <c r="AR96" t="s">
        <v>74</v>
      </c>
      <c r="AS96" t="s">
        <v>74</v>
      </c>
      <c r="AT96" t="s">
        <v>203</v>
      </c>
      <c r="AU96">
        <v>2023</v>
      </c>
      <c r="AV96">
        <v>8</v>
      </c>
      <c r="AW96">
        <v>2</v>
      </c>
      <c r="AX96" t="s">
        <v>74</v>
      </c>
      <c r="AY96" t="s">
        <v>74</v>
      </c>
      <c r="AZ96" t="s">
        <v>74</v>
      </c>
      <c r="BA96" t="s">
        <v>74</v>
      </c>
      <c r="BB96">
        <v>229</v>
      </c>
      <c r="BC96">
        <v>246</v>
      </c>
      <c r="BD96" t="s">
        <v>74</v>
      </c>
      <c r="BE96" t="s">
        <v>867</v>
      </c>
      <c r="BF96" t="str">
        <f>HYPERLINK("http://dx.doi.org/10.1002/lol2.10294","http://dx.doi.org/10.1002/lol2.10294")</f>
        <v>http://dx.doi.org/10.1002/lol2.10294</v>
      </c>
      <c r="BG96" t="s">
        <v>74</v>
      </c>
      <c r="BH96" t="s">
        <v>822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 t="s">
        <v>74</v>
      </c>
      <c r="BR96" t="s">
        <v>74</v>
      </c>
      <c r="BS96" t="s">
        <v>868</v>
      </c>
      <c r="BT96" t="str">
        <f>HYPERLINK("https%3A%2F%2Fwww.webofscience.com%2Fwos%2Fwoscc%2Ffull-record%2FWOS:000894188500001","View Full Record in Web of Science")</f>
        <v>View Full Record in Web of Science</v>
      </c>
    </row>
    <row r="97" spans="1:72" x14ac:dyDescent="0.2">
      <c r="A97" t="s">
        <v>72</v>
      </c>
      <c r="B97" t="s">
        <v>869</v>
      </c>
      <c r="C97" t="s">
        <v>74</v>
      </c>
      <c r="D97" t="s">
        <v>74</v>
      </c>
      <c r="E97" t="s">
        <v>74</v>
      </c>
      <c r="F97" t="s">
        <v>870</v>
      </c>
      <c r="G97" t="s">
        <v>74</v>
      </c>
      <c r="H97" t="s">
        <v>74</v>
      </c>
      <c r="I97" t="s">
        <v>871</v>
      </c>
      <c r="J97" t="s">
        <v>481</v>
      </c>
      <c r="K97" t="s">
        <v>74</v>
      </c>
      <c r="L97" t="s">
        <v>74</v>
      </c>
      <c r="M97" t="s">
        <v>74</v>
      </c>
      <c r="N97" t="s">
        <v>74</v>
      </c>
      <c r="O97" t="s">
        <v>74</v>
      </c>
      <c r="P97" t="s">
        <v>74</v>
      </c>
      <c r="Q97" t="s">
        <v>74</v>
      </c>
      <c r="R97" t="s">
        <v>74</v>
      </c>
      <c r="S97" t="s">
        <v>74</v>
      </c>
      <c r="T97" t="s">
        <v>74</v>
      </c>
      <c r="U97" t="s">
        <v>74</v>
      </c>
      <c r="V97" t="s">
        <v>74</v>
      </c>
      <c r="W97" t="s">
        <v>74</v>
      </c>
      <c r="X97" t="s">
        <v>74</v>
      </c>
      <c r="Y97" t="s">
        <v>74</v>
      </c>
      <c r="Z97" t="s">
        <v>74</v>
      </c>
      <c r="AA97" t="s">
        <v>872</v>
      </c>
      <c r="AB97" t="s">
        <v>873</v>
      </c>
      <c r="AC97" t="s">
        <v>74</v>
      </c>
      <c r="AD97" t="s">
        <v>74</v>
      </c>
      <c r="AE97" t="s">
        <v>74</v>
      </c>
      <c r="AF97" t="s">
        <v>74</v>
      </c>
      <c r="AG97" t="s">
        <v>74</v>
      </c>
      <c r="AH97" t="s">
        <v>74</v>
      </c>
      <c r="AI97" t="s">
        <v>74</v>
      </c>
      <c r="AJ97" t="s">
        <v>74</v>
      </c>
      <c r="AK97" t="s">
        <v>74</v>
      </c>
      <c r="AL97" t="s">
        <v>74</v>
      </c>
      <c r="AM97" t="s">
        <v>74</v>
      </c>
      <c r="AN97" t="s">
        <v>74</v>
      </c>
      <c r="AO97" t="s">
        <v>482</v>
      </c>
      <c r="AP97" t="s">
        <v>483</v>
      </c>
      <c r="AQ97" t="s">
        <v>74</v>
      </c>
      <c r="AR97" t="s">
        <v>74</v>
      </c>
      <c r="AS97" t="s">
        <v>74</v>
      </c>
      <c r="AT97" t="s">
        <v>82</v>
      </c>
      <c r="AU97">
        <v>2022</v>
      </c>
      <c r="AV97">
        <v>32</v>
      </c>
      <c r="AW97">
        <v>2</v>
      </c>
      <c r="AX97" t="s">
        <v>74</v>
      </c>
      <c r="AY97" t="s">
        <v>74</v>
      </c>
      <c r="AZ97" t="s">
        <v>74</v>
      </c>
      <c r="BA97" t="s">
        <v>74</v>
      </c>
      <c r="BB97">
        <v>217</v>
      </c>
      <c r="BC97">
        <v>223</v>
      </c>
      <c r="BD97" t="s">
        <v>74</v>
      </c>
      <c r="BE97" t="s">
        <v>874</v>
      </c>
      <c r="BF97" t="str">
        <f>HYPERLINK("http://dx.doi.org/10.1002/tqem.21835","http://dx.doi.org/10.1002/tqem.21835")</f>
        <v>http://dx.doi.org/10.1002/tqem.21835</v>
      </c>
      <c r="BG97" t="s">
        <v>74</v>
      </c>
      <c r="BH97" t="s">
        <v>74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 t="s">
        <v>74</v>
      </c>
      <c r="BR97" t="s">
        <v>74</v>
      </c>
      <c r="BS97" t="s">
        <v>875</v>
      </c>
      <c r="BT97" t="str">
        <f>HYPERLINK("https%3A%2F%2Fwww.webofscience.com%2Fwos%2Fwoscc%2Ffull-record%2FWOS:001126342300004","View Full Record in Web of Science")</f>
        <v>View Full Record in Web of Science</v>
      </c>
    </row>
    <row r="98" spans="1:72" x14ac:dyDescent="0.2">
      <c r="A98" t="s">
        <v>72</v>
      </c>
      <c r="B98" t="s">
        <v>876</v>
      </c>
      <c r="C98" t="s">
        <v>74</v>
      </c>
      <c r="D98" t="s">
        <v>74</v>
      </c>
      <c r="E98" t="s">
        <v>74</v>
      </c>
      <c r="F98" t="s">
        <v>877</v>
      </c>
      <c r="G98" t="s">
        <v>74</v>
      </c>
      <c r="H98" t="s">
        <v>74</v>
      </c>
      <c r="I98" t="s">
        <v>878</v>
      </c>
      <c r="J98" t="s">
        <v>879</v>
      </c>
      <c r="K98" t="s">
        <v>74</v>
      </c>
      <c r="L98" t="s">
        <v>74</v>
      </c>
      <c r="M98" t="s">
        <v>74</v>
      </c>
      <c r="N98" t="s">
        <v>74</v>
      </c>
      <c r="O98" t="s">
        <v>74</v>
      </c>
      <c r="P98" t="s">
        <v>74</v>
      </c>
      <c r="Q98" t="s">
        <v>74</v>
      </c>
      <c r="R98" t="s">
        <v>74</v>
      </c>
      <c r="S98" t="s">
        <v>74</v>
      </c>
      <c r="T98" t="s">
        <v>74</v>
      </c>
      <c r="U98" t="s">
        <v>74</v>
      </c>
      <c r="V98" t="s">
        <v>74</v>
      </c>
      <c r="W98" t="s">
        <v>74</v>
      </c>
      <c r="X98" t="s">
        <v>74</v>
      </c>
      <c r="Y98" t="s">
        <v>74</v>
      </c>
      <c r="Z98" t="s">
        <v>74</v>
      </c>
      <c r="AA98" t="s">
        <v>880</v>
      </c>
      <c r="AB98" t="s">
        <v>881</v>
      </c>
      <c r="AC98" t="s">
        <v>74</v>
      </c>
      <c r="AD98" t="s">
        <v>74</v>
      </c>
      <c r="AE98" t="s">
        <v>74</v>
      </c>
      <c r="AF98" t="s">
        <v>74</v>
      </c>
      <c r="AG98" t="s">
        <v>74</v>
      </c>
      <c r="AH98" t="s">
        <v>74</v>
      </c>
      <c r="AI98" t="s">
        <v>74</v>
      </c>
      <c r="AJ98" t="s">
        <v>74</v>
      </c>
      <c r="AK98" t="s">
        <v>74</v>
      </c>
      <c r="AL98" t="s">
        <v>74</v>
      </c>
      <c r="AM98" t="s">
        <v>74</v>
      </c>
      <c r="AN98" t="s">
        <v>74</v>
      </c>
      <c r="AO98" t="s">
        <v>882</v>
      </c>
      <c r="AP98" t="s">
        <v>883</v>
      </c>
      <c r="AQ98" t="s">
        <v>74</v>
      </c>
      <c r="AR98" t="s">
        <v>74</v>
      </c>
      <c r="AS98" t="s">
        <v>74</v>
      </c>
      <c r="AT98" t="s">
        <v>82</v>
      </c>
      <c r="AU98">
        <v>2022</v>
      </c>
      <c r="AV98">
        <v>71</v>
      </c>
      <c r="AW98">
        <v>12</v>
      </c>
      <c r="AX98" t="s">
        <v>74</v>
      </c>
      <c r="AY98" t="s">
        <v>74</v>
      </c>
      <c r="AZ98" t="s">
        <v>74</v>
      </c>
      <c r="BA98" t="s">
        <v>74</v>
      </c>
      <c r="BB98">
        <v>1364</v>
      </c>
      <c r="BC98">
        <v>1383</v>
      </c>
      <c r="BD98" t="s">
        <v>74</v>
      </c>
      <c r="BE98" t="s">
        <v>884</v>
      </c>
      <c r="BF98" t="str">
        <f>HYPERLINK("http://dx.doi.org/10.2166/aqua.2022.238","http://dx.doi.org/10.2166/aqua.2022.238")</f>
        <v>http://dx.doi.org/10.2166/aqua.2022.238</v>
      </c>
      <c r="BG98" t="s">
        <v>74</v>
      </c>
      <c r="BH98" t="s">
        <v>885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 t="s">
        <v>74</v>
      </c>
      <c r="BR98" t="s">
        <v>74</v>
      </c>
      <c r="BS98" t="s">
        <v>886</v>
      </c>
      <c r="BT98" t="str">
        <f>HYPERLINK("https%3A%2F%2Fwww.webofscience.com%2Fwos%2Fwoscc%2Ffull-record%2FWOS:000891744900001","View Full Record in Web of Science")</f>
        <v>View Full Record in Web of Science</v>
      </c>
    </row>
    <row r="99" spans="1:72" x14ac:dyDescent="0.2">
      <c r="A99" t="s">
        <v>72</v>
      </c>
      <c r="B99" t="s">
        <v>887</v>
      </c>
      <c r="C99" t="s">
        <v>74</v>
      </c>
      <c r="D99" t="s">
        <v>74</v>
      </c>
      <c r="E99" t="s">
        <v>74</v>
      </c>
      <c r="F99" t="s">
        <v>888</v>
      </c>
      <c r="G99" t="s">
        <v>74</v>
      </c>
      <c r="H99" t="s">
        <v>74</v>
      </c>
      <c r="I99" t="s">
        <v>889</v>
      </c>
      <c r="J99" t="s">
        <v>756</v>
      </c>
      <c r="K99" t="s">
        <v>74</v>
      </c>
      <c r="L99" t="s">
        <v>74</v>
      </c>
      <c r="M99" t="s">
        <v>74</v>
      </c>
      <c r="N99" t="s">
        <v>74</v>
      </c>
      <c r="O99" t="s">
        <v>74</v>
      </c>
      <c r="P99" t="s">
        <v>74</v>
      </c>
      <c r="Q99" t="s">
        <v>74</v>
      </c>
      <c r="R99" t="s">
        <v>74</v>
      </c>
      <c r="S99" t="s">
        <v>74</v>
      </c>
      <c r="T99" t="s">
        <v>74</v>
      </c>
      <c r="U99" t="s">
        <v>74</v>
      </c>
      <c r="V99" t="s">
        <v>74</v>
      </c>
      <c r="W99" t="s">
        <v>74</v>
      </c>
      <c r="X99" t="s">
        <v>74</v>
      </c>
      <c r="Y99" t="s">
        <v>74</v>
      </c>
      <c r="Z99" t="s">
        <v>74</v>
      </c>
      <c r="AA99" t="s">
        <v>890</v>
      </c>
      <c r="AB99" t="s">
        <v>891</v>
      </c>
      <c r="AC99" t="s">
        <v>74</v>
      </c>
      <c r="AD99" t="s">
        <v>74</v>
      </c>
      <c r="AE99" t="s">
        <v>74</v>
      </c>
      <c r="AF99" t="s">
        <v>74</v>
      </c>
      <c r="AG99" t="s">
        <v>74</v>
      </c>
      <c r="AH99" t="s">
        <v>74</v>
      </c>
      <c r="AI99" t="s">
        <v>74</v>
      </c>
      <c r="AJ99" t="s">
        <v>74</v>
      </c>
      <c r="AK99" t="s">
        <v>74</v>
      </c>
      <c r="AL99" t="s">
        <v>74</v>
      </c>
      <c r="AM99" t="s">
        <v>74</v>
      </c>
      <c r="AN99" t="s">
        <v>74</v>
      </c>
      <c r="AO99" t="s">
        <v>759</v>
      </c>
      <c r="AP99" t="s">
        <v>74</v>
      </c>
      <c r="AQ99" t="s">
        <v>74</v>
      </c>
      <c r="AR99" t="s">
        <v>74</v>
      </c>
      <c r="AS99" t="s">
        <v>74</v>
      </c>
      <c r="AT99" t="s">
        <v>624</v>
      </c>
      <c r="AU99">
        <v>2023</v>
      </c>
      <c r="AV99">
        <v>196</v>
      </c>
      <c r="AW99" t="s">
        <v>760</v>
      </c>
      <c r="AX99" t="s">
        <v>74</v>
      </c>
      <c r="AY99" t="s">
        <v>74</v>
      </c>
      <c r="AZ99" t="s">
        <v>74</v>
      </c>
      <c r="BA99" t="s">
        <v>74</v>
      </c>
      <c r="BB99">
        <v>287</v>
      </c>
      <c r="BC99">
        <v>299</v>
      </c>
      <c r="BD99" t="s">
        <v>74</v>
      </c>
      <c r="BE99" t="s">
        <v>892</v>
      </c>
      <c r="BF99" t="str">
        <f>HYPERLINK("http://dx.doi.org/10.1127/fal/2022/1472","http://dx.doi.org/10.1127/fal/2022/1472")</f>
        <v>http://dx.doi.org/10.1127/fal/2022/1472</v>
      </c>
      <c r="BG99" t="s">
        <v>74</v>
      </c>
      <c r="BH99" t="s">
        <v>885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 t="s">
        <v>74</v>
      </c>
      <c r="BR99" t="s">
        <v>74</v>
      </c>
      <c r="BS99" t="s">
        <v>893</v>
      </c>
      <c r="BT99" t="str">
        <f>HYPERLINK("https%3A%2F%2Fwww.webofscience.com%2Fwos%2Fwoscc%2Ffull-record%2FWOS:000885462300001","View Full Record in Web of Science")</f>
        <v>View Full Record in Web of Science</v>
      </c>
    </row>
    <row r="100" spans="1:72" x14ac:dyDescent="0.2">
      <c r="A100" t="s">
        <v>72</v>
      </c>
      <c r="B100" t="s">
        <v>894</v>
      </c>
      <c r="C100" t="s">
        <v>74</v>
      </c>
      <c r="D100" t="s">
        <v>74</v>
      </c>
      <c r="E100" t="s">
        <v>74</v>
      </c>
      <c r="F100" t="s">
        <v>895</v>
      </c>
      <c r="G100" t="s">
        <v>74</v>
      </c>
      <c r="H100" t="s">
        <v>74</v>
      </c>
      <c r="I100" t="s">
        <v>896</v>
      </c>
      <c r="J100" t="s">
        <v>502</v>
      </c>
      <c r="K100" t="s">
        <v>74</v>
      </c>
      <c r="L100" t="s">
        <v>74</v>
      </c>
      <c r="M100" t="s">
        <v>74</v>
      </c>
      <c r="N100" t="s">
        <v>74</v>
      </c>
      <c r="O100" t="s">
        <v>74</v>
      </c>
      <c r="P100" t="s">
        <v>74</v>
      </c>
      <c r="Q100" t="s">
        <v>74</v>
      </c>
      <c r="R100" t="s">
        <v>74</v>
      </c>
      <c r="S100" t="s">
        <v>74</v>
      </c>
      <c r="T100" t="s">
        <v>74</v>
      </c>
      <c r="U100" t="s">
        <v>74</v>
      </c>
      <c r="V100" t="s">
        <v>74</v>
      </c>
      <c r="W100" t="s">
        <v>74</v>
      </c>
      <c r="X100" t="s">
        <v>74</v>
      </c>
      <c r="Y100" t="s">
        <v>74</v>
      </c>
      <c r="Z100" t="s">
        <v>74</v>
      </c>
      <c r="AA100" t="s">
        <v>6816</v>
      </c>
      <c r="AB100" t="s">
        <v>6817</v>
      </c>
      <c r="AC100" t="s">
        <v>74</v>
      </c>
      <c r="AD100" t="s">
        <v>74</v>
      </c>
      <c r="AE100" t="s">
        <v>74</v>
      </c>
      <c r="AF100" t="s">
        <v>74</v>
      </c>
      <c r="AG100" t="s">
        <v>74</v>
      </c>
      <c r="AH100" t="s">
        <v>74</v>
      </c>
      <c r="AI100" t="s">
        <v>74</v>
      </c>
      <c r="AJ100" t="s">
        <v>74</v>
      </c>
      <c r="AK100" t="s">
        <v>74</v>
      </c>
      <c r="AL100" t="s">
        <v>74</v>
      </c>
      <c r="AM100" t="s">
        <v>74</v>
      </c>
      <c r="AN100" t="s">
        <v>74</v>
      </c>
      <c r="AO100" t="s">
        <v>503</v>
      </c>
      <c r="AP100" t="s">
        <v>504</v>
      </c>
      <c r="AQ100" t="s">
        <v>74</v>
      </c>
      <c r="AR100" t="s">
        <v>74</v>
      </c>
      <c r="AS100" t="s">
        <v>74</v>
      </c>
      <c r="AT100" t="s">
        <v>82</v>
      </c>
      <c r="AU100">
        <v>2022</v>
      </c>
      <c r="AV100">
        <v>145</v>
      </c>
      <c r="AW100" t="s">
        <v>74</v>
      </c>
      <c r="AX100" t="s">
        <v>74</v>
      </c>
      <c r="AY100" t="s">
        <v>74</v>
      </c>
      <c r="AZ100" t="s">
        <v>74</v>
      </c>
      <c r="BA100" t="s">
        <v>74</v>
      </c>
      <c r="BB100" t="s">
        <v>74</v>
      </c>
      <c r="BC100" t="s">
        <v>74</v>
      </c>
      <c r="BD100" t="s">
        <v>74</v>
      </c>
      <c r="BE100" t="s">
        <v>897</v>
      </c>
      <c r="BF100" t="str">
        <f>HYPERLINK("http://dx.doi.org/10.1016/j.ecolind.2022.109662","http://dx.doi.org/10.1016/j.ecolind.2022.109662")</f>
        <v>http://dx.doi.org/10.1016/j.ecolind.2022.109662</v>
      </c>
      <c r="BG100" t="s">
        <v>74</v>
      </c>
      <c r="BH100" t="s">
        <v>885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 t="s">
        <v>74</v>
      </c>
      <c r="BR100" t="s">
        <v>74</v>
      </c>
      <c r="BS100" t="s">
        <v>898</v>
      </c>
      <c r="BT100" t="str">
        <f>HYPERLINK("https%3A%2F%2Fwww.webofscience.com%2Fwos%2Fwoscc%2Ffull-record%2FWOS:000934000800002","View Full Record in Web of Science")</f>
        <v>View Full Record in Web of Science</v>
      </c>
    </row>
    <row r="101" spans="1:72" x14ac:dyDescent="0.2">
      <c r="A101" t="s">
        <v>72</v>
      </c>
      <c r="B101" t="s">
        <v>899</v>
      </c>
      <c r="C101" t="s">
        <v>74</v>
      </c>
      <c r="D101" t="s">
        <v>74</v>
      </c>
      <c r="E101" t="s">
        <v>74</v>
      </c>
      <c r="F101" t="s">
        <v>900</v>
      </c>
      <c r="G101" t="s">
        <v>74</v>
      </c>
      <c r="H101" t="s">
        <v>74</v>
      </c>
      <c r="I101" t="s">
        <v>901</v>
      </c>
      <c r="J101" t="s">
        <v>331</v>
      </c>
      <c r="K101" t="s">
        <v>74</v>
      </c>
      <c r="L101" t="s">
        <v>74</v>
      </c>
      <c r="M101" t="s">
        <v>74</v>
      </c>
      <c r="N101" t="s">
        <v>74</v>
      </c>
      <c r="O101" t="s">
        <v>74</v>
      </c>
      <c r="P101" t="s">
        <v>74</v>
      </c>
      <c r="Q101" t="s">
        <v>74</v>
      </c>
      <c r="R101" t="s">
        <v>74</v>
      </c>
      <c r="S101" t="s">
        <v>74</v>
      </c>
      <c r="T101" t="s">
        <v>74</v>
      </c>
      <c r="U101" t="s">
        <v>74</v>
      </c>
      <c r="V101" t="s">
        <v>74</v>
      </c>
      <c r="W101" t="s">
        <v>74</v>
      </c>
      <c r="X101" t="s">
        <v>74</v>
      </c>
      <c r="Y101" t="s">
        <v>74</v>
      </c>
      <c r="Z101" t="s">
        <v>74</v>
      </c>
      <c r="AA101" t="s">
        <v>902</v>
      </c>
      <c r="AB101" t="s">
        <v>903</v>
      </c>
      <c r="AC101" t="s">
        <v>74</v>
      </c>
      <c r="AD101" t="s">
        <v>74</v>
      </c>
      <c r="AE101" t="s">
        <v>74</v>
      </c>
      <c r="AF101" t="s">
        <v>74</v>
      </c>
      <c r="AG101" t="s">
        <v>74</v>
      </c>
      <c r="AH101" t="s">
        <v>74</v>
      </c>
      <c r="AI101" t="s">
        <v>74</v>
      </c>
      <c r="AJ101" t="s">
        <v>74</v>
      </c>
      <c r="AK101" t="s">
        <v>74</v>
      </c>
      <c r="AL101" t="s">
        <v>74</v>
      </c>
      <c r="AM101" t="s">
        <v>74</v>
      </c>
      <c r="AN101" t="s">
        <v>74</v>
      </c>
      <c r="AO101" t="s">
        <v>74</v>
      </c>
      <c r="AP101" t="s">
        <v>334</v>
      </c>
      <c r="AQ101" t="s">
        <v>74</v>
      </c>
      <c r="AR101" t="s">
        <v>74</v>
      </c>
      <c r="AS101" t="s">
        <v>74</v>
      </c>
      <c r="AT101" t="s">
        <v>335</v>
      </c>
      <c r="AU101">
        <v>2022</v>
      </c>
      <c r="AV101">
        <v>14</v>
      </c>
      <c r="AW101">
        <v>21</v>
      </c>
      <c r="AX101" t="s">
        <v>74</v>
      </c>
      <c r="AY101" t="s">
        <v>74</v>
      </c>
      <c r="AZ101" t="s">
        <v>74</v>
      </c>
      <c r="BA101" t="s">
        <v>74</v>
      </c>
      <c r="BB101" t="s">
        <v>74</v>
      </c>
      <c r="BC101" t="s">
        <v>74</v>
      </c>
      <c r="BD101">
        <v>3403</v>
      </c>
      <c r="BE101" t="s">
        <v>904</v>
      </c>
      <c r="BF101" t="str">
        <f>HYPERLINK("http://dx.doi.org/10.3390/w14213403","http://dx.doi.org/10.3390/w14213403")</f>
        <v>http://dx.doi.org/10.3390/w14213403</v>
      </c>
      <c r="BG101" t="s">
        <v>74</v>
      </c>
      <c r="BH101" t="s">
        <v>74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 t="s">
        <v>74</v>
      </c>
      <c r="BR101" t="s">
        <v>74</v>
      </c>
      <c r="BS101" t="s">
        <v>905</v>
      </c>
      <c r="BT101" t="str">
        <f>HYPERLINK("https%3A%2F%2Fwww.webofscience.com%2Fwos%2Fwoscc%2Ffull-record%2FWOS:000882279300001","View Full Record in Web of Science")</f>
        <v>View Full Record in Web of Science</v>
      </c>
    </row>
    <row r="102" spans="1:72" x14ac:dyDescent="0.2">
      <c r="A102" t="s">
        <v>72</v>
      </c>
      <c r="B102" t="s">
        <v>906</v>
      </c>
      <c r="C102" t="s">
        <v>74</v>
      </c>
      <c r="D102" t="s">
        <v>74</v>
      </c>
      <c r="E102" t="s">
        <v>74</v>
      </c>
      <c r="F102" t="s">
        <v>907</v>
      </c>
      <c r="G102" t="s">
        <v>74</v>
      </c>
      <c r="H102" t="s">
        <v>74</v>
      </c>
      <c r="I102" t="s">
        <v>908</v>
      </c>
      <c r="J102" t="s">
        <v>909</v>
      </c>
      <c r="K102" t="s">
        <v>74</v>
      </c>
      <c r="L102" t="s">
        <v>74</v>
      </c>
      <c r="M102" t="s">
        <v>74</v>
      </c>
      <c r="N102" t="s">
        <v>74</v>
      </c>
      <c r="O102" t="s">
        <v>74</v>
      </c>
      <c r="P102" t="s">
        <v>74</v>
      </c>
      <c r="Q102" t="s">
        <v>74</v>
      </c>
      <c r="R102" t="s">
        <v>74</v>
      </c>
      <c r="S102" t="s">
        <v>74</v>
      </c>
      <c r="T102" t="s">
        <v>74</v>
      </c>
      <c r="U102" t="s">
        <v>74</v>
      </c>
      <c r="V102" t="s">
        <v>74</v>
      </c>
      <c r="W102" t="s">
        <v>74</v>
      </c>
      <c r="X102" t="s">
        <v>74</v>
      </c>
      <c r="Y102" t="s">
        <v>74</v>
      </c>
      <c r="Z102" t="s">
        <v>74</v>
      </c>
      <c r="AA102" t="s">
        <v>74</v>
      </c>
      <c r="AB102" t="s">
        <v>910</v>
      </c>
      <c r="AC102" t="s">
        <v>74</v>
      </c>
      <c r="AD102" t="s">
        <v>74</v>
      </c>
      <c r="AE102" t="s">
        <v>74</v>
      </c>
      <c r="AF102" t="s">
        <v>74</v>
      </c>
      <c r="AG102" t="s">
        <v>74</v>
      </c>
      <c r="AH102" t="s">
        <v>74</v>
      </c>
      <c r="AI102" t="s">
        <v>74</v>
      </c>
      <c r="AJ102" t="s">
        <v>74</v>
      </c>
      <c r="AK102" t="s">
        <v>74</v>
      </c>
      <c r="AL102" t="s">
        <v>74</v>
      </c>
      <c r="AM102" t="s">
        <v>74</v>
      </c>
      <c r="AN102" t="s">
        <v>74</v>
      </c>
      <c r="AO102" t="s">
        <v>74</v>
      </c>
      <c r="AP102" t="s">
        <v>911</v>
      </c>
      <c r="AQ102" t="s">
        <v>74</v>
      </c>
      <c r="AR102" t="s">
        <v>74</v>
      </c>
      <c r="AS102" t="s">
        <v>74</v>
      </c>
      <c r="AT102" t="s">
        <v>335</v>
      </c>
      <c r="AU102">
        <v>2022</v>
      </c>
      <c r="AV102">
        <v>19</v>
      </c>
      <c r="AW102">
        <v>21</v>
      </c>
      <c r="AX102" t="s">
        <v>74</v>
      </c>
      <c r="AY102" t="s">
        <v>74</v>
      </c>
      <c r="AZ102" t="s">
        <v>74</v>
      </c>
      <c r="BA102" t="s">
        <v>74</v>
      </c>
      <c r="BB102" t="s">
        <v>74</v>
      </c>
      <c r="BC102" t="s">
        <v>74</v>
      </c>
      <c r="BD102">
        <v>14075</v>
      </c>
      <c r="BE102" t="s">
        <v>912</v>
      </c>
      <c r="BF102" t="str">
        <f>HYPERLINK("http://dx.doi.org/10.3390/ijerph192114075","http://dx.doi.org/10.3390/ijerph192114075")</f>
        <v>http://dx.doi.org/10.3390/ijerph192114075</v>
      </c>
      <c r="BG102" t="s">
        <v>74</v>
      </c>
      <c r="BH102" t="s">
        <v>74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>
        <v>36360953</v>
      </c>
      <c r="BO102" t="s">
        <v>74</v>
      </c>
      <c r="BP102" t="s">
        <v>74</v>
      </c>
      <c r="BQ102" t="s">
        <v>74</v>
      </c>
      <c r="BR102" t="s">
        <v>74</v>
      </c>
      <c r="BS102" t="s">
        <v>913</v>
      </c>
      <c r="BT102" t="str">
        <f>HYPERLINK("https%3A%2F%2Fwww.webofscience.com%2Fwos%2Fwoscc%2Ffull-record%2FWOS:000883618400001","View Full Record in Web of Science")</f>
        <v>View Full Record in Web of Science</v>
      </c>
    </row>
    <row r="103" spans="1:72" x14ac:dyDescent="0.2">
      <c r="A103" t="s">
        <v>72</v>
      </c>
      <c r="B103" t="s">
        <v>914</v>
      </c>
      <c r="C103" t="s">
        <v>74</v>
      </c>
      <c r="D103" t="s">
        <v>74</v>
      </c>
      <c r="E103" t="s">
        <v>74</v>
      </c>
      <c r="F103" t="s">
        <v>915</v>
      </c>
      <c r="G103" t="s">
        <v>74</v>
      </c>
      <c r="H103" t="s">
        <v>74</v>
      </c>
      <c r="I103" t="s">
        <v>916</v>
      </c>
      <c r="J103" t="s">
        <v>917</v>
      </c>
      <c r="K103" t="s">
        <v>74</v>
      </c>
      <c r="L103" t="s">
        <v>74</v>
      </c>
      <c r="M103" t="s">
        <v>74</v>
      </c>
      <c r="N103" t="s">
        <v>74</v>
      </c>
      <c r="O103" t="s">
        <v>74</v>
      </c>
      <c r="P103" t="s">
        <v>74</v>
      </c>
      <c r="Q103" t="s">
        <v>74</v>
      </c>
      <c r="R103" t="s">
        <v>74</v>
      </c>
      <c r="S103" t="s">
        <v>74</v>
      </c>
      <c r="T103" t="s">
        <v>74</v>
      </c>
      <c r="U103" t="s">
        <v>74</v>
      </c>
      <c r="V103" t="s">
        <v>74</v>
      </c>
      <c r="W103" t="s">
        <v>74</v>
      </c>
      <c r="X103" t="s">
        <v>74</v>
      </c>
      <c r="Y103" t="s">
        <v>74</v>
      </c>
      <c r="Z103" t="s">
        <v>74</v>
      </c>
      <c r="AA103" t="s">
        <v>918</v>
      </c>
      <c r="AB103" t="s">
        <v>919</v>
      </c>
      <c r="AC103" t="s">
        <v>74</v>
      </c>
      <c r="AD103" t="s">
        <v>74</v>
      </c>
      <c r="AE103" t="s">
        <v>74</v>
      </c>
      <c r="AF103" t="s">
        <v>74</v>
      </c>
      <c r="AG103" t="s">
        <v>74</v>
      </c>
      <c r="AH103" t="s">
        <v>74</v>
      </c>
      <c r="AI103" t="s">
        <v>74</v>
      </c>
      <c r="AJ103" t="s">
        <v>74</v>
      </c>
      <c r="AK103" t="s">
        <v>74</v>
      </c>
      <c r="AL103" t="s">
        <v>74</v>
      </c>
      <c r="AM103" t="s">
        <v>74</v>
      </c>
      <c r="AN103" t="s">
        <v>74</v>
      </c>
      <c r="AO103" t="s">
        <v>74</v>
      </c>
      <c r="AP103" t="s">
        <v>920</v>
      </c>
      <c r="AQ103" t="s">
        <v>74</v>
      </c>
      <c r="AR103" t="s">
        <v>74</v>
      </c>
      <c r="AS103" t="s">
        <v>74</v>
      </c>
      <c r="AT103" t="s">
        <v>335</v>
      </c>
      <c r="AU103">
        <v>2022</v>
      </c>
      <c r="AV103">
        <v>14</v>
      </c>
      <c r="AW103">
        <v>21</v>
      </c>
      <c r="AX103" t="s">
        <v>74</v>
      </c>
      <c r="AY103" t="s">
        <v>74</v>
      </c>
      <c r="AZ103" t="s">
        <v>74</v>
      </c>
      <c r="BA103" t="s">
        <v>74</v>
      </c>
      <c r="BB103" t="s">
        <v>74</v>
      </c>
      <c r="BC103" t="s">
        <v>74</v>
      </c>
      <c r="BD103">
        <v>13719</v>
      </c>
      <c r="BE103" t="s">
        <v>921</v>
      </c>
      <c r="BF103" t="str">
        <f>HYPERLINK("http://dx.doi.org/10.3390/su142113719","http://dx.doi.org/10.3390/su142113719")</f>
        <v>http://dx.doi.org/10.3390/su142113719</v>
      </c>
      <c r="BG103" t="s">
        <v>74</v>
      </c>
      <c r="BH103" t="s">
        <v>74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 t="s">
        <v>74</v>
      </c>
      <c r="BR103" t="s">
        <v>74</v>
      </c>
      <c r="BS103" t="s">
        <v>922</v>
      </c>
      <c r="BT103" t="str">
        <f>HYPERLINK("https%3A%2F%2Fwww.webofscience.com%2Fwos%2Fwoscc%2Ffull-record%2FWOS:000882275100001","View Full Record in Web of Science")</f>
        <v>View Full Record in Web of Science</v>
      </c>
    </row>
    <row r="104" spans="1:72" x14ac:dyDescent="0.2">
      <c r="A104" t="s">
        <v>72</v>
      </c>
      <c r="B104" t="s">
        <v>923</v>
      </c>
      <c r="C104" t="s">
        <v>74</v>
      </c>
      <c r="D104" t="s">
        <v>74</v>
      </c>
      <c r="E104" t="s">
        <v>74</v>
      </c>
      <c r="F104" t="s">
        <v>924</v>
      </c>
      <c r="G104" t="s">
        <v>74</v>
      </c>
      <c r="H104" t="s">
        <v>74</v>
      </c>
      <c r="I104" t="s">
        <v>925</v>
      </c>
      <c r="J104" t="s">
        <v>926</v>
      </c>
      <c r="K104" t="s">
        <v>74</v>
      </c>
      <c r="L104" t="s">
        <v>74</v>
      </c>
      <c r="M104" t="s">
        <v>74</v>
      </c>
      <c r="N104" t="s">
        <v>74</v>
      </c>
      <c r="O104" t="s">
        <v>74</v>
      </c>
      <c r="P104" t="s">
        <v>74</v>
      </c>
      <c r="Q104" t="s">
        <v>74</v>
      </c>
      <c r="R104" t="s">
        <v>74</v>
      </c>
      <c r="S104" t="s">
        <v>74</v>
      </c>
      <c r="T104" t="s">
        <v>74</v>
      </c>
      <c r="U104" t="s">
        <v>74</v>
      </c>
      <c r="V104" t="s">
        <v>74</v>
      </c>
      <c r="W104" t="s">
        <v>74</v>
      </c>
      <c r="X104" t="s">
        <v>74</v>
      </c>
      <c r="Y104" t="s">
        <v>74</v>
      </c>
      <c r="Z104" t="s">
        <v>74</v>
      </c>
      <c r="AA104" t="s">
        <v>927</v>
      </c>
      <c r="AB104" t="s">
        <v>6818</v>
      </c>
      <c r="AC104" t="s">
        <v>74</v>
      </c>
      <c r="AD104" t="s">
        <v>74</v>
      </c>
      <c r="AE104" t="s">
        <v>74</v>
      </c>
      <c r="AF104" t="s">
        <v>74</v>
      </c>
      <c r="AG104" t="s">
        <v>74</v>
      </c>
      <c r="AH104" t="s">
        <v>74</v>
      </c>
      <c r="AI104" t="s">
        <v>74</v>
      </c>
      <c r="AJ104" t="s">
        <v>74</v>
      </c>
      <c r="AK104" t="s">
        <v>74</v>
      </c>
      <c r="AL104" t="s">
        <v>74</v>
      </c>
      <c r="AM104" t="s">
        <v>74</v>
      </c>
      <c r="AN104" t="s">
        <v>74</v>
      </c>
      <c r="AO104" t="s">
        <v>928</v>
      </c>
      <c r="AP104" t="s">
        <v>74</v>
      </c>
      <c r="AQ104" t="s">
        <v>74</v>
      </c>
      <c r="AR104" t="s">
        <v>74</v>
      </c>
      <c r="AS104" t="s">
        <v>74</v>
      </c>
      <c r="AT104" t="s">
        <v>335</v>
      </c>
      <c r="AU104">
        <v>2022</v>
      </c>
      <c r="AV104">
        <v>12</v>
      </c>
      <c r="AW104">
        <v>22</v>
      </c>
      <c r="AX104" t="s">
        <v>74</v>
      </c>
      <c r="AY104" t="s">
        <v>74</v>
      </c>
      <c r="AZ104" t="s">
        <v>74</v>
      </c>
      <c r="BA104" t="s">
        <v>74</v>
      </c>
      <c r="BB104" t="s">
        <v>74</v>
      </c>
      <c r="BC104" t="s">
        <v>74</v>
      </c>
      <c r="BD104">
        <v>3201</v>
      </c>
      <c r="BE104" t="s">
        <v>929</v>
      </c>
      <c r="BF104" t="str">
        <f>HYPERLINK("http://dx.doi.org/10.3390/ani12223201","http://dx.doi.org/10.3390/ani12223201")</f>
        <v>http://dx.doi.org/10.3390/ani12223201</v>
      </c>
      <c r="BG104" t="s">
        <v>74</v>
      </c>
      <c r="BH104" t="s">
        <v>74</v>
      </c>
      <c r="BI104" t="s">
        <v>74</v>
      </c>
      <c r="BJ104" t="s">
        <v>74</v>
      </c>
      <c r="BK104" t="s">
        <v>74</v>
      </c>
      <c r="BL104" t="s">
        <v>74</v>
      </c>
      <c r="BM104" t="s">
        <v>74</v>
      </c>
      <c r="BN104">
        <v>36428428</v>
      </c>
      <c r="BO104" t="s">
        <v>74</v>
      </c>
      <c r="BP104" t="s">
        <v>74</v>
      </c>
      <c r="BQ104" t="s">
        <v>74</v>
      </c>
      <c r="BR104" t="s">
        <v>74</v>
      </c>
      <c r="BS104" t="s">
        <v>930</v>
      </c>
      <c r="BT104" t="str">
        <f>HYPERLINK("https%3A%2F%2Fwww.webofscience.com%2Fwos%2Fwoscc%2Ffull-record%2FWOS:000887020300001","View Full Record in Web of Science")</f>
        <v>View Full Record in Web of Science</v>
      </c>
    </row>
    <row r="105" spans="1:72" x14ac:dyDescent="0.2">
      <c r="A105" t="s">
        <v>72</v>
      </c>
      <c r="B105" t="s">
        <v>931</v>
      </c>
      <c r="C105" t="s">
        <v>74</v>
      </c>
      <c r="D105" t="s">
        <v>74</v>
      </c>
      <c r="E105" t="s">
        <v>74</v>
      </c>
      <c r="F105" t="s">
        <v>932</v>
      </c>
      <c r="G105" t="s">
        <v>74</v>
      </c>
      <c r="H105" t="s">
        <v>74</v>
      </c>
      <c r="I105" t="s">
        <v>933</v>
      </c>
      <c r="J105" t="s">
        <v>934</v>
      </c>
      <c r="K105" t="s">
        <v>74</v>
      </c>
      <c r="L105" t="s">
        <v>74</v>
      </c>
      <c r="M105" t="s">
        <v>74</v>
      </c>
      <c r="N105" t="s">
        <v>74</v>
      </c>
      <c r="O105" t="s">
        <v>74</v>
      </c>
      <c r="P105" t="s">
        <v>74</v>
      </c>
      <c r="Q105" t="s">
        <v>74</v>
      </c>
      <c r="R105" t="s">
        <v>74</v>
      </c>
      <c r="S105" t="s">
        <v>74</v>
      </c>
      <c r="T105" t="s">
        <v>74</v>
      </c>
      <c r="U105" t="s">
        <v>74</v>
      </c>
      <c r="V105" t="s">
        <v>74</v>
      </c>
      <c r="W105" t="s">
        <v>74</v>
      </c>
      <c r="X105" t="s">
        <v>74</v>
      </c>
      <c r="Y105" t="s">
        <v>74</v>
      </c>
      <c r="Z105" t="s">
        <v>74</v>
      </c>
      <c r="AA105" t="s">
        <v>935</v>
      </c>
      <c r="AB105" t="s">
        <v>6819</v>
      </c>
      <c r="AC105" t="s">
        <v>74</v>
      </c>
      <c r="AD105" t="s">
        <v>74</v>
      </c>
      <c r="AE105" t="s">
        <v>74</v>
      </c>
      <c r="AF105" t="s">
        <v>74</v>
      </c>
      <c r="AG105" t="s">
        <v>74</v>
      </c>
      <c r="AH105" t="s">
        <v>74</v>
      </c>
      <c r="AI105" t="s">
        <v>74</v>
      </c>
      <c r="AJ105" t="s">
        <v>74</v>
      </c>
      <c r="AK105" t="s">
        <v>74</v>
      </c>
      <c r="AL105" t="s">
        <v>74</v>
      </c>
      <c r="AM105" t="s">
        <v>74</v>
      </c>
      <c r="AN105" t="s">
        <v>74</v>
      </c>
      <c r="AO105" t="s">
        <v>936</v>
      </c>
      <c r="AP105" t="s">
        <v>937</v>
      </c>
      <c r="AQ105" t="s">
        <v>74</v>
      </c>
      <c r="AR105" t="s">
        <v>74</v>
      </c>
      <c r="AS105" t="s">
        <v>74</v>
      </c>
      <c r="AT105" t="s">
        <v>335</v>
      </c>
      <c r="AU105">
        <v>2022</v>
      </c>
      <c r="AV105">
        <v>101</v>
      </c>
      <c r="AW105">
        <v>5</v>
      </c>
      <c r="AX105" t="s">
        <v>74</v>
      </c>
      <c r="AY105" t="s">
        <v>74</v>
      </c>
      <c r="AZ105" t="s">
        <v>74</v>
      </c>
      <c r="BA105" t="s">
        <v>74</v>
      </c>
      <c r="BB105">
        <v>1108</v>
      </c>
      <c r="BC105">
        <v>1118</v>
      </c>
      <c r="BD105" t="s">
        <v>74</v>
      </c>
      <c r="BE105" t="s">
        <v>938</v>
      </c>
      <c r="BF105" t="str">
        <f>HYPERLINK("http://dx.doi.org/10.1111/jfb.15172","http://dx.doi.org/10.1111/jfb.15172")</f>
        <v>http://dx.doi.org/10.1111/jfb.15172</v>
      </c>
      <c r="BG105" t="s">
        <v>74</v>
      </c>
      <c r="BH105" t="s">
        <v>74</v>
      </c>
      <c r="BI105" t="s">
        <v>74</v>
      </c>
      <c r="BJ105" t="s">
        <v>74</v>
      </c>
      <c r="BK105" t="s">
        <v>74</v>
      </c>
      <c r="BL105" t="s">
        <v>74</v>
      </c>
      <c r="BM105" t="s">
        <v>74</v>
      </c>
      <c r="BN105">
        <v>35851671</v>
      </c>
      <c r="BO105" t="s">
        <v>74</v>
      </c>
      <c r="BP105" t="s">
        <v>74</v>
      </c>
      <c r="BQ105" t="s">
        <v>74</v>
      </c>
      <c r="BR105" t="s">
        <v>74</v>
      </c>
      <c r="BS105" t="s">
        <v>939</v>
      </c>
      <c r="BT105" t="str">
        <f>HYPERLINK("https%3A%2F%2Fwww.webofscience.com%2Fwos%2Fwoscc%2Ffull-record%2FWOS:000882842000003","View Full Record in Web of Science")</f>
        <v>View Full Record in Web of Science</v>
      </c>
    </row>
    <row r="106" spans="1:72" x14ac:dyDescent="0.2">
      <c r="A106" t="s">
        <v>72</v>
      </c>
      <c r="B106" t="s">
        <v>940</v>
      </c>
      <c r="C106" t="s">
        <v>74</v>
      </c>
      <c r="D106" t="s">
        <v>74</v>
      </c>
      <c r="E106" t="s">
        <v>74</v>
      </c>
      <c r="F106" t="s">
        <v>941</v>
      </c>
      <c r="G106" t="s">
        <v>74</v>
      </c>
      <c r="H106" t="s">
        <v>74</v>
      </c>
      <c r="I106" t="s">
        <v>942</v>
      </c>
      <c r="J106" t="s">
        <v>124</v>
      </c>
      <c r="K106" t="s">
        <v>74</v>
      </c>
      <c r="L106" t="s">
        <v>74</v>
      </c>
      <c r="M106" t="s">
        <v>74</v>
      </c>
      <c r="N106" t="s">
        <v>74</v>
      </c>
      <c r="O106" t="s">
        <v>74</v>
      </c>
      <c r="P106" t="s">
        <v>74</v>
      </c>
      <c r="Q106" t="s">
        <v>74</v>
      </c>
      <c r="R106" t="s">
        <v>74</v>
      </c>
      <c r="S106" t="s">
        <v>74</v>
      </c>
      <c r="T106" t="s">
        <v>74</v>
      </c>
      <c r="U106" t="s">
        <v>74</v>
      </c>
      <c r="V106" t="s">
        <v>74</v>
      </c>
      <c r="W106" t="s">
        <v>74</v>
      </c>
      <c r="X106" t="s">
        <v>74</v>
      </c>
      <c r="Y106" t="s">
        <v>74</v>
      </c>
      <c r="Z106" t="s">
        <v>74</v>
      </c>
      <c r="AA106" t="s">
        <v>74</v>
      </c>
      <c r="AB106" t="s">
        <v>74</v>
      </c>
      <c r="AC106" t="s">
        <v>74</v>
      </c>
      <c r="AD106" t="s">
        <v>74</v>
      </c>
      <c r="AE106" t="s">
        <v>74</v>
      </c>
      <c r="AF106" t="s">
        <v>74</v>
      </c>
      <c r="AG106" t="s">
        <v>74</v>
      </c>
      <c r="AH106" t="s">
        <v>74</v>
      </c>
      <c r="AI106" t="s">
        <v>74</v>
      </c>
      <c r="AJ106" t="s">
        <v>74</v>
      </c>
      <c r="AK106" t="s">
        <v>74</v>
      </c>
      <c r="AL106" t="s">
        <v>74</v>
      </c>
      <c r="AM106" t="s">
        <v>74</v>
      </c>
      <c r="AN106" t="s">
        <v>74</v>
      </c>
      <c r="AO106" t="s">
        <v>127</v>
      </c>
      <c r="AP106" t="s">
        <v>128</v>
      </c>
      <c r="AQ106" t="s">
        <v>74</v>
      </c>
      <c r="AR106" t="s">
        <v>74</v>
      </c>
      <c r="AS106" t="s">
        <v>74</v>
      </c>
      <c r="AT106" t="s">
        <v>315</v>
      </c>
      <c r="AU106">
        <v>2023</v>
      </c>
      <c r="AV106">
        <v>850</v>
      </c>
      <c r="AW106">
        <v>1</v>
      </c>
      <c r="AX106" t="s">
        <v>74</v>
      </c>
      <c r="AY106" t="s">
        <v>74</v>
      </c>
      <c r="AZ106" t="s">
        <v>74</v>
      </c>
      <c r="BA106" t="s">
        <v>74</v>
      </c>
      <c r="BB106">
        <v>167</v>
      </c>
      <c r="BC106">
        <v>182</v>
      </c>
      <c r="BD106" t="s">
        <v>74</v>
      </c>
      <c r="BE106" t="s">
        <v>943</v>
      </c>
      <c r="BF106" t="str">
        <f>HYPERLINK("http://dx.doi.org/10.1007/s10750-022-05052-y","http://dx.doi.org/10.1007/s10750-022-05052-y")</f>
        <v>http://dx.doi.org/10.1007/s10750-022-05052-y</v>
      </c>
      <c r="BG106" t="s">
        <v>74</v>
      </c>
      <c r="BH106" t="s">
        <v>944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 t="s">
        <v>74</v>
      </c>
      <c r="BR106" t="s">
        <v>74</v>
      </c>
      <c r="BS106" t="s">
        <v>945</v>
      </c>
      <c r="BT106" t="str">
        <f>HYPERLINK("https%3A%2F%2Fwww.webofscience.com%2Fwos%2Fwoscc%2Ffull-record%2FWOS:000871163800002","View Full Record in Web of Science")</f>
        <v>View Full Record in Web of Science</v>
      </c>
    </row>
    <row r="107" spans="1:72" x14ac:dyDescent="0.2">
      <c r="A107" t="s">
        <v>72</v>
      </c>
      <c r="B107" t="s">
        <v>946</v>
      </c>
      <c r="C107" t="s">
        <v>74</v>
      </c>
      <c r="D107" t="s">
        <v>74</v>
      </c>
      <c r="E107" t="s">
        <v>74</v>
      </c>
      <c r="F107" t="s">
        <v>947</v>
      </c>
      <c r="G107" t="s">
        <v>74</v>
      </c>
      <c r="H107" t="s">
        <v>74</v>
      </c>
      <c r="I107" t="s">
        <v>948</v>
      </c>
      <c r="J107" t="s">
        <v>949</v>
      </c>
      <c r="K107" t="s">
        <v>74</v>
      </c>
      <c r="L107" t="s">
        <v>74</v>
      </c>
      <c r="M107" t="s">
        <v>74</v>
      </c>
      <c r="N107" t="s">
        <v>74</v>
      </c>
      <c r="O107" t="s">
        <v>74</v>
      </c>
      <c r="P107" t="s">
        <v>74</v>
      </c>
      <c r="Q107" t="s">
        <v>74</v>
      </c>
      <c r="R107" t="s">
        <v>74</v>
      </c>
      <c r="S107" t="s">
        <v>74</v>
      </c>
      <c r="T107" t="s">
        <v>74</v>
      </c>
      <c r="U107" t="s">
        <v>74</v>
      </c>
      <c r="V107" t="s">
        <v>74</v>
      </c>
      <c r="W107" t="s">
        <v>74</v>
      </c>
      <c r="X107" t="s">
        <v>74</v>
      </c>
      <c r="Y107" t="s">
        <v>74</v>
      </c>
      <c r="Z107" t="s">
        <v>74</v>
      </c>
      <c r="AA107" t="s">
        <v>74</v>
      </c>
      <c r="AB107" t="s">
        <v>950</v>
      </c>
      <c r="AC107" t="s">
        <v>74</v>
      </c>
      <c r="AD107" t="s">
        <v>74</v>
      </c>
      <c r="AE107" t="s">
        <v>74</v>
      </c>
      <c r="AF107" t="s">
        <v>74</v>
      </c>
      <c r="AG107" t="s">
        <v>74</v>
      </c>
      <c r="AH107" t="s">
        <v>74</v>
      </c>
      <c r="AI107" t="s">
        <v>74</v>
      </c>
      <c r="AJ107" t="s">
        <v>74</v>
      </c>
      <c r="AK107" t="s">
        <v>74</v>
      </c>
      <c r="AL107" t="s">
        <v>74</v>
      </c>
      <c r="AM107" t="s">
        <v>74</v>
      </c>
      <c r="AN107" t="s">
        <v>74</v>
      </c>
      <c r="AO107" t="s">
        <v>74</v>
      </c>
      <c r="AP107" t="s">
        <v>951</v>
      </c>
      <c r="AQ107" t="s">
        <v>74</v>
      </c>
      <c r="AR107" t="s">
        <v>74</v>
      </c>
      <c r="AS107" t="s">
        <v>74</v>
      </c>
      <c r="AT107" t="s">
        <v>952</v>
      </c>
      <c r="AU107">
        <v>2022</v>
      </c>
      <c r="AV107">
        <v>9</v>
      </c>
      <c r="AW107" t="s">
        <v>74</v>
      </c>
      <c r="AX107" t="s">
        <v>74</v>
      </c>
      <c r="AY107" t="s">
        <v>74</v>
      </c>
      <c r="AZ107" t="s">
        <v>74</v>
      </c>
      <c r="BA107" t="s">
        <v>74</v>
      </c>
      <c r="BB107" t="s">
        <v>74</v>
      </c>
      <c r="BC107" t="s">
        <v>74</v>
      </c>
      <c r="BD107">
        <v>933256</v>
      </c>
      <c r="BE107" t="s">
        <v>953</v>
      </c>
      <c r="BF107" t="str">
        <f>HYPERLINK("http://dx.doi.org/10.3389/fmars.2022.933256","http://dx.doi.org/10.3389/fmars.2022.933256")</f>
        <v>http://dx.doi.org/10.3389/fmars.2022.933256</v>
      </c>
      <c r="BG107" t="s">
        <v>74</v>
      </c>
      <c r="BH107" t="s">
        <v>74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 t="s">
        <v>74</v>
      </c>
      <c r="BR107" t="s">
        <v>74</v>
      </c>
      <c r="BS107" t="s">
        <v>954</v>
      </c>
      <c r="BT107" t="str">
        <f>HYPERLINK("https%3A%2F%2Fwww.webofscience.com%2Fwos%2Fwoscc%2Ffull-record%2FWOS:000875781200001","View Full Record in Web of Science")</f>
        <v>View Full Record in Web of Science</v>
      </c>
    </row>
    <row r="108" spans="1:72" x14ac:dyDescent="0.2">
      <c r="A108" t="s">
        <v>72</v>
      </c>
      <c r="B108" t="s">
        <v>955</v>
      </c>
      <c r="C108" t="s">
        <v>74</v>
      </c>
      <c r="D108" t="s">
        <v>74</v>
      </c>
      <c r="E108" t="s">
        <v>74</v>
      </c>
      <c r="F108" t="s">
        <v>956</v>
      </c>
      <c r="G108" t="s">
        <v>74</v>
      </c>
      <c r="H108" t="s">
        <v>74</v>
      </c>
      <c r="I108" t="s">
        <v>957</v>
      </c>
      <c r="J108" t="s">
        <v>958</v>
      </c>
      <c r="K108" t="s">
        <v>74</v>
      </c>
      <c r="L108" t="s">
        <v>74</v>
      </c>
      <c r="M108" t="s">
        <v>74</v>
      </c>
      <c r="N108" t="s">
        <v>74</v>
      </c>
      <c r="O108" t="s">
        <v>74</v>
      </c>
      <c r="P108" t="s">
        <v>74</v>
      </c>
      <c r="Q108" t="s">
        <v>74</v>
      </c>
      <c r="R108" t="s">
        <v>74</v>
      </c>
      <c r="S108" t="s">
        <v>74</v>
      </c>
      <c r="T108" t="s">
        <v>74</v>
      </c>
      <c r="U108" t="s">
        <v>74</v>
      </c>
      <c r="V108" t="s">
        <v>74</v>
      </c>
      <c r="W108" t="s">
        <v>74</v>
      </c>
      <c r="X108" t="s">
        <v>74</v>
      </c>
      <c r="Y108" t="s">
        <v>74</v>
      </c>
      <c r="Z108" t="s">
        <v>74</v>
      </c>
      <c r="AA108" t="s">
        <v>74</v>
      </c>
      <c r="AB108" t="s">
        <v>74</v>
      </c>
      <c r="AC108" t="s">
        <v>74</v>
      </c>
      <c r="AD108" t="s">
        <v>74</v>
      </c>
      <c r="AE108" t="s">
        <v>74</v>
      </c>
      <c r="AF108" t="s">
        <v>74</v>
      </c>
      <c r="AG108" t="s">
        <v>74</v>
      </c>
      <c r="AH108" t="s">
        <v>74</v>
      </c>
      <c r="AI108" t="s">
        <v>74</v>
      </c>
      <c r="AJ108" t="s">
        <v>74</v>
      </c>
      <c r="AK108" t="s">
        <v>74</v>
      </c>
      <c r="AL108" t="s">
        <v>74</v>
      </c>
      <c r="AM108" t="s">
        <v>74</v>
      </c>
      <c r="AN108" t="s">
        <v>74</v>
      </c>
      <c r="AO108" t="s">
        <v>959</v>
      </c>
      <c r="AP108" t="s">
        <v>74</v>
      </c>
      <c r="AQ108" t="s">
        <v>74</v>
      </c>
      <c r="AR108" t="s">
        <v>74</v>
      </c>
      <c r="AS108" t="s">
        <v>74</v>
      </c>
      <c r="AT108" t="s">
        <v>960</v>
      </c>
      <c r="AU108">
        <v>2022</v>
      </c>
      <c r="AV108">
        <v>10</v>
      </c>
      <c r="AW108" t="s">
        <v>74</v>
      </c>
      <c r="AX108" t="s">
        <v>74</v>
      </c>
      <c r="AY108" t="s">
        <v>74</v>
      </c>
      <c r="AZ108" t="s">
        <v>74</v>
      </c>
      <c r="BA108" t="s">
        <v>74</v>
      </c>
      <c r="BB108" t="s">
        <v>74</v>
      </c>
      <c r="BC108" t="s">
        <v>74</v>
      </c>
      <c r="BD108" t="s">
        <v>961</v>
      </c>
      <c r="BE108" t="s">
        <v>962</v>
      </c>
      <c r="BF108" t="str">
        <f>HYPERLINK("http://dx.doi.org/10.7717/peerj.14103","http://dx.doi.org/10.7717/peerj.14103")</f>
        <v>http://dx.doi.org/10.7717/peerj.14103</v>
      </c>
      <c r="BG108" t="s">
        <v>74</v>
      </c>
      <c r="BH108" t="s">
        <v>74</v>
      </c>
      <c r="BI108" t="s">
        <v>74</v>
      </c>
      <c r="BJ108" t="s">
        <v>74</v>
      </c>
      <c r="BK108" t="s">
        <v>74</v>
      </c>
      <c r="BL108" t="s">
        <v>74</v>
      </c>
      <c r="BM108" t="s">
        <v>74</v>
      </c>
      <c r="BN108">
        <v>36225899</v>
      </c>
      <c r="BO108" t="s">
        <v>74</v>
      </c>
      <c r="BP108" t="s">
        <v>74</v>
      </c>
      <c r="BQ108" t="s">
        <v>74</v>
      </c>
      <c r="BR108" t="s">
        <v>74</v>
      </c>
      <c r="BS108" t="s">
        <v>963</v>
      </c>
      <c r="BT108" t="str">
        <f>HYPERLINK("https%3A%2F%2Fwww.webofscience.com%2Fwos%2Fwoscc%2Ffull-record%2FWOS:000876929200003","View Full Record in Web of Science")</f>
        <v>View Full Record in Web of Science</v>
      </c>
    </row>
    <row r="109" spans="1:72" x14ac:dyDescent="0.2">
      <c r="A109" t="s">
        <v>72</v>
      </c>
      <c r="B109" t="s">
        <v>964</v>
      </c>
      <c r="C109" t="s">
        <v>74</v>
      </c>
      <c r="D109" t="s">
        <v>74</v>
      </c>
      <c r="E109" t="s">
        <v>74</v>
      </c>
      <c r="F109" t="s">
        <v>965</v>
      </c>
      <c r="G109" t="s">
        <v>74</v>
      </c>
      <c r="H109" t="s">
        <v>74</v>
      </c>
      <c r="I109" t="s">
        <v>966</v>
      </c>
      <c r="J109" t="s">
        <v>949</v>
      </c>
      <c r="K109" t="s">
        <v>74</v>
      </c>
      <c r="L109" t="s">
        <v>74</v>
      </c>
      <c r="M109" t="s">
        <v>74</v>
      </c>
      <c r="N109" t="s">
        <v>74</v>
      </c>
      <c r="O109" t="s">
        <v>74</v>
      </c>
      <c r="P109" t="s">
        <v>74</v>
      </c>
      <c r="Q109" t="s">
        <v>74</v>
      </c>
      <c r="R109" t="s">
        <v>74</v>
      </c>
      <c r="S109" t="s">
        <v>74</v>
      </c>
      <c r="T109" t="s">
        <v>74</v>
      </c>
      <c r="U109" t="s">
        <v>74</v>
      </c>
      <c r="V109" t="s">
        <v>74</v>
      </c>
      <c r="W109" t="s">
        <v>74</v>
      </c>
      <c r="X109" t="s">
        <v>74</v>
      </c>
      <c r="Y109" t="s">
        <v>74</v>
      </c>
      <c r="Z109" t="s">
        <v>74</v>
      </c>
      <c r="AA109" t="s">
        <v>7187</v>
      </c>
      <c r="AB109" t="s">
        <v>7188</v>
      </c>
      <c r="AC109" t="s">
        <v>74</v>
      </c>
      <c r="AD109" t="s">
        <v>74</v>
      </c>
      <c r="AE109" t="s">
        <v>74</v>
      </c>
      <c r="AF109" t="s">
        <v>74</v>
      </c>
      <c r="AG109" t="s">
        <v>74</v>
      </c>
      <c r="AH109" t="s">
        <v>74</v>
      </c>
      <c r="AI109" t="s">
        <v>74</v>
      </c>
      <c r="AJ109" t="s">
        <v>74</v>
      </c>
      <c r="AK109" t="s">
        <v>74</v>
      </c>
      <c r="AL109" t="s">
        <v>74</v>
      </c>
      <c r="AM109" t="s">
        <v>74</v>
      </c>
      <c r="AN109" t="s">
        <v>74</v>
      </c>
      <c r="AO109" t="s">
        <v>74</v>
      </c>
      <c r="AP109" t="s">
        <v>951</v>
      </c>
      <c r="AQ109" t="s">
        <v>74</v>
      </c>
      <c r="AR109" t="s">
        <v>74</v>
      </c>
      <c r="AS109" t="s">
        <v>74</v>
      </c>
      <c r="AT109" t="s">
        <v>967</v>
      </c>
      <c r="AU109">
        <v>2022</v>
      </c>
      <c r="AV109">
        <v>9</v>
      </c>
      <c r="AW109" t="s">
        <v>74</v>
      </c>
      <c r="AX109" t="s">
        <v>74</v>
      </c>
      <c r="AY109" t="s">
        <v>74</v>
      </c>
      <c r="AZ109" t="s">
        <v>74</v>
      </c>
      <c r="BA109" t="s">
        <v>74</v>
      </c>
      <c r="BB109" t="s">
        <v>74</v>
      </c>
      <c r="BC109" t="s">
        <v>74</v>
      </c>
      <c r="BD109">
        <v>914475</v>
      </c>
      <c r="BE109" t="s">
        <v>968</v>
      </c>
      <c r="BF109" t="str">
        <f>HYPERLINK("http://dx.doi.org/10.3389/fmars.2022.914475","http://dx.doi.org/10.3389/fmars.2022.914475")</f>
        <v>http://dx.doi.org/10.3389/fmars.2022.914475</v>
      </c>
      <c r="BG109" t="s">
        <v>74</v>
      </c>
      <c r="BH109" t="s">
        <v>74</v>
      </c>
      <c r="BI109" t="s">
        <v>74</v>
      </c>
      <c r="BJ109" t="s">
        <v>74</v>
      </c>
      <c r="BK109" t="s">
        <v>74</v>
      </c>
      <c r="BL109" t="s">
        <v>74</v>
      </c>
      <c r="BM109" t="s">
        <v>74</v>
      </c>
      <c r="BN109" t="s">
        <v>74</v>
      </c>
      <c r="BO109" t="s">
        <v>74</v>
      </c>
      <c r="BP109" t="s">
        <v>74</v>
      </c>
      <c r="BQ109" t="s">
        <v>74</v>
      </c>
      <c r="BR109" t="s">
        <v>74</v>
      </c>
      <c r="BS109" t="s">
        <v>969</v>
      </c>
      <c r="BT109" t="str">
        <f>HYPERLINK("https%3A%2F%2Fwww.webofscience.com%2Fwos%2Fwoscc%2Ffull-record%2FWOS:000874544500001","View Full Record in Web of Science")</f>
        <v>View Full Record in Web of Science</v>
      </c>
    </row>
    <row r="110" spans="1:72" x14ac:dyDescent="0.2">
      <c r="A110" t="s">
        <v>72</v>
      </c>
      <c r="B110" t="s">
        <v>970</v>
      </c>
      <c r="C110" t="s">
        <v>74</v>
      </c>
      <c r="D110" t="s">
        <v>74</v>
      </c>
      <c r="E110" t="s">
        <v>74</v>
      </c>
      <c r="F110" t="s">
        <v>971</v>
      </c>
      <c r="G110" t="s">
        <v>74</v>
      </c>
      <c r="H110" t="s">
        <v>74</v>
      </c>
      <c r="I110" t="s">
        <v>972</v>
      </c>
      <c r="J110" t="s">
        <v>973</v>
      </c>
      <c r="K110" t="s">
        <v>74</v>
      </c>
      <c r="L110" t="s">
        <v>74</v>
      </c>
      <c r="M110" t="s">
        <v>74</v>
      </c>
      <c r="N110" t="s">
        <v>74</v>
      </c>
      <c r="O110" t="s">
        <v>74</v>
      </c>
      <c r="P110" t="s">
        <v>74</v>
      </c>
      <c r="Q110" t="s">
        <v>74</v>
      </c>
      <c r="R110" t="s">
        <v>74</v>
      </c>
      <c r="S110" t="s">
        <v>74</v>
      </c>
      <c r="T110" t="s">
        <v>74</v>
      </c>
      <c r="U110" t="s">
        <v>74</v>
      </c>
      <c r="V110" t="s">
        <v>74</v>
      </c>
      <c r="W110" t="s">
        <v>74</v>
      </c>
      <c r="X110" t="s">
        <v>74</v>
      </c>
      <c r="Y110" t="s">
        <v>74</v>
      </c>
      <c r="Z110" t="s">
        <v>74</v>
      </c>
      <c r="AA110" t="s">
        <v>74</v>
      </c>
      <c r="AB110" t="s">
        <v>6820</v>
      </c>
      <c r="AC110" t="s">
        <v>74</v>
      </c>
      <c r="AD110" t="s">
        <v>74</v>
      </c>
      <c r="AE110" t="s">
        <v>74</v>
      </c>
      <c r="AF110" t="s">
        <v>74</v>
      </c>
      <c r="AG110" t="s">
        <v>74</v>
      </c>
      <c r="AH110" t="s">
        <v>74</v>
      </c>
      <c r="AI110" t="s">
        <v>74</v>
      </c>
      <c r="AJ110" t="s">
        <v>74</v>
      </c>
      <c r="AK110" t="s">
        <v>74</v>
      </c>
      <c r="AL110" t="s">
        <v>74</v>
      </c>
      <c r="AM110" t="s">
        <v>74</v>
      </c>
      <c r="AN110" t="s">
        <v>74</v>
      </c>
      <c r="AO110" t="s">
        <v>974</v>
      </c>
      <c r="AP110" t="s">
        <v>975</v>
      </c>
      <c r="AQ110" t="s">
        <v>74</v>
      </c>
      <c r="AR110" t="s">
        <v>74</v>
      </c>
      <c r="AS110" t="s">
        <v>74</v>
      </c>
      <c r="AT110" t="s">
        <v>976</v>
      </c>
      <c r="AU110">
        <v>2022</v>
      </c>
      <c r="AV110">
        <v>277</v>
      </c>
      <c r="AW110" t="s">
        <v>74</v>
      </c>
      <c r="AX110" t="s">
        <v>74</v>
      </c>
      <c r="AY110" t="s">
        <v>74</v>
      </c>
      <c r="AZ110" t="s">
        <v>74</v>
      </c>
      <c r="BA110" t="s">
        <v>74</v>
      </c>
      <c r="BB110" t="s">
        <v>74</v>
      </c>
      <c r="BC110" t="s">
        <v>74</v>
      </c>
      <c r="BD110">
        <v>108059</v>
      </c>
      <c r="BE110" t="s">
        <v>977</v>
      </c>
      <c r="BF110" t="str">
        <f>HYPERLINK("http://dx.doi.org/10.1016/j.ecss.2022.108059","http://dx.doi.org/10.1016/j.ecss.2022.108059")</f>
        <v>http://dx.doi.org/10.1016/j.ecss.2022.108059</v>
      </c>
      <c r="BG110" t="s">
        <v>74</v>
      </c>
      <c r="BH110" t="s">
        <v>978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 t="s">
        <v>74</v>
      </c>
      <c r="BO110" t="s">
        <v>74</v>
      </c>
      <c r="BP110" t="s">
        <v>74</v>
      </c>
      <c r="BQ110" t="s">
        <v>74</v>
      </c>
      <c r="BR110" t="s">
        <v>74</v>
      </c>
      <c r="BS110" t="s">
        <v>979</v>
      </c>
      <c r="BT110" t="str">
        <f>HYPERLINK("https%3A%2F%2Fwww.webofscience.com%2Fwos%2Fwoscc%2Ffull-record%2FWOS:000868688900003","View Full Record in Web of Science")</f>
        <v>View Full Record in Web of Science</v>
      </c>
    </row>
    <row r="111" spans="1:72" x14ac:dyDescent="0.2">
      <c r="A111" t="s">
        <v>72</v>
      </c>
      <c r="B111" t="s">
        <v>980</v>
      </c>
      <c r="C111" t="s">
        <v>74</v>
      </c>
      <c r="D111" t="s">
        <v>74</v>
      </c>
      <c r="E111" t="s">
        <v>74</v>
      </c>
      <c r="F111" t="s">
        <v>981</v>
      </c>
      <c r="G111" t="s">
        <v>74</v>
      </c>
      <c r="H111" t="s">
        <v>74</v>
      </c>
      <c r="I111" t="s">
        <v>982</v>
      </c>
      <c r="J111" t="s">
        <v>227</v>
      </c>
      <c r="K111" t="s">
        <v>74</v>
      </c>
      <c r="L111" t="s">
        <v>74</v>
      </c>
      <c r="M111" t="s">
        <v>74</v>
      </c>
      <c r="N111" t="s">
        <v>74</v>
      </c>
      <c r="O111" t="s">
        <v>74</v>
      </c>
      <c r="P111" t="s">
        <v>74</v>
      </c>
      <c r="Q111" t="s">
        <v>74</v>
      </c>
      <c r="R111" t="s">
        <v>74</v>
      </c>
      <c r="S111" t="s">
        <v>74</v>
      </c>
      <c r="T111" t="s">
        <v>74</v>
      </c>
      <c r="U111" t="s">
        <v>74</v>
      </c>
      <c r="V111" t="s">
        <v>74</v>
      </c>
      <c r="W111" t="s">
        <v>74</v>
      </c>
      <c r="X111" t="s">
        <v>74</v>
      </c>
      <c r="Y111" t="s">
        <v>74</v>
      </c>
      <c r="Z111" t="s">
        <v>74</v>
      </c>
      <c r="AA111" t="s">
        <v>983</v>
      </c>
      <c r="AB111" t="s">
        <v>6821</v>
      </c>
      <c r="AC111" t="s">
        <v>74</v>
      </c>
      <c r="AD111" t="s">
        <v>74</v>
      </c>
      <c r="AE111" t="s">
        <v>74</v>
      </c>
      <c r="AF111" t="s">
        <v>74</v>
      </c>
      <c r="AG111" t="s">
        <v>74</v>
      </c>
      <c r="AH111" t="s">
        <v>74</v>
      </c>
      <c r="AI111" t="s">
        <v>74</v>
      </c>
      <c r="AJ111" t="s">
        <v>74</v>
      </c>
      <c r="AK111" t="s">
        <v>74</v>
      </c>
      <c r="AL111" t="s">
        <v>74</v>
      </c>
      <c r="AM111" t="s">
        <v>74</v>
      </c>
      <c r="AN111" t="s">
        <v>74</v>
      </c>
      <c r="AO111" t="s">
        <v>230</v>
      </c>
      <c r="AP111" t="s">
        <v>231</v>
      </c>
      <c r="AQ111" t="s">
        <v>74</v>
      </c>
      <c r="AR111" t="s">
        <v>74</v>
      </c>
      <c r="AS111" t="s">
        <v>74</v>
      </c>
      <c r="AT111" t="s">
        <v>82</v>
      </c>
      <c r="AU111">
        <v>2022</v>
      </c>
      <c r="AV111">
        <v>67</v>
      </c>
      <c r="AW111">
        <v>12</v>
      </c>
      <c r="AX111" t="s">
        <v>74</v>
      </c>
      <c r="AY111" t="s">
        <v>74</v>
      </c>
      <c r="AZ111" t="s">
        <v>74</v>
      </c>
      <c r="BA111" t="s">
        <v>74</v>
      </c>
      <c r="BB111">
        <v>2718</v>
      </c>
      <c r="BC111">
        <v>2733</v>
      </c>
      <c r="BD111" t="s">
        <v>74</v>
      </c>
      <c r="BE111" t="s">
        <v>984</v>
      </c>
      <c r="BF111" t="str">
        <f>HYPERLINK("http://dx.doi.org/10.1002/lno.12233","http://dx.doi.org/10.1002/lno.12233")</f>
        <v>http://dx.doi.org/10.1002/lno.12233</v>
      </c>
      <c r="BG111" t="s">
        <v>74</v>
      </c>
      <c r="BH111" t="s">
        <v>978</v>
      </c>
      <c r="BI111" t="s">
        <v>74</v>
      </c>
      <c r="BJ111" t="s">
        <v>74</v>
      </c>
      <c r="BK111" t="s">
        <v>74</v>
      </c>
      <c r="BL111" t="s">
        <v>74</v>
      </c>
      <c r="BM111" t="s">
        <v>74</v>
      </c>
      <c r="BN111">
        <v>37064594</v>
      </c>
      <c r="BO111" t="s">
        <v>74</v>
      </c>
      <c r="BP111" t="s">
        <v>74</v>
      </c>
      <c r="BQ111" t="s">
        <v>74</v>
      </c>
      <c r="BR111" t="s">
        <v>74</v>
      </c>
      <c r="BS111" t="s">
        <v>985</v>
      </c>
      <c r="BT111" t="str">
        <f>HYPERLINK("https%3A%2F%2Fwww.webofscience.com%2Fwos%2Fwoscc%2Ffull-record%2FWOS:000860423100001","View Full Record in Web of Science")</f>
        <v>View Full Record in Web of Science</v>
      </c>
    </row>
    <row r="112" spans="1:72" x14ac:dyDescent="0.2">
      <c r="A112" t="s">
        <v>72</v>
      </c>
      <c r="B112" t="s">
        <v>986</v>
      </c>
      <c r="C112" t="s">
        <v>74</v>
      </c>
      <c r="D112" t="s">
        <v>74</v>
      </c>
      <c r="E112" t="s">
        <v>74</v>
      </c>
      <c r="F112" t="s">
        <v>987</v>
      </c>
      <c r="G112" t="s">
        <v>74</v>
      </c>
      <c r="H112" t="s">
        <v>74</v>
      </c>
      <c r="I112" t="s">
        <v>988</v>
      </c>
      <c r="J112" t="s">
        <v>989</v>
      </c>
      <c r="K112" t="s">
        <v>74</v>
      </c>
      <c r="L112" t="s">
        <v>74</v>
      </c>
      <c r="M112" t="s">
        <v>74</v>
      </c>
      <c r="N112" t="s">
        <v>74</v>
      </c>
      <c r="O112" t="s">
        <v>74</v>
      </c>
      <c r="P112" t="s">
        <v>74</v>
      </c>
      <c r="Q112" t="s">
        <v>74</v>
      </c>
      <c r="R112" t="s">
        <v>74</v>
      </c>
      <c r="S112" t="s">
        <v>74</v>
      </c>
      <c r="T112" t="s">
        <v>74</v>
      </c>
      <c r="U112" t="s">
        <v>74</v>
      </c>
      <c r="V112" t="s">
        <v>74</v>
      </c>
      <c r="W112" t="s">
        <v>74</v>
      </c>
      <c r="X112" t="s">
        <v>74</v>
      </c>
      <c r="Y112" t="s">
        <v>74</v>
      </c>
      <c r="Z112" t="s">
        <v>74</v>
      </c>
      <c r="AA112" t="s">
        <v>990</v>
      </c>
      <c r="AB112" t="s">
        <v>991</v>
      </c>
      <c r="AC112" t="s">
        <v>74</v>
      </c>
      <c r="AD112" t="s">
        <v>74</v>
      </c>
      <c r="AE112" t="s">
        <v>74</v>
      </c>
      <c r="AF112" t="s">
        <v>74</v>
      </c>
      <c r="AG112" t="s">
        <v>74</v>
      </c>
      <c r="AH112" t="s">
        <v>74</v>
      </c>
      <c r="AI112" t="s">
        <v>74</v>
      </c>
      <c r="AJ112" t="s">
        <v>74</v>
      </c>
      <c r="AK112" t="s">
        <v>74</v>
      </c>
      <c r="AL112" t="s">
        <v>74</v>
      </c>
      <c r="AM112" t="s">
        <v>74</v>
      </c>
      <c r="AN112" t="s">
        <v>74</v>
      </c>
      <c r="AO112" t="s">
        <v>992</v>
      </c>
      <c r="AP112" t="s">
        <v>993</v>
      </c>
      <c r="AQ112" t="s">
        <v>74</v>
      </c>
      <c r="AR112" t="s">
        <v>74</v>
      </c>
      <c r="AS112" t="s">
        <v>74</v>
      </c>
      <c r="AT112" t="s">
        <v>82</v>
      </c>
      <c r="AU112">
        <v>2022</v>
      </c>
      <c r="AV112">
        <v>183</v>
      </c>
      <c r="AW112" t="s">
        <v>74</v>
      </c>
      <c r="AX112" t="s">
        <v>74</v>
      </c>
      <c r="AY112" t="s">
        <v>74</v>
      </c>
      <c r="AZ112" t="s">
        <v>74</v>
      </c>
      <c r="BA112" t="s">
        <v>74</v>
      </c>
      <c r="BB112" t="s">
        <v>74</v>
      </c>
      <c r="BC112" t="s">
        <v>74</v>
      </c>
      <c r="BD112">
        <v>103571</v>
      </c>
      <c r="BE112" t="s">
        <v>994</v>
      </c>
      <c r="BF112" t="str">
        <f>HYPERLINK("http://dx.doi.org/10.1016/j.aquabot.2022.103571","http://dx.doi.org/10.1016/j.aquabot.2022.103571")</f>
        <v>http://dx.doi.org/10.1016/j.aquabot.2022.103571</v>
      </c>
      <c r="BG112" t="s">
        <v>74</v>
      </c>
      <c r="BH112" t="s">
        <v>978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>
        <v>36466371</v>
      </c>
      <c r="BO112" t="s">
        <v>74</v>
      </c>
      <c r="BP112" t="s">
        <v>74</v>
      </c>
      <c r="BQ112" t="s">
        <v>74</v>
      </c>
      <c r="BR112" t="s">
        <v>74</v>
      </c>
      <c r="BS112" t="s">
        <v>995</v>
      </c>
      <c r="BT112" t="str">
        <f>HYPERLINK("https%3A%2F%2Fwww.webofscience.com%2Fwos%2Fwoscc%2Ffull-record%2FWOS:000984278900001","View Full Record in Web of Science")</f>
        <v>View Full Record in Web of Science</v>
      </c>
    </row>
    <row r="113" spans="1:72" x14ac:dyDescent="0.2">
      <c r="A113" t="s">
        <v>72</v>
      </c>
      <c r="B113" t="s">
        <v>996</v>
      </c>
      <c r="C113" t="s">
        <v>74</v>
      </c>
      <c r="D113" t="s">
        <v>74</v>
      </c>
      <c r="E113" t="s">
        <v>74</v>
      </c>
      <c r="F113" t="s">
        <v>997</v>
      </c>
      <c r="G113" t="s">
        <v>74</v>
      </c>
      <c r="H113" t="s">
        <v>74</v>
      </c>
      <c r="I113" t="s">
        <v>998</v>
      </c>
      <c r="J113" t="s">
        <v>145</v>
      </c>
      <c r="K113" t="s">
        <v>74</v>
      </c>
      <c r="L113" t="s">
        <v>74</v>
      </c>
      <c r="M113" t="s">
        <v>74</v>
      </c>
      <c r="N113" t="s">
        <v>74</v>
      </c>
      <c r="O113" t="s">
        <v>74</v>
      </c>
      <c r="P113" t="s">
        <v>74</v>
      </c>
      <c r="Q113" t="s">
        <v>74</v>
      </c>
      <c r="R113" t="s">
        <v>74</v>
      </c>
      <c r="S113" t="s">
        <v>74</v>
      </c>
      <c r="T113" t="s">
        <v>74</v>
      </c>
      <c r="U113" t="s">
        <v>74</v>
      </c>
      <c r="V113" t="s">
        <v>74</v>
      </c>
      <c r="W113" t="s">
        <v>74</v>
      </c>
      <c r="X113" t="s">
        <v>74</v>
      </c>
      <c r="Y113" t="s">
        <v>74</v>
      </c>
      <c r="Z113" t="s">
        <v>74</v>
      </c>
      <c r="AA113" t="s">
        <v>999</v>
      </c>
      <c r="AB113" t="s">
        <v>1000</v>
      </c>
      <c r="AC113" t="s">
        <v>74</v>
      </c>
      <c r="AD113" t="s">
        <v>74</v>
      </c>
      <c r="AE113" t="s">
        <v>74</v>
      </c>
      <c r="AF113" t="s">
        <v>74</v>
      </c>
      <c r="AG113" t="s">
        <v>74</v>
      </c>
      <c r="AH113" t="s">
        <v>74</v>
      </c>
      <c r="AI113" t="s">
        <v>74</v>
      </c>
      <c r="AJ113" t="s">
        <v>74</v>
      </c>
      <c r="AK113" t="s">
        <v>74</v>
      </c>
      <c r="AL113" t="s">
        <v>74</v>
      </c>
      <c r="AM113" t="s">
        <v>74</v>
      </c>
      <c r="AN113" t="s">
        <v>74</v>
      </c>
      <c r="AO113" t="s">
        <v>146</v>
      </c>
      <c r="AP113" t="s">
        <v>147</v>
      </c>
      <c r="AQ113" t="s">
        <v>74</v>
      </c>
      <c r="AR113" t="s">
        <v>74</v>
      </c>
      <c r="AS113" t="s">
        <v>74</v>
      </c>
      <c r="AT113" t="s">
        <v>812</v>
      </c>
      <c r="AU113">
        <v>2023</v>
      </c>
      <c r="AV113">
        <v>854</v>
      </c>
      <c r="AW113" t="s">
        <v>74</v>
      </c>
      <c r="AX113" t="s">
        <v>74</v>
      </c>
      <c r="AY113" t="s">
        <v>74</v>
      </c>
      <c r="AZ113" t="s">
        <v>74</v>
      </c>
      <c r="BA113" t="s">
        <v>74</v>
      </c>
      <c r="BB113" t="s">
        <v>74</v>
      </c>
      <c r="BC113" t="s">
        <v>74</v>
      </c>
      <c r="BD113">
        <v>158763</v>
      </c>
      <c r="BE113" t="s">
        <v>1001</v>
      </c>
      <c r="BF113" t="str">
        <f>HYPERLINK("http://dx.doi.org/10.1016/j.scitotenv.2022.158763","http://dx.doi.org/10.1016/j.scitotenv.2022.158763")</f>
        <v>http://dx.doi.org/10.1016/j.scitotenv.2022.158763</v>
      </c>
      <c r="BG113" t="s">
        <v>74</v>
      </c>
      <c r="BH113" t="s">
        <v>978</v>
      </c>
      <c r="BI113" t="s">
        <v>74</v>
      </c>
      <c r="BJ113" t="s">
        <v>74</v>
      </c>
      <c r="BK113" t="s">
        <v>74</v>
      </c>
      <c r="BL113" t="s">
        <v>74</v>
      </c>
      <c r="BM113" t="s">
        <v>74</v>
      </c>
      <c r="BN113">
        <v>36115406</v>
      </c>
      <c r="BO113" t="s">
        <v>74</v>
      </c>
      <c r="BP113" t="s">
        <v>74</v>
      </c>
      <c r="BQ113" t="s">
        <v>74</v>
      </c>
      <c r="BR113" t="s">
        <v>74</v>
      </c>
      <c r="BS113" t="s">
        <v>1002</v>
      </c>
      <c r="BT113" t="str">
        <f>HYPERLINK("https%3A%2F%2Fwww.webofscience.com%2Fwos%2Fwoscc%2Ffull-record%2FWOS:000877216600002","View Full Record in Web of Science")</f>
        <v>View Full Record in Web of Science</v>
      </c>
    </row>
    <row r="114" spans="1:72" x14ac:dyDescent="0.2">
      <c r="A114" t="s">
        <v>72</v>
      </c>
      <c r="B114" t="s">
        <v>1003</v>
      </c>
      <c r="C114" t="s">
        <v>74</v>
      </c>
      <c r="D114" t="s">
        <v>74</v>
      </c>
      <c r="E114" t="s">
        <v>74</v>
      </c>
      <c r="F114" t="s">
        <v>1004</v>
      </c>
      <c r="G114" t="s">
        <v>74</v>
      </c>
      <c r="H114" t="s">
        <v>74</v>
      </c>
      <c r="I114" t="s">
        <v>1005</v>
      </c>
      <c r="J114" t="s">
        <v>171</v>
      </c>
      <c r="K114" t="s">
        <v>74</v>
      </c>
      <c r="L114" t="s">
        <v>74</v>
      </c>
      <c r="M114" t="s">
        <v>74</v>
      </c>
      <c r="N114" t="s">
        <v>74</v>
      </c>
      <c r="O114" t="s">
        <v>74</v>
      </c>
      <c r="P114" t="s">
        <v>74</v>
      </c>
      <c r="Q114" t="s">
        <v>74</v>
      </c>
      <c r="R114" t="s">
        <v>74</v>
      </c>
      <c r="S114" t="s">
        <v>74</v>
      </c>
      <c r="T114" t="s">
        <v>74</v>
      </c>
      <c r="U114" t="s">
        <v>74</v>
      </c>
      <c r="V114" t="s">
        <v>74</v>
      </c>
      <c r="W114" t="s">
        <v>74</v>
      </c>
      <c r="X114" t="s">
        <v>74</v>
      </c>
      <c r="Y114" t="s">
        <v>74</v>
      </c>
      <c r="Z114" t="s">
        <v>74</v>
      </c>
      <c r="AA114" t="s">
        <v>74</v>
      </c>
      <c r="AB114" t="s">
        <v>1006</v>
      </c>
      <c r="AC114" t="s">
        <v>74</v>
      </c>
      <c r="AD114" t="s">
        <v>74</v>
      </c>
      <c r="AE114" t="s">
        <v>74</v>
      </c>
      <c r="AF114" t="s">
        <v>74</v>
      </c>
      <c r="AG114" t="s">
        <v>74</v>
      </c>
      <c r="AH114" t="s">
        <v>74</v>
      </c>
      <c r="AI114" t="s">
        <v>74</v>
      </c>
      <c r="AJ114" t="s">
        <v>74</v>
      </c>
      <c r="AK114" t="s">
        <v>74</v>
      </c>
      <c r="AL114" t="s">
        <v>74</v>
      </c>
      <c r="AM114" t="s">
        <v>74</v>
      </c>
      <c r="AN114" t="s">
        <v>74</v>
      </c>
      <c r="AO114" t="s">
        <v>172</v>
      </c>
      <c r="AP114" t="s">
        <v>173</v>
      </c>
      <c r="AQ114" t="s">
        <v>74</v>
      </c>
      <c r="AR114" t="s">
        <v>74</v>
      </c>
      <c r="AS114" t="s">
        <v>74</v>
      </c>
      <c r="AT114" t="s">
        <v>1007</v>
      </c>
      <c r="AU114">
        <v>2022</v>
      </c>
      <c r="AV114">
        <v>224</v>
      </c>
      <c r="AW114" t="s">
        <v>74</v>
      </c>
      <c r="AX114" t="s">
        <v>74</v>
      </c>
      <c r="AY114" t="s">
        <v>74</v>
      </c>
      <c r="AZ114" t="s">
        <v>74</v>
      </c>
      <c r="BA114" t="s">
        <v>74</v>
      </c>
      <c r="BB114" t="s">
        <v>74</v>
      </c>
      <c r="BC114" t="s">
        <v>74</v>
      </c>
      <c r="BD114">
        <v>119075</v>
      </c>
      <c r="BE114" t="s">
        <v>1008</v>
      </c>
      <c r="BF114" t="str">
        <f>HYPERLINK("http://dx.doi.org/10.1016/j.watres.2022.119075","http://dx.doi.org/10.1016/j.watres.2022.119075")</f>
        <v>http://dx.doi.org/10.1016/j.watres.2022.119075</v>
      </c>
      <c r="BG114" t="s">
        <v>74</v>
      </c>
      <c r="BH114" t="s">
        <v>978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>
        <v>36116191</v>
      </c>
      <c r="BO114" t="s">
        <v>74</v>
      </c>
      <c r="BP114" t="s">
        <v>74</v>
      </c>
      <c r="BQ114" t="s">
        <v>74</v>
      </c>
      <c r="BR114" t="s">
        <v>74</v>
      </c>
      <c r="BS114" t="s">
        <v>1009</v>
      </c>
      <c r="BT114" t="str">
        <f>HYPERLINK("https%3A%2F%2Fwww.webofscience.com%2Fwos%2Fwoscc%2Ffull-record%2FWOS:000861750600003","View Full Record in Web of Science")</f>
        <v>View Full Record in Web of Science</v>
      </c>
    </row>
    <row r="115" spans="1:72" x14ac:dyDescent="0.2">
      <c r="A115" t="s">
        <v>72</v>
      </c>
      <c r="B115" t="s">
        <v>1010</v>
      </c>
      <c r="C115" t="s">
        <v>74</v>
      </c>
      <c r="D115" t="s">
        <v>74</v>
      </c>
      <c r="E115" t="s">
        <v>74</v>
      </c>
      <c r="F115" t="s">
        <v>1011</v>
      </c>
      <c r="G115" t="s">
        <v>74</v>
      </c>
      <c r="H115" t="s">
        <v>74</v>
      </c>
      <c r="I115" t="s">
        <v>1012</v>
      </c>
      <c r="J115" t="s">
        <v>381</v>
      </c>
      <c r="K115" t="s">
        <v>74</v>
      </c>
      <c r="L115" t="s">
        <v>74</v>
      </c>
      <c r="M115" t="s">
        <v>74</v>
      </c>
      <c r="N115" t="s">
        <v>74</v>
      </c>
      <c r="O115" t="s">
        <v>74</v>
      </c>
      <c r="P115" t="s">
        <v>74</v>
      </c>
      <c r="Q115" t="s">
        <v>74</v>
      </c>
      <c r="R115" t="s">
        <v>74</v>
      </c>
      <c r="S115" t="s">
        <v>74</v>
      </c>
      <c r="T115" t="s">
        <v>74</v>
      </c>
      <c r="U115" t="s">
        <v>74</v>
      </c>
      <c r="V115" t="s">
        <v>74</v>
      </c>
      <c r="W115" t="s">
        <v>74</v>
      </c>
      <c r="X115" t="s">
        <v>74</v>
      </c>
      <c r="Y115" t="s">
        <v>74</v>
      </c>
      <c r="Z115" t="s">
        <v>74</v>
      </c>
      <c r="AA115" t="s">
        <v>1013</v>
      </c>
      <c r="AB115" t="s">
        <v>1014</v>
      </c>
      <c r="AC115" t="s">
        <v>74</v>
      </c>
      <c r="AD115" t="s">
        <v>74</v>
      </c>
      <c r="AE115" t="s">
        <v>74</v>
      </c>
      <c r="AF115" t="s">
        <v>74</v>
      </c>
      <c r="AG115" t="s">
        <v>74</v>
      </c>
      <c r="AH115" t="s">
        <v>74</v>
      </c>
      <c r="AI115" t="s">
        <v>74</v>
      </c>
      <c r="AJ115" t="s">
        <v>74</v>
      </c>
      <c r="AK115" t="s">
        <v>74</v>
      </c>
      <c r="AL115" t="s">
        <v>74</v>
      </c>
      <c r="AM115" t="s">
        <v>74</v>
      </c>
      <c r="AN115" t="s">
        <v>74</v>
      </c>
      <c r="AO115" t="s">
        <v>383</v>
      </c>
      <c r="AP115" t="s">
        <v>384</v>
      </c>
      <c r="AQ115" t="s">
        <v>74</v>
      </c>
      <c r="AR115" t="s">
        <v>74</v>
      </c>
      <c r="AS115" t="s">
        <v>74</v>
      </c>
      <c r="AT115" t="s">
        <v>1015</v>
      </c>
      <c r="AU115">
        <v>2022</v>
      </c>
      <c r="AV115">
        <v>313</v>
      </c>
      <c r="AW115" t="s">
        <v>74</v>
      </c>
      <c r="AX115" t="s">
        <v>74</v>
      </c>
      <c r="AY115" t="s">
        <v>74</v>
      </c>
      <c r="AZ115" t="s">
        <v>74</v>
      </c>
      <c r="BA115" t="s">
        <v>74</v>
      </c>
      <c r="BB115" t="s">
        <v>74</v>
      </c>
      <c r="BC115" t="s">
        <v>74</v>
      </c>
      <c r="BD115">
        <v>120127</v>
      </c>
      <c r="BE115" t="s">
        <v>1016</v>
      </c>
      <c r="BF115" t="str">
        <f>HYPERLINK("http://dx.doi.org/10.1016/j.envpol.2022.120127","http://dx.doi.org/10.1016/j.envpol.2022.120127")</f>
        <v>http://dx.doi.org/10.1016/j.envpol.2022.120127</v>
      </c>
      <c r="BG115" t="s">
        <v>74</v>
      </c>
      <c r="BH115" t="s">
        <v>978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>
        <v>36089138</v>
      </c>
      <c r="BO115" t="s">
        <v>74</v>
      </c>
      <c r="BP115" t="s">
        <v>74</v>
      </c>
      <c r="BQ115" t="s">
        <v>74</v>
      </c>
      <c r="BR115" t="s">
        <v>74</v>
      </c>
      <c r="BS115" t="s">
        <v>1017</v>
      </c>
      <c r="BT115" t="str">
        <f>HYPERLINK("https%3A%2F%2Fwww.webofscience.com%2Fwos%2Fwoscc%2Ffull-record%2FWOS:000858736100004","View Full Record in Web of Science")</f>
        <v>View Full Record in Web of Science</v>
      </c>
    </row>
    <row r="116" spans="1:72" x14ac:dyDescent="0.2">
      <c r="A116" t="s">
        <v>72</v>
      </c>
      <c r="B116" t="s">
        <v>1018</v>
      </c>
      <c r="C116" t="s">
        <v>74</v>
      </c>
      <c r="D116" t="s">
        <v>74</v>
      </c>
      <c r="E116" t="s">
        <v>74</v>
      </c>
      <c r="F116" t="s">
        <v>1019</v>
      </c>
      <c r="G116" t="s">
        <v>74</v>
      </c>
      <c r="H116" t="s">
        <v>74</v>
      </c>
      <c r="I116" t="s">
        <v>1020</v>
      </c>
      <c r="J116" t="s">
        <v>106</v>
      </c>
      <c r="K116" t="s">
        <v>74</v>
      </c>
      <c r="L116" t="s">
        <v>74</v>
      </c>
      <c r="M116" t="s">
        <v>74</v>
      </c>
      <c r="N116" t="s">
        <v>74</v>
      </c>
      <c r="O116" t="s">
        <v>74</v>
      </c>
      <c r="P116" t="s">
        <v>74</v>
      </c>
      <c r="Q116" t="s">
        <v>74</v>
      </c>
      <c r="R116" t="s">
        <v>74</v>
      </c>
      <c r="S116" t="s">
        <v>74</v>
      </c>
      <c r="T116" t="s">
        <v>74</v>
      </c>
      <c r="U116" t="s">
        <v>74</v>
      </c>
      <c r="V116" t="s">
        <v>74</v>
      </c>
      <c r="W116" t="s">
        <v>74</v>
      </c>
      <c r="X116" t="s">
        <v>74</v>
      </c>
      <c r="Y116" t="s">
        <v>74</v>
      </c>
      <c r="Z116" t="s">
        <v>74</v>
      </c>
      <c r="AA116" t="s">
        <v>6822</v>
      </c>
      <c r="AB116" t="s">
        <v>1021</v>
      </c>
      <c r="AC116" t="s">
        <v>74</v>
      </c>
      <c r="AD116" t="s">
        <v>74</v>
      </c>
      <c r="AE116" t="s">
        <v>74</v>
      </c>
      <c r="AF116" t="s">
        <v>74</v>
      </c>
      <c r="AG116" t="s">
        <v>74</v>
      </c>
      <c r="AH116" t="s">
        <v>74</v>
      </c>
      <c r="AI116" t="s">
        <v>74</v>
      </c>
      <c r="AJ116" t="s">
        <v>74</v>
      </c>
      <c r="AK116" t="s">
        <v>74</v>
      </c>
      <c r="AL116" t="s">
        <v>74</v>
      </c>
      <c r="AM116" t="s">
        <v>74</v>
      </c>
      <c r="AN116" t="s">
        <v>74</v>
      </c>
      <c r="AO116" t="s">
        <v>107</v>
      </c>
      <c r="AP116" t="s">
        <v>108</v>
      </c>
      <c r="AQ116" t="s">
        <v>74</v>
      </c>
      <c r="AR116" t="s">
        <v>74</v>
      </c>
      <c r="AS116" t="s">
        <v>74</v>
      </c>
      <c r="AT116" t="s">
        <v>1022</v>
      </c>
      <c r="AU116">
        <v>2022</v>
      </c>
      <c r="AV116">
        <v>44</v>
      </c>
      <c r="AW116">
        <v>6</v>
      </c>
      <c r="AX116" t="s">
        <v>74</v>
      </c>
      <c r="AY116" t="s">
        <v>74</v>
      </c>
      <c r="AZ116" t="s">
        <v>74</v>
      </c>
      <c r="BA116" t="s">
        <v>74</v>
      </c>
      <c r="BB116">
        <v>959</v>
      </c>
      <c r="BC116">
        <v>972</v>
      </c>
      <c r="BD116" t="s">
        <v>74</v>
      </c>
      <c r="BE116" t="s">
        <v>1023</v>
      </c>
      <c r="BF116" t="str">
        <f>HYPERLINK("http://dx.doi.org/10.1093/plankt/fbac049","http://dx.doi.org/10.1093/plankt/fbac049")</f>
        <v>http://dx.doi.org/10.1093/plankt/fbac049</v>
      </c>
      <c r="BG116" t="s">
        <v>74</v>
      </c>
      <c r="BH116" t="s">
        <v>978</v>
      </c>
      <c r="BI116" t="s">
        <v>74</v>
      </c>
      <c r="BJ116" t="s">
        <v>74</v>
      </c>
      <c r="BK116" t="s">
        <v>74</v>
      </c>
      <c r="BL116" t="s">
        <v>74</v>
      </c>
      <c r="BM116" t="s">
        <v>74</v>
      </c>
      <c r="BN116">
        <v>36447777</v>
      </c>
      <c r="BO116" t="s">
        <v>74</v>
      </c>
      <c r="BP116" t="s">
        <v>74</v>
      </c>
      <c r="BQ116" t="s">
        <v>74</v>
      </c>
      <c r="BR116" t="s">
        <v>74</v>
      </c>
      <c r="BS116" t="s">
        <v>1024</v>
      </c>
      <c r="BT116" t="str">
        <f>HYPERLINK("https%3A%2F%2Fwww.webofscience.com%2Fwos%2Fwoscc%2Ffull-record%2FWOS:000852360000001","View Full Record in Web of Science")</f>
        <v>View Full Record in Web of Science</v>
      </c>
    </row>
    <row r="117" spans="1:72" x14ac:dyDescent="0.2">
      <c r="A117" t="s">
        <v>72</v>
      </c>
      <c r="B117" t="s">
        <v>1025</v>
      </c>
      <c r="C117" t="s">
        <v>74</v>
      </c>
      <c r="D117" t="s">
        <v>74</v>
      </c>
      <c r="E117" t="s">
        <v>74</v>
      </c>
      <c r="F117" t="s">
        <v>1026</v>
      </c>
      <c r="G117" t="s">
        <v>74</v>
      </c>
      <c r="H117" t="s">
        <v>74</v>
      </c>
      <c r="I117" t="s">
        <v>1027</v>
      </c>
      <c r="J117" t="s">
        <v>423</v>
      </c>
      <c r="K117" t="s">
        <v>74</v>
      </c>
      <c r="L117" t="s">
        <v>74</v>
      </c>
      <c r="M117" t="s">
        <v>74</v>
      </c>
      <c r="N117" t="s">
        <v>74</v>
      </c>
      <c r="O117" t="s">
        <v>74</v>
      </c>
      <c r="P117" t="s">
        <v>74</v>
      </c>
      <c r="Q117" t="s">
        <v>74</v>
      </c>
      <c r="R117" t="s">
        <v>74</v>
      </c>
      <c r="S117" t="s">
        <v>74</v>
      </c>
      <c r="T117" t="s">
        <v>74</v>
      </c>
      <c r="U117" t="s">
        <v>74</v>
      </c>
      <c r="V117" t="s">
        <v>74</v>
      </c>
      <c r="W117" t="s">
        <v>74</v>
      </c>
      <c r="X117" t="s">
        <v>74</v>
      </c>
      <c r="Y117" t="s">
        <v>74</v>
      </c>
      <c r="Z117" t="s">
        <v>74</v>
      </c>
      <c r="AA117" t="s">
        <v>6823</v>
      </c>
      <c r="AB117" t="s">
        <v>1028</v>
      </c>
      <c r="AC117" t="s">
        <v>74</v>
      </c>
      <c r="AD117" t="s">
        <v>74</v>
      </c>
      <c r="AE117" t="s">
        <v>74</v>
      </c>
      <c r="AF117" t="s">
        <v>74</v>
      </c>
      <c r="AG117" t="s">
        <v>74</v>
      </c>
      <c r="AH117" t="s">
        <v>74</v>
      </c>
      <c r="AI117" t="s">
        <v>74</v>
      </c>
      <c r="AJ117" t="s">
        <v>74</v>
      </c>
      <c r="AK117" t="s">
        <v>74</v>
      </c>
      <c r="AL117" t="s">
        <v>74</v>
      </c>
      <c r="AM117" t="s">
        <v>74</v>
      </c>
      <c r="AN117" t="s">
        <v>74</v>
      </c>
      <c r="AO117" t="s">
        <v>425</v>
      </c>
      <c r="AP117" t="s">
        <v>426</v>
      </c>
      <c r="AQ117" t="s">
        <v>74</v>
      </c>
      <c r="AR117" t="s">
        <v>74</v>
      </c>
      <c r="AS117" t="s">
        <v>74</v>
      </c>
      <c r="AT117" t="s">
        <v>335</v>
      </c>
      <c r="AU117">
        <v>2022</v>
      </c>
      <c r="AV117">
        <v>67</v>
      </c>
      <c r="AW117">
        <v>11</v>
      </c>
      <c r="AX117" t="s">
        <v>74</v>
      </c>
      <c r="AY117" t="s">
        <v>74</v>
      </c>
      <c r="AZ117" t="s">
        <v>74</v>
      </c>
      <c r="BA117" t="s">
        <v>74</v>
      </c>
      <c r="BB117">
        <v>1903</v>
      </c>
      <c r="BC117">
        <v>1924</v>
      </c>
      <c r="BD117" t="s">
        <v>74</v>
      </c>
      <c r="BE117" t="s">
        <v>1029</v>
      </c>
      <c r="BF117" t="str">
        <f>HYPERLINK("http://dx.doi.org/10.1111/fwb.13983","http://dx.doi.org/10.1111/fwb.13983")</f>
        <v>http://dx.doi.org/10.1111/fwb.13983</v>
      </c>
      <c r="BG117" t="s">
        <v>74</v>
      </c>
      <c r="BH117" t="s">
        <v>978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 t="s">
        <v>74</v>
      </c>
      <c r="BR117" t="s">
        <v>74</v>
      </c>
      <c r="BS117" t="s">
        <v>1030</v>
      </c>
      <c r="BT117" t="str">
        <f>HYPERLINK("https%3A%2F%2Fwww.webofscience.com%2Fwos%2Fwoscc%2Ffull-record%2FWOS:000849813100001","View Full Record in Web of Science")</f>
        <v>View Full Record in Web of Science</v>
      </c>
    </row>
    <row r="118" spans="1:72" x14ac:dyDescent="0.2">
      <c r="A118" t="s">
        <v>72</v>
      </c>
      <c r="B118" t="s">
        <v>1031</v>
      </c>
      <c r="C118" t="s">
        <v>74</v>
      </c>
      <c r="D118" t="s">
        <v>74</v>
      </c>
      <c r="E118" t="s">
        <v>74</v>
      </c>
      <c r="F118" t="s">
        <v>1032</v>
      </c>
      <c r="G118" t="s">
        <v>74</v>
      </c>
      <c r="H118" t="s">
        <v>74</v>
      </c>
      <c r="I118" t="s">
        <v>1033</v>
      </c>
      <c r="J118" t="s">
        <v>1034</v>
      </c>
      <c r="K118" t="s">
        <v>74</v>
      </c>
      <c r="L118" t="s">
        <v>74</v>
      </c>
      <c r="M118" t="s">
        <v>74</v>
      </c>
      <c r="N118" t="s">
        <v>74</v>
      </c>
      <c r="O118" t="s">
        <v>74</v>
      </c>
      <c r="P118" t="s">
        <v>74</v>
      </c>
      <c r="Q118" t="s">
        <v>74</v>
      </c>
      <c r="R118" t="s">
        <v>74</v>
      </c>
      <c r="S118" t="s">
        <v>74</v>
      </c>
      <c r="T118" t="s">
        <v>74</v>
      </c>
      <c r="U118" t="s">
        <v>74</v>
      </c>
      <c r="V118" t="s">
        <v>74</v>
      </c>
      <c r="W118" t="s">
        <v>74</v>
      </c>
      <c r="X118" t="s">
        <v>74</v>
      </c>
      <c r="Y118" t="s">
        <v>74</v>
      </c>
      <c r="Z118" t="s">
        <v>74</v>
      </c>
      <c r="AA118" t="s">
        <v>6824</v>
      </c>
      <c r="AB118" t="s">
        <v>74</v>
      </c>
      <c r="AC118" t="s">
        <v>74</v>
      </c>
      <c r="AD118" t="s">
        <v>74</v>
      </c>
      <c r="AE118" t="s">
        <v>74</v>
      </c>
      <c r="AF118" t="s">
        <v>74</v>
      </c>
      <c r="AG118" t="s">
        <v>74</v>
      </c>
      <c r="AH118" t="s">
        <v>74</v>
      </c>
      <c r="AI118" t="s">
        <v>74</v>
      </c>
      <c r="AJ118" t="s">
        <v>74</v>
      </c>
      <c r="AK118" t="s">
        <v>74</v>
      </c>
      <c r="AL118" t="s">
        <v>74</v>
      </c>
      <c r="AM118" t="s">
        <v>74</v>
      </c>
      <c r="AN118" t="s">
        <v>74</v>
      </c>
      <c r="AO118" t="s">
        <v>1035</v>
      </c>
      <c r="AP118" t="s">
        <v>1036</v>
      </c>
      <c r="AQ118" t="s">
        <v>74</v>
      </c>
      <c r="AR118" t="s">
        <v>74</v>
      </c>
      <c r="AS118" t="s">
        <v>74</v>
      </c>
      <c r="AT118" t="s">
        <v>1037</v>
      </c>
      <c r="AU118">
        <v>2023</v>
      </c>
      <c r="AV118">
        <v>441</v>
      </c>
      <c r="AW118" t="s">
        <v>74</v>
      </c>
      <c r="AX118" t="s">
        <v>74</v>
      </c>
      <c r="AY118" t="s">
        <v>74</v>
      </c>
      <c r="AZ118" t="s">
        <v>74</v>
      </c>
      <c r="BA118" t="s">
        <v>74</v>
      </c>
      <c r="BB118" t="s">
        <v>74</v>
      </c>
      <c r="BC118" t="s">
        <v>74</v>
      </c>
      <c r="BD118">
        <v>129869</v>
      </c>
      <c r="BE118" t="s">
        <v>1038</v>
      </c>
      <c r="BF118" t="str">
        <f>HYPERLINK("http://dx.doi.org/10.1016/j.jhazmat.2022.129869","http://dx.doi.org/10.1016/j.jhazmat.2022.129869")</f>
        <v>http://dx.doi.org/10.1016/j.jhazmat.2022.129869</v>
      </c>
      <c r="BG118" t="s">
        <v>74</v>
      </c>
      <c r="BH118" t="s">
        <v>978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>
        <v>36063709</v>
      </c>
      <c r="BO118" t="s">
        <v>74</v>
      </c>
      <c r="BP118" t="s">
        <v>74</v>
      </c>
      <c r="BQ118" t="s">
        <v>74</v>
      </c>
      <c r="BR118" t="s">
        <v>74</v>
      </c>
      <c r="BS118" t="s">
        <v>1039</v>
      </c>
      <c r="BT118" t="str">
        <f>HYPERLINK("https%3A%2F%2Fwww.webofscience.com%2Fwos%2Fwoscc%2Ffull-record%2FWOS:000863056300003","View Full Record in Web of Science")</f>
        <v>View Full Record in Web of Science</v>
      </c>
    </row>
    <row r="119" spans="1:72" x14ac:dyDescent="0.2">
      <c r="A119" t="s">
        <v>72</v>
      </c>
      <c r="B119" t="s">
        <v>1040</v>
      </c>
      <c r="C119" t="s">
        <v>74</v>
      </c>
      <c r="D119" t="s">
        <v>74</v>
      </c>
      <c r="E119" t="s">
        <v>74</v>
      </c>
      <c r="F119" t="s">
        <v>1041</v>
      </c>
      <c r="G119" t="s">
        <v>74</v>
      </c>
      <c r="H119" t="s">
        <v>74</v>
      </c>
      <c r="I119" t="s">
        <v>1042</v>
      </c>
      <c r="J119" t="s">
        <v>381</v>
      </c>
      <c r="K119" t="s">
        <v>74</v>
      </c>
      <c r="L119" t="s">
        <v>74</v>
      </c>
      <c r="M119" t="s">
        <v>74</v>
      </c>
      <c r="N119" t="s">
        <v>74</v>
      </c>
      <c r="O119" t="s">
        <v>74</v>
      </c>
      <c r="P119" t="s">
        <v>74</v>
      </c>
      <c r="Q119" t="s">
        <v>74</v>
      </c>
      <c r="R119" t="s">
        <v>74</v>
      </c>
      <c r="S119" t="s">
        <v>74</v>
      </c>
      <c r="T119" t="s">
        <v>74</v>
      </c>
      <c r="U119" t="s">
        <v>74</v>
      </c>
      <c r="V119" t="s">
        <v>74</v>
      </c>
      <c r="W119" t="s">
        <v>74</v>
      </c>
      <c r="X119" t="s">
        <v>74</v>
      </c>
      <c r="Y119" t="s">
        <v>74</v>
      </c>
      <c r="Z119" t="s">
        <v>74</v>
      </c>
      <c r="AA119" t="s">
        <v>1043</v>
      </c>
      <c r="AB119" t="s">
        <v>6825</v>
      </c>
      <c r="AC119" t="s">
        <v>74</v>
      </c>
      <c r="AD119" t="s">
        <v>74</v>
      </c>
      <c r="AE119" t="s">
        <v>74</v>
      </c>
      <c r="AF119" t="s">
        <v>74</v>
      </c>
      <c r="AG119" t="s">
        <v>74</v>
      </c>
      <c r="AH119" t="s">
        <v>74</v>
      </c>
      <c r="AI119" t="s">
        <v>74</v>
      </c>
      <c r="AJ119" t="s">
        <v>74</v>
      </c>
      <c r="AK119" t="s">
        <v>74</v>
      </c>
      <c r="AL119" t="s">
        <v>74</v>
      </c>
      <c r="AM119" t="s">
        <v>74</v>
      </c>
      <c r="AN119" t="s">
        <v>74</v>
      </c>
      <c r="AO119" t="s">
        <v>383</v>
      </c>
      <c r="AP119" t="s">
        <v>384</v>
      </c>
      <c r="AQ119" t="s">
        <v>74</v>
      </c>
      <c r="AR119" t="s">
        <v>74</v>
      </c>
      <c r="AS119" t="s">
        <v>74</v>
      </c>
      <c r="AT119" t="s">
        <v>474</v>
      </c>
      <c r="AU119">
        <v>2022</v>
      </c>
      <c r="AV119">
        <v>312</v>
      </c>
      <c r="AW119" t="s">
        <v>74</v>
      </c>
      <c r="AX119" t="s">
        <v>74</v>
      </c>
      <c r="AY119" t="s">
        <v>74</v>
      </c>
      <c r="AZ119" t="s">
        <v>74</v>
      </c>
      <c r="BA119" t="s">
        <v>74</v>
      </c>
      <c r="BB119" t="s">
        <v>74</v>
      </c>
      <c r="BC119" t="s">
        <v>74</v>
      </c>
      <c r="BD119">
        <v>120037</v>
      </c>
      <c r="BE119" t="s">
        <v>1044</v>
      </c>
      <c r="BF119" t="str">
        <f>HYPERLINK("http://dx.doi.org/10.1016/j.envpol.2022.120037","http://dx.doi.org/10.1016/j.envpol.2022.120037")</f>
        <v>http://dx.doi.org/10.1016/j.envpol.2022.120037</v>
      </c>
      <c r="BG119" t="s">
        <v>74</v>
      </c>
      <c r="BH119" t="s">
        <v>978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>
        <v>36030961</v>
      </c>
      <c r="BO119" t="s">
        <v>74</v>
      </c>
      <c r="BP119" t="s">
        <v>74</v>
      </c>
      <c r="BQ119" t="s">
        <v>74</v>
      </c>
      <c r="BR119" t="s">
        <v>74</v>
      </c>
      <c r="BS119" t="s">
        <v>1045</v>
      </c>
      <c r="BT119" t="str">
        <f>HYPERLINK("https%3A%2F%2Fwww.webofscience.com%2Fwos%2Fwoscc%2Ffull-record%2FWOS:000862854900010","View Full Record in Web of Science")</f>
        <v>View Full Record in Web of Science</v>
      </c>
    </row>
    <row r="120" spans="1:72" x14ac:dyDescent="0.2">
      <c r="A120" t="s">
        <v>72</v>
      </c>
      <c r="B120" t="s">
        <v>1046</v>
      </c>
      <c r="C120" t="s">
        <v>74</v>
      </c>
      <c r="D120" t="s">
        <v>74</v>
      </c>
      <c r="E120" t="s">
        <v>74</v>
      </c>
      <c r="F120" t="s">
        <v>1047</v>
      </c>
      <c r="G120" t="s">
        <v>74</v>
      </c>
      <c r="H120" t="s">
        <v>74</v>
      </c>
      <c r="I120" t="s">
        <v>1048</v>
      </c>
      <c r="J120" t="s">
        <v>502</v>
      </c>
      <c r="K120" t="s">
        <v>74</v>
      </c>
      <c r="L120" t="s">
        <v>74</v>
      </c>
      <c r="M120" t="s">
        <v>74</v>
      </c>
      <c r="N120" t="s">
        <v>74</v>
      </c>
      <c r="O120" t="s">
        <v>74</v>
      </c>
      <c r="P120" t="s">
        <v>74</v>
      </c>
      <c r="Q120" t="s">
        <v>74</v>
      </c>
      <c r="R120" t="s">
        <v>74</v>
      </c>
      <c r="S120" t="s">
        <v>74</v>
      </c>
      <c r="T120" t="s">
        <v>74</v>
      </c>
      <c r="U120" t="s">
        <v>74</v>
      </c>
      <c r="V120" t="s">
        <v>74</v>
      </c>
      <c r="W120" t="s">
        <v>74</v>
      </c>
      <c r="X120" t="s">
        <v>74</v>
      </c>
      <c r="Y120" t="s">
        <v>74</v>
      </c>
      <c r="Z120" t="s">
        <v>74</v>
      </c>
      <c r="AA120" t="s">
        <v>1049</v>
      </c>
      <c r="AB120" t="s">
        <v>1050</v>
      </c>
      <c r="AC120" t="s">
        <v>74</v>
      </c>
      <c r="AD120" t="s">
        <v>74</v>
      </c>
      <c r="AE120" t="s">
        <v>74</v>
      </c>
      <c r="AF120" t="s">
        <v>74</v>
      </c>
      <c r="AG120" t="s">
        <v>74</v>
      </c>
      <c r="AH120" t="s">
        <v>74</v>
      </c>
      <c r="AI120" t="s">
        <v>74</v>
      </c>
      <c r="AJ120" t="s">
        <v>74</v>
      </c>
      <c r="AK120" t="s">
        <v>74</v>
      </c>
      <c r="AL120" t="s">
        <v>74</v>
      </c>
      <c r="AM120" t="s">
        <v>74</v>
      </c>
      <c r="AN120" t="s">
        <v>74</v>
      </c>
      <c r="AO120" t="s">
        <v>503</v>
      </c>
      <c r="AP120" t="s">
        <v>504</v>
      </c>
      <c r="AQ120" t="s">
        <v>74</v>
      </c>
      <c r="AR120" t="s">
        <v>74</v>
      </c>
      <c r="AS120" t="s">
        <v>74</v>
      </c>
      <c r="AT120" t="s">
        <v>406</v>
      </c>
      <c r="AU120">
        <v>2022</v>
      </c>
      <c r="AV120">
        <v>143</v>
      </c>
      <c r="AW120" t="s">
        <v>74</v>
      </c>
      <c r="AX120" t="s">
        <v>74</v>
      </c>
      <c r="AY120" t="s">
        <v>74</v>
      </c>
      <c r="AZ120" t="s">
        <v>74</v>
      </c>
      <c r="BA120" t="s">
        <v>74</v>
      </c>
      <c r="BB120" t="s">
        <v>74</v>
      </c>
      <c r="BC120" t="s">
        <v>74</v>
      </c>
      <c r="BD120">
        <v>109355</v>
      </c>
      <c r="BE120" t="s">
        <v>1051</v>
      </c>
      <c r="BF120" t="str">
        <f>HYPERLINK("http://dx.doi.org/10.1016/j.ecolind.2022.109355","http://dx.doi.org/10.1016/j.ecolind.2022.109355")</f>
        <v>http://dx.doi.org/10.1016/j.ecolind.2022.109355</v>
      </c>
      <c r="BG120" t="s">
        <v>74</v>
      </c>
      <c r="BH120" t="s">
        <v>978</v>
      </c>
      <c r="BI120" t="s">
        <v>74</v>
      </c>
      <c r="BJ120" t="s">
        <v>74</v>
      </c>
      <c r="BK120" t="s">
        <v>74</v>
      </c>
      <c r="BL120" t="s">
        <v>74</v>
      </c>
      <c r="BM120" t="s">
        <v>74</v>
      </c>
      <c r="BN120" t="s">
        <v>74</v>
      </c>
      <c r="BO120" t="s">
        <v>74</v>
      </c>
      <c r="BP120" t="s">
        <v>74</v>
      </c>
      <c r="BQ120" t="s">
        <v>74</v>
      </c>
      <c r="BR120" t="s">
        <v>74</v>
      </c>
      <c r="BS120" t="s">
        <v>1052</v>
      </c>
      <c r="BT120" t="str">
        <f>HYPERLINK("https%3A%2F%2Fwww.webofscience.com%2Fwos%2Fwoscc%2Ffull-record%2FWOS:000862836700002","View Full Record in Web of Science")</f>
        <v>View Full Record in Web of Science</v>
      </c>
    </row>
    <row r="121" spans="1:72" x14ac:dyDescent="0.2">
      <c r="A121" t="s">
        <v>72</v>
      </c>
      <c r="B121" t="s">
        <v>1053</v>
      </c>
      <c r="C121" t="s">
        <v>74</v>
      </c>
      <c r="D121" t="s">
        <v>74</v>
      </c>
      <c r="E121" t="s">
        <v>74</v>
      </c>
      <c r="F121" t="s">
        <v>1054</v>
      </c>
      <c r="G121" t="s">
        <v>74</v>
      </c>
      <c r="H121" t="s">
        <v>74</v>
      </c>
      <c r="I121" t="s">
        <v>1055</v>
      </c>
      <c r="J121" t="s">
        <v>1056</v>
      </c>
      <c r="K121" t="s">
        <v>74</v>
      </c>
      <c r="L121" t="s">
        <v>74</v>
      </c>
      <c r="M121" t="s">
        <v>74</v>
      </c>
      <c r="N121" t="s">
        <v>74</v>
      </c>
      <c r="O121" t="s">
        <v>74</v>
      </c>
      <c r="P121" t="s">
        <v>74</v>
      </c>
      <c r="Q121" t="s">
        <v>74</v>
      </c>
      <c r="R121" t="s">
        <v>74</v>
      </c>
      <c r="S121" t="s">
        <v>74</v>
      </c>
      <c r="T121" t="s">
        <v>74</v>
      </c>
      <c r="U121" t="s">
        <v>74</v>
      </c>
      <c r="V121" t="s">
        <v>74</v>
      </c>
      <c r="W121" t="s">
        <v>74</v>
      </c>
      <c r="X121" t="s">
        <v>74</v>
      </c>
      <c r="Y121" t="s">
        <v>74</v>
      </c>
      <c r="Z121" t="s">
        <v>74</v>
      </c>
      <c r="AA121" t="s">
        <v>74</v>
      </c>
      <c r="AB121" t="s">
        <v>74</v>
      </c>
      <c r="AC121" t="s">
        <v>74</v>
      </c>
      <c r="AD121" t="s">
        <v>74</v>
      </c>
      <c r="AE121" t="s">
        <v>74</v>
      </c>
      <c r="AF121" t="s">
        <v>74</v>
      </c>
      <c r="AG121" t="s">
        <v>74</v>
      </c>
      <c r="AH121" t="s">
        <v>74</v>
      </c>
      <c r="AI121" t="s">
        <v>74</v>
      </c>
      <c r="AJ121" t="s">
        <v>74</v>
      </c>
      <c r="AK121" t="s">
        <v>74</v>
      </c>
      <c r="AL121" t="s">
        <v>74</v>
      </c>
      <c r="AM121" t="s">
        <v>74</v>
      </c>
      <c r="AN121" t="s">
        <v>74</v>
      </c>
      <c r="AO121" t="s">
        <v>1057</v>
      </c>
      <c r="AP121" t="s">
        <v>74</v>
      </c>
      <c r="AQ121" t="s">
        <v>74</v>
      </c>
      <c r="AR121" t="s">
        <v>74</v>
      </c>
      <c r="AS121" t="s">
        <v>74</v>
      </c>
      <c r="AT121" t="s">
        <v>1058</v>
      </c>
      <c r="AU121">
        <v>2022</v>
      </c>
      <c r="AV121">
        <v>32</v>
      </c>
      <c r="AW121">
        <v>3</v>
      </c>
      <c r="AX121" t="s">
        <v>74</v>
      </c>
      <c r="AY121" t="s">
        <v>74</v>
      </c>
      <c r="AZ121" t="s">
        <v>74</v>
      </c>
      <c r="BA121" t="s">
        <v>74</v>
      </c>
      <c r="BB121">
        <v>223</v>
      </c>
      <c r="BC121">
        <v>234</v>
      </c>
      <c r="BD121" t="s">
        <v>74</v>
      </c>
      <c r="BE121" t="s">
        <v>74</v>
      </c>
      <c r="BF121" t="s">
        <v>74</v>
      </c>
      <c r="BG121" t="s">
        <v>74</v>
      </c>
      <c r="BH121" t="s">
        <v>74</v>
      </c>
      <c r="BI121" t="s">
        <v>74</v>
      </c>
      <c r="BJ121" t="s">
        <v>74</v>
      </c>
      <c r="BK121" t="s">
        <v>74</v>
      </c>
      <c r="BL121" t="s">
        <v>74</v>
      </c>
      <c r="BM121" t="s">
        <v>74</v>
      </c>
      <c r="BN121" t="s">
        <v>74</v>
      </c>
      <c r="BO121" t="s">
        <v>74</v>
      </c>
      <c r="BP121" t="s">
        <v>74</v>
      </c>
      <c r="BQ121" t="s">
        <v>74</v>
      </c>
      <c r="BR121" t="s">
        <v>74</v>
      </c>
      <c r="BS121" t="s">
        <v>1059</v>
      </c>
      <c r="BT121" t="str">
        <f>HYPERLINK("https%3A%2F%2Fwww.webofscience.com%2Fwos%2Fwoscc%2Ffull-record%2FWOS:000970385000004","View Full Record in Web of Science")</f>
        <v>View Full Record in Web of Science</v>
      </c>
    </row>
    <row r="122" spans="1:72" x14ac:dyDescent="0.2">
      <c r="A122" t="s">
        <v>72</v>
      </c>
      <c r="B122" t="s">
        <v>1060</v>
      </c>
      <c r="C122" t="s">
        <v>74</v>
      </c>
      <c r="D122" t="s">
        <v>74</v>
      </c>
      <c r="E122" t="s">
        <v>74</v>
      </c>
      <c r="F122" t="s">
        <v>1061</v>
      </c>
      <c r="G122" t="s">
        <v>74</v>
      </c>
      <c r="H122" t="s">
        <v>74</v>
      </c>
      <c r="I122" t="s">
        <v>1062</v>
      </c>
      <c r="J122" t="s">
        <v>1063</v>
      </c>
      <c r="K122" t="s">
        <v>74</v>
      </c>
      <c r="L122" t="s">
        <v>74</v>
      </c>
      <c r="M122" t="s">
        <v>74</v>
      </c>
      <c r="N122" t="s">
        <v>74</v>
      </c>
      <c r="O122" t="s">
        <v>74</v>
      </c>
      <c r="P122" t="s">
        <v>74</v>
      </c>
      <c r="Q122" t="s">
        <v>74</v>
      </c>
      <c r="R122" t="s">
        <v>74</v>
      </c>
      <c r="S122" t="s">
        <v>74</v>
      </c>
      <c r="T122" t="s">
        <v>74</v>
      </c>
      <c r="U122" t="s">
        <v>74</v>
      </c>
      <c r="V122" t="s">
        <v>74</v>
      </c>
      <c r="W122" t="s">
        <v>74</v>
      </c>
      <c r="X122" t="s">
        <v>74</v>
      </c>
      <c r="Y122" t="s">
        <v>74</v>
      </c>
      <c r="Z122" t="s">
        <v>74</v>
      </c>
      <c r="AA122" t="s">
        <v>6826</v>
      </c>
      <c r="AB122" t="s">
        <v>1064</v>
      </c>
      <c r="AC122" t="s">
        <v>74</v>
      </c>
      <c r="AD122" t="s">
        <v>74</v>
      </c>
      <c r="AE122" t="s">
        <v>74</v>
      </c>
      <c r="AF122" t="s">
        <v>74</v>
      </c>
      <c r="AG122" t="s">
        <v>74</v>
      </c>
      <c r="AH122" t="s">
        <v>74</v>
      </c>
      <c r="AI122" t="s">
        <v>74</v>
      </c>
      <c r="AJ122" t="s">
        <v>74</v>
      </c>
      <c r="AK122" t="s">
        <v>74</v>
      </c>
      <c r="AL122" t="s">
        <v>74</v>
      </c>
      <c r="AM122" t="s">
        <v>74</v>
      </c>
      <c r="AN122" t="s">
        <v>74</v>
      </c>
      <c r="AO122" t="s">
        <v>1065</v>
      </c>
      <c r="AP122" t="s">
        <v>1066</v>
      </c>
      <c r="AQ122" t="s">
        <v>74</v>
      </c>
      <c r="AR122" t="s">
        <v>74</v>
      </c>
      <c r="AS122" t="s">
        <v>74</v>
      </c>
      <c r="AT122" t="s">
        <v>82</v>
      </c>
      <c r="AU122">
        <v>2022</v>
      </c>
      <c r="AV122">
        <v>308</v>
      </c>
      <c r="AW122" t="s">
        <v>74</v>
      </c>
      <c r="AX122">
        <v>1</v>
      </c>
      <c r="AY122" t="s">
        <v>74</v>
      </c>
      <c r="AZ122" t="s">
        <v>74</v>
      </c>
      <c r="BA122" t="s">
        <v>74</v>
      </c>
      <c r="BB122" t="s">
        <v>74</v>
      </c>
      <c r="BC122" t="s">
        <v>74</v>
      </c>
      <c r="BD122">
        <v>136066</v>
      </c>
      <c r="BE122" t="s">
        <v>1067</v>
      </c>
      <c r="BF122" t="str">
        <f>HYPERLINK("http://dx.doi.org/10.1016/j.chemosphere.2022.136066","http://dx.doi.org/10.1016/j.chemosphere.2022.136066")</f>
        <v>http://dx.doi.org/10.1016/j.chemosphere.2022.136066</v>
      </c>
      <c r="BG122" t="s">
        <v>74</v>
      </c>
      <c r="BH122" t="s">
        <v>1068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>
        <v>35987273</v>
      </c>
      <c r="BO122" t="s">
        <v>74</v>
      </c>
      <c r="BP122" t="s">
        <v>74</v>
      </c>
      <c r="BQ122" t="s">
        <v>74</v>
      </c>
      <c r="BR122" t="s">
        <v>74</v>
      </c>
      <c r="BS122" t="s">
        <v>1069</v>
      </c>
      <c r="BT122" t="str">
        <f>HYPERLINK("https%3A%2F%2Fwww.webofscience.com%2Fwos%2Fwoscc%2Ffull-record%2FWOS:000862937200006","View Full Record in Web of Science")</f>
        <v>View Full Record in Web of Science</v>
      </c>
    </row>
    <row r="123" spans="1:72" x14ac:dyDescent="0.2">
      <c r="A123" t="s">
        <v>72</v>
      </c>
      <c r="B123" t="s">
        <v>1070</v>
      </c>
      <c r="C123" t="s">
        <v>74</v>
      </c>
      <c r="D123" t="s">
        <v>74</v>
      </c>
      <c r="E123" t="s">
        <v>74</v>
      </c>
      <c r="F123" t="s">
        <v>1071</v>
      </c>
      <c r="G123" t="s">
        <v>74</v>
      </c>
      <c r="H123" t="s">
        <v>74</v>
      </c>
      <c r="I123" t="s">
        <v>1072</v>
      </c>
      <c r="J123" t="s">
        <v>227</v>
      </c>
      <c r="K123" t="s">
        <v>74</v>
      </c>
      <c r="L123" t="s">
        <v>74</v>
      </c>
      <c r="M123" t="s">
        <v>74</v>
      </c>
      <c r="N123" t="s">
        <v>74</v>
      </c>
      <c r="O123" t="s">
        <v>74</v>
      </c>
      <c r="P123" t="s">
        <v>74</v>
      </c>
      <c r="Q123" t="s">
        <v>74</v>
      </c>
      <c r="R123" t="s">
        <v>74</v>
      </c>
      <c r="S123" t="s">
        <v>74</v>
      </c>
      <c r="T123" t="s">
        <v>74</v>
      </c>
      <c r="U123" t="s">
        <v>74</v>
      </c>
      <c r="V123" t="s">
        <v>74</v>
      </c>
      <c r="W123" t="s">
        <v>74</v>
      </c>
      <c r="X123" t="s">
        <v>74</v>
      </c>
      <c r="Y123" t="s">
        <v>74</v>
      </c>
      <c r="Z123" t="s">
        <v>74</v>
      </c>
      <c r="AA123" t="s">
        <v>1073</v>
      </c>
      <c r="AB123" t="s">
        <v>1074</v>
      </c>
      <c r="AC123" t="s">
        <v>74</v>
      </c>
      <c r="AD123" t="s">
        <v>74</v>
      </c>
      <c r="AE123" t="s">
        <v>74</v>
      </c>
      <c r="AF123" t="s">
        <v>74</v>
      </c>
      <c r="AG123" t="s">
        <v>74</v>
      </c>
      <c r="AH123" t="s">
        <v>74</v>
      </c>
      <c r="AI123" t="s">
        <v>74</v>
      </c>
      <c r="AJ123" t="s">
        <v>74</v>
      </c>
      <c r="AK123" t="s">
        <v>74</v>
      </c>
      <c r="AL123" t="s">
        <v>74</v>
      </c>
      <c r="AM123" t="s">
        <v>74</v>
      </c>
      <c r="AN123" t="s">
        <v>74</v>
      </c>
      <c r="AO123" t="s">
        <v>230</v>
      </c>
      <c r="AP123" t="s">
        <v>231</v>
      </c>
      <c r="AQ123" t="s">
        <v>74</v>
      </c>
      <c r="AR123" t="s">
        <v>74</v>
      </c>
      <c r="AS123" t="s">
        <v>74</v>
      </c>
      <c r="AT123" t="s">
        <v>335</v>
      </c>
      <c r="AU123">
        <v>2022</v>
      </c>
      <c r="AV123">
        <v>67</v>
      </c>
      <c r="AW123">
        <v>11</v>
      </c>
      <c r="AX123" t="s">
        <v>74</v>
      </c>
      <c r="AY123" t="s">
        <v>74</v>
      </c>
      <c r="AZ123" t="s">
        <v>74</v>
      </c>
      <c r="BA123" t="s">
        <v>74</v>
      </c>
      <c r="BB123">
        <v>2418</v>
      </c>
      <c r="BC123">
        <v>2430</v>
      </c>
      <c r="BD123" t="s">
        <v>74</v>
      </c>
      <c r="BE123" t="s">
        <v>1075</v>
      </c>
      <c r="BF123" t="str">
        <f>HYPERLINK("http://dx.doi.org/10.1002/lno.12210","http://dx.doi.org/10.1002/lno.12210")</f>
        <v>http://dx.doi.org/10.1002/lno.12210</v>
      </c>
      <c r="BG123" t="s">
        <v>74</v>
      </c>
      <c r="BH123" t="s">
        <v>1068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 t="s">
        <v>74</v>
      </c>
      <c r="BO123" t="s">
        <v>74</v>
      </c>
      <c r="BP123" t="s">
        <v>74</v>
      </c>
      <c r="BQ123" t="s">
        <v>74</v>
      </c>
      <c r="BR123" t="s">
        <v>74</v>
      </c>
      <c r="BS123" t="s">
        <v>1076</v>
      </c>
      <c r="BT123" t="str">
        <f>HYPERLINK("https%3A%2F%2Fwww.webofscience.com%2Fwos%2Fwoscc%2Ffull-record%2FWOS:000847419300001","View Full Record in Web of Science")</f>
        <v>View Full Record in Web of Science</v>
      </c>
    </row>
    <row r="124" spans="1:72" x14ac:dyDescent="0.2">
      <c r="A124" t="s">
        <v>72</v>
      </c>
      <c r="B124" t="s">
        <v>1077</v>
      </c>
      <c r="C124" t="s">
        <v>74</v>
      </c>
      <c r="D124" t="s">
        <v>74</v>
      </c>
      <c r="E124" t="s">
        <v>74</v>
      </c>
      <c r="F124" t="s">
        <v>1078</v>
      </c>
      <c r="G124" t="s">
        <v>74</v>
      </c>
      <c r="H124" t="s">
        <v>74</v>
      </c>
      <c r="I124" t="s">
        <v>1079</v>
      </c>
      <c r="J124" t="s">
        <v>145</v>
      </c>
      <c r="K124" t="s">
        <v>74</v>
      </c>
      <c r="L124" t="s">
        <v>74</v>
      </c>
      <c r="M124" t="s">
        <v>74</v>
      </c>
      <c r="N124" t="s">
        <v>74</v>
      </c>
      <c r="O124" t="s">
        <v>74</v>
      </c>
      <c r="P124" t="s">
        <v>74</v>
      </c>
      <c r="Q124" t="s">
        <v>74</v>
      </c>
      <c r="R124" t="s">
        <v>74</v>
      </c>
      <c r="S124" t="s">
        <v>74</v>
      </c>
      <c r="T124" t="s">
        <v>74</v>
      </c>
      <c r="U124" t="s">
        <v>74</v>
      </c>
      <c r="V124" t="s">
        <v>74</v>
      </c>
      <c r="W124" t="s">
        <v>74</v>
      </c>
      <c r="X124" t="s">
        <v>74</v>
      </c>
      <c r="Y124" t="s">
        <v>74</v>
      </c>
      <c r="Z124" t="s">
        <v>74</v>
      </c>
      <c r="AA124" t="s">
        <v>1080</v>
      </c>
      <c r="AB124" t="s">
        <v>1081</v>
      </c>
      <c r="AC124" t="s">
        <v>74</v>
      </c>
      <c r="AD124" t="s">
        <v>74</v>
      </c>
      <c r="AE124" t="s">
        <v>74</v>
      </c>
      <c r="AF124" t="s">
        <v>74</v>
      </c>
      <c r="AG124" t="s">
        <v>74</v>
      </c>
      <c r="AH124" t="s">
        <v>74</v>
      </c>
      <c r="AI124" t="s">
        <v>74</v>
      </c>
      <c r="AJ124" t="s">
        <v>74</v>
      </c>
      <c r="AK124" t="s">
        <v>74</v>
      </c>
      <c r="AL124" t="s">
        <v>74</v>
      </c>
      <c r="AM124" t="s">
        <v>74</v>
      </c>
      <c r="AN124" t="s">
        <v>74</v>
      </c>
      <c r="AO124" t="s">
        <v>146</v>
      </c>
      <c r="AP124" t="s">
        <v>147</v>
      </c>
      <c r="AQ124" t="s">
        <v>74</v>
      </c>
      <c r="AR124" t="s">
        <v>74</v>
      </c>
      <c r="AS124" t="s">
        <v>74</v>
      </c>
      <c r="AT124" t="s">
        <v>303</v>
      </c>
      <c r="AU124">
        <v>2022</v>
      </c>
      <c r="AV124">
        <v>850</v>
      </c>
      <c r="AW124" t="s">
        <v>74</v>
      </c>
      <c r="AX124" t="s">
        <v>74</v>
      </c>
      <c r="AY124" t="s">
        <v>74</v>
      </c>
      <c r="AZ124" t="s">
        <v>74</v>
      </c>
      <c r="BA124" t="s">
        <v>74</v>
      </c>
      <c r="BB124" t="s">
        <v>74</v>
      </c>
      <c r="BC124" t="s">
        <v>74</v>
      </c>
      <c r="BD124">
        <v>157810</v>
      </c>
      <c r="BE124" t="s">
        <v>1082</v>
      </c>
      <c r="BF124" t="str">
        <f>HYPERLINK("http://dx.doi.org/10.1016/j.scitotenv.2022.157810","http://dx.doi.org/10.1016/j.scitotenv.2022.157810")</f>
        <v>http://dx.doi.org/10.1016/j.scitotenv.2022.157810</v>
      </c>
      <c r="BG124" t="s">
        <v>74</v>
      </c>
      <c r="BH124" t="s">
        <v>1068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>
        <v>35932862</v>
      </c>
      <c r="BO124" t="s">
        <v>74</v>
      </c>
      <c r="BP124" t="s">
        <v>74</v>
      </c>
      <c r="BQ124" t="s">
        <v>74</v>
      </c>
      <c r="BR124" t="s">
        <v>74</v>
      </c>
      <c r="BS124" t="s">
        <v>1083</v>
      </c>
      <c r="BT124" t="str">
        <f>HYPERLINK("https%3A%2F%2Fwww.webofscience.com%2Fwos%2Fwoscc%2Ffull-record%2FWOS:000891851900009","View Full Record in Web of Science")</f>
        <v>View Full Record in Web of Science</v>
      </c>
    </row>
    <row r="125" spans="1:72" x14ac:dyDescent="0.2">
      <c r="A125" t="s">
        <v>72</v>
      </c>
      <c r="B125" t="s">
        <v>1084</v>
      </c>
      <c r="C125" t="s">
        <v>74</v>
      </c>
      <c r="D125" t="s">
        <v>74</v>
      </c>
      <c r="E125" t="s">
        <v>74</v>
      </c>
      <c r="F125" t="s">
        <v>1085</v>
      </c>
      <c r="G125" t="s">
        <v>74</v>
      </c>
      <c r="H125" t="s">
        <v>74</v>
      </c>
      <c r="I125" t="s">
        <v>1086</v>
      </c>
      <c r="J125" t="s">
        <v>227</v>
      </c>
      <c r="K125" t="s">
        <v>74</v>
      </c>
      <c r="L125" t="s">
        <v>74</v>
      </c>
      <c r="M125" t="s">
        <v>74</v>
      </c>
      <c r="N125" t="s">
        <v>74</v>
      </c>
      <c r="O125" t="s">
        <v>74</v>
      </c>
      <c r="P125" t="s">
        <v>74</v>
      </c>
      <c r="Q125" t="s">
        <v>74</v>
      </c>
      <c r="R125" t="s">
        <v>74</v>
      </c>
      <c r="S125" t="s">
        <v>74</v>
      </c>
      <c r="T125" t="s">
        <v>74</v>
      </c>
      <c r="U125" t="s">
        <v>74</v>
      </c>
      <c r="V125" t="s">
        <v>74</v>
      </c>
      <c r="W125" t="s">
        <v>74</v>
      </c>
      <c r="X125" t="s">
        <v>74</v>
      </c>
      <c r="Y125" t="s">
        <v>74</v>
      </c>
      <c r="Z125" t="s">
        <v>74</v>
      </c>
      <c r="AA125" t="s">
        <v>1087</v>
      </c>
      <c r="AB125" t="s">
        <v>1088</v>
      </c>
      <c r="AC125" t="s">
        <v>74</v>
      </c>
      <c r="AD125" t="s">
        <v>74</v>
      </c>
      <c r="AE125" t="s">
        <v>74</v>
      </c>
      <c r="AF125" t="s">
        <v>74</v>
      </c>
      <c r="AG125" t="s">
        <v>74</v>
      </c>
      <c r="AH125" t="s">
        <v>74</v>
      </c>
      <c r="AI125" t="s">
        <v>74</v>
      </c>
      <c r="AJ125" t="s">
        <v>74</v>
      </c>
      <c r="AK125" t="s">
        <v>74</v>
      </c>
      <c r="AL125" t="s">
        <v>74</v>
      </c>
      <c r="AM125" t="s">
        <v>74</v>
      </c>
      <c r="AN125" t="s">
        <v>74</v>
      </c>
      <c r="AO125" t="s">
        <v>230</v>
      </c>
      <c r="AP125" t="s">
        <v>231</v>
      </c>
      <c r="AQ125" t="s">
        <v>74</v>
      </c>
      <c r="AR125" t="s">
        <v>74</v>
      </c>
      <c r="AS125" t="s">
        <v>74</v>
      </c>
      <c r="AT125" t="s">
        <v>406</v>
      </c>
      <c r="AU125">
        <v>2022</v>
      </c>
      <c r="AV125">
        <v>67</v>
      </c>
      <c r="AW125">
        <v>10</v>
      </c>
      <c r="AX125" t="s">
        <v>74</v>
      </c>
      <c r="AY125" t="s">
        <v>74</v>
      </c>
      <c r="AZ125" t="s">
        <v>74</v>
      </c>
      <c r="BA125" t="s">
        <v>74</v>
      </c>
      <c r="BB125">
        <v>2252</v>
      </c>
      <c r="BC125">
        <v>2264</v>
      </c>
      <c r="BD125" t="s">
        <v>74</v>
      </c>
      <c r="BE125" t="s">
        <v>1089</v>
      </c>
      <c r="BF125" t="str">
        <f>HYPERLINK("http://dx.doi.org/10.1002/lno.12200","http://dx.doi.org/10.1002/lno.12200")</f>
        <v>http://dx.doi.org/10.1002/lno.12200</v>
      </c>
      <c r="BG125" t="s">
        <v>74</v>
      </c>
      <c r="BH125" t="s">
        <v>1068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 t="s">
        <v>74</v>
      </c>
      <c r="BR125" t="s">
        <v>74</v>
      </c>
      <c r="BS125" t="s">
        <v>1090</v>
      </c>
      <c r="BT125" t="str">
        <f>HYPERLINK("https%3A%2F%2Fwww.webofscience.com%2Fwos%2Fwoscc%2Ffull-record%2FWOS:000851467000001","View Full Record in Web of Science")</f>
        <v>View Full Record in Web of Science</v>
      </c>
    </row>
    <row r="126" spans="1:72" x14ac:dyDescent="0.2">
      <c r="A126" t="s">
        <v>72</v>
      </c>
      <c r="B126" t="s">
        <v>1091</v>
      </c>
      <c r="C126" t="s">
        <v>74</v>
      </c>
      <c r="D126" t="s">
        <v>74</v>
      </c>
      <c r="E126" t="s">
        <v>74</v>
      </c>
      <c r="F126" t="s">
        <v>1092</v>
      </c>
      <c r="G126" t="s">
        <v>74</v>
      </c>
      <c r="H126" t="s">
        <v>74</v>
      </c>
      <c r="I126" t="s">
        <v>1093</v>
      </c>
      <c r="J126" t="s">
        <v>827</v>
      </c>
      <c r="K126" t="s">
        <v>74</v>
      </c>
      <c r="L126" t="s">
        <v>74</v>
      </c>
      <c r="M126" t="s">
        <v>74</v>
      </c>
      <c r="N126" t="s">
        <v>74</v>
      </c>
      <c r="O126" t="s">
        <v>74</v>
      </c>
      <c r="P126" t="s">
        <v>74</v>
      </c>
      <c r="Q126" t="s">
        <v>74</v>
      </c>
      <c r="R126" t="s">
        <v>74</v>
      </c>
      <c r="S126" t="s">
        <v>74</v>
      </c>
      <c r="T126" t="s">
        <v>74</v>
      </c>
      <c r="U126" t="s">
        <v>74</v>
      </c>
      <c r="V126" t="s">
        <v>74</v>
      </c>
      <c r="W126" t="s">
        <v>74</v>
      </c>
      <c r="X126" t="s">
        <v>74</v>
      </c>
      <c r="Y126" t="s">
        <v>74</v>
      </c>
      <c r="Z126" t="s">
        <v>74</v>
      </c>
      <c r="AA126" t="s">
        <v>1094</v>
      </c>
      <c r="AB126" t="s">
        <v>6761</v>
      </c>
      <c r="AC126" t="s">
        <v>74</v>
      </c>
      <c r="AD126" t="s">
        <v>74</v>
      </c>
      <c r="AE126" t="s">
        <v>74</v>
      </c>
      <c r="AF126" t="s">
        <v>74</v>
      </c>
      <c r="AG126" t="s">
        <v>74</v>
      </c>
      <c r="AH126" t="s">
        <v>74</v>
      </c>
      <c r="AI126" t="s">
        <v>74</v>
      </c>
      <c r="AJ126" t="s">
        <v>74</v>
      </c>
      <c r="AK126" t="s">
        <v>74</v>
      </c>
      <c r="AL126" t="s">
        <v>74</v>
      </c>
      <c r="AM126" t="s">
        <v>74</v>
      </c>
      <c r="AN126" t="s">
        <v>74</v>
      </c>
      <c r="AO126" t="s">
        <v>829</v>
      </c>
      <c r="AP126" t="s">
        <v>830</v>
      </c>
      <c r="AQ126" t="s">
        <v>74</v>
      </c>
      <c r="AR126" t="s">
        <v>74</v>
      </c>
      <c r="AS126" t="s">
        <v>74</v>
      </c>
      <c r="AT126" t="s">
        <v>335</v>
      </c>
      <c r="AU126">
        <v>2022</v>
      </c>
      <c r="AV126">
        <v>31</v>
      </c>
      <c r="AW126">
        <v>11</v>
      </c>
      <c r="AX126" t="s">
        <v>74</v>
      </c>
      <c r="AY126" t="s">
        <v>74</v>
      </c>
      <c r="AZ126" t="s">
        <v>74</v>
      </c>
      <c r="BA126" t="s">
        <v>74</v>
      </c>
      <c r="BB126">
        <v>2337</v>
      </c>
      <c r="BC126">
        <v>2352</v>
      </c>
      <c r="BD126" t="s">
        <v>74</v>
      </c>
      <c r="BE126" t="s">
        <v>1095</v>
      </c>
      <c r="BF126" t="str">
        <f>HYPERLINK("http://dx.doi.org/10.1111/geb.13575","http://dx.doi.org/10.1111/geb.13575")</f>
        <v>http://dx.doi.org/10.1111/geb.13575</v>
      </c>
      <c r="BG126" t="s">
        <v>74</v>
      </c>
      <c r="BH126" t="s">
        <v>1068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 t="s">
        <v>74</v>
      </c>
      <c r="BR126" t="s">
        <v>74</v>
      </c>
      <c r="BS126" t="s">
        <v>1096</v>
      </c>
      <c r="BT126" t="str">
        <f>HYPERLINK("https%3A%2F%2Fwww.webofscience.com%2Fwos%2Fwoscc%2Ffull-record%2FWOS:000837751100001","View Full Record in Web of Science")</f>
        <v>View Full Record in Web of Science</v>
      </c>
    </row>
    <row r="127" spans="1:72" x14ac:dyDescent="0.2">
      <c r="A127" t="s">
        <v>72</v>
      </c>
      <c r="B127" t="s">
        <v>1097</v>
      </c>
      <c r="C127" t="s">
        <v>74</v>
      </c>
      <c r="D127" t="s">
        <v>74</v>
      </c>
      <c r="E127" t="s">
        <v>74</v>
      </c>
      <c r="F127" t="s">
        <v>1098</v>
      </c>
      <c r="G127" t="s">
        <v>74</v>
      </c>
      <c r="H127" t="s">
        <v>74</v>
      </c>
      <c r="I127" t="s">
        <v>1099</v>
      </c>
      <c r="J127" t="s">
        <v>1100</v>
      </c>
      <c r="K127" t="s">
        <v>74</v>
      </c>
      <c r="L127" t="s">
        <v>74</v>
      </c>
      <c r="M127" t="s">
        <v>74</v>
      </c>
      <c r="N127" t="s">
        <v>74</v>
      </c>
      <c r="O127" t="s">
        <v>74</v>
      </c>
      <c r="P127" t="s">
        <v>74</v>
      </c>
      <c r="Q127" t="s">
        <v>74</v>
      </c>
      <c r="R127" t="s">
        <v>74</v>
      </c>
      <c r="S127" t="s">
        <v>74</v>
      </c>
      <c r="T127" t="s">
        <v>74</v>
      </c>
      <c r="U127" t="s">
        <v>74</v>
      </c>
      <c r="V127" t="s">
        <v>74</v>
      </c>
      <c r="W127" t="s">
        <v>74</v>
      </c>
      <c r="X127" t="s">
        <v>74</v>
      </c>
      <c r="Y127" t="s">
        <v>74</v>
      </c>
      <c r="Z127" t="s">
        <v>74</v>
      </c>
      <c r="AA127" t="s">
        <v>74</v>
      </c>
      <c r="AB127" t="s">
        <v>74</v>
      </c>
      <c r="AC127" t="s">
        <v>74</v>
      </c>
      <c r="AD127" t="s">
        <v>74</v>
      </c>
      <c r="AE127" t="s">
        <v>74</v>
      </c>
      <c r="AF127" t="s">
        <v>74</v>
      </c>
      <c r="AG127" t="s">
        <v>74</v>
      </c>
      <c r="AH127" t="s">
        <v>74</v>
      </c>
      <c r="AI127" t="s">
        <v>74</v>
      </c>
      <c r="AJ127" t="s">
        <v>74</v>
      </c>
      <c r="AK127" t="s">
        <v>74</v>
      </c>
      <c r="AL127" t="s">
        <v>74</v>
      </c>
      <c r="AM127" t="s">
        <v>74</v>
      </c>
      <c r="AN127" t="s">
        <v>74</v>
      </c>
      <c r="AO127" t="s">
        <v>74</v>
      </c>
      <c r="AP127" t="s">
        <v>1101</v>
      </c>
      <c r="AQ127" t="s">
        <v>74</v>
      </c>
      <c r="AR127" t="s">
        <v>74</v>
      </c>
      <c r="AS127" t="s">
        <v>74</v>
      </c>
      <c r="AT127" t="s">
        <v>1102</v>
      </c>
      <c r="AU127">
        <v>2022</v>
      </c>
      <c r="AV127">
        <v>10</v>
      </c>
      <c r="AW127" t="s">
        <v>74</v>
      </c>
      <c r="AX127" t="s">
        <v>74</v>
      </c>
      <c r="AY127" t="s">
        <v>74</v>
      </c>
      <c r="AZ127" t="s">
        <v>74</v>
      </c>
      <c r="BA127" t="s">
        <v>74</v>
      </c>
      <c r="BB127" t="s">
        <v>74</v>
      </c>
      <c r="BC127" t="s">
        <v>74</v>
      </c>
      <c r="BD127">
        <v>899571</v>
      </c>
      <c r="BE127" t="s">
        <v>1103</v>
      </c>
      <c r="BF127" t="str">
        <f>HYPERLINK("http://dx.doi.org/10.3389/fenvs.2022.899571","http://dx.doi.org/10.3389/fenvs.2022.899571")</f>
        <v>http://dx.doi.org/10.3389/fenvs.2022.899571</v>
      </c>
      <c r="BG127" t="s">
        <v>74</v>
      </c>
      <c r="BH127" t="s">
        <v>74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 t="s">
        <v>74</v>
      </c>
      <c r="BO127" t="s">
        <v>74</v>
      </c>
      <c r="BP127" t="s">
        <v>74</v>
      </c>
      <c r="BQ127" t="s">
        <v>74</v>
      </c>
      <c r="BR127" t="s">
        <v>74</v>
      </c>
      <c r="BS127" t="s">
        <v>1104</v>
      </c>
      <c r="BT127" t="str">
        <f>HYPERLINK("https%3A%2F%2Fwww.webofscience.com%2Fwos%2Fwoscc%2Ffull-record%2FWOS:000836936700001","View Full Record in Web of Science")</f>
        <v>View Full Record in Web of Science</v>
      </c>
    </row>
    <row r="128" spans="1:72" x14ac:dyDescent="0.2">
      <c r="A128" t="s">
        <v>72</v>
      </c>
      <c r="B128" t="s">
        <v>1105</v>
      </c>
      <c r="C128" t="s">
        <v>74</v>
      </c>
      <c r="D128" t="s">
        <v>74</v>
      </c>
      <c r="E128" t="s">
        <v>74</v>
      </c>
      <c r="F128" t="s">
        <v>1106</v>
      </c>
      <c r="G128" t="s">
        <v>74</v>
      </c>
      <c r="H128" t="s">
        <v>74</v>
      </c>
      <c r="I128" t="s">
        <v>1107</v>
      </c>
      <c r="J128" t="s">
        <v>1100</v>
      </c>
      <c r="K128" t="s">
        <v>74</v>
      </c>
      <c r="L128" t="s">
        <v>74</v>
      </c>
      <c r="M128" t="s">
        <v>74</v>
      </c>
      <c r="N128" t="s">
        <v>74</v>
      </c>
      <c r="O128" t="s">
        <v>74</v>
      </c>
      <c r="P128" t="s">
        <v>74</v>
      </c>
      <c r="Q128" t="s">
        <v>74</v>
      </c>
      <c r="R128" t="s">
        <v>74</v>
      </c>
      <c r="S128" t="s">
        <v>74</v>
      </c>
      <c r="T128" t="s">
        <v>74</v>
      </c>
      <c r="U128" t="s">
        <v>74</v>
      </c>
      <c r="V128" t="s">
        <v>74</v>
      </c>
      <c r="W128" t="s">
        <v>74</v>
      </c>
      <c r="X128" t="s">
        <v>74</v>
      </c>
      <c r="Y128" t="s">
        <v>74</v>
      </c>
      <c r="Z128" t="s">
        <v>74</v>
      </c>
      <c r="AA128" t="s">
        <v>1108</v>
      </c>
      <c r="AB128" t="s">
        <v>1109</v>
      </c>
      <c r="AC128" t="s">
        <v>74</v>
      </c>
      <c r="AD128" t="s">
        <v>74</v>
      </c>
      <c r="AE128" t="s">
        <v>74</v>
      </c>
      <c r="AF128" t="s">
        <v>74</v>
      </c>
      <c r="AG128" t="s">
        <v>74</v>
      </c>
      <c r="AH128" t="s">
        <v>74</v>
      </c>
      <c r="AI128" t="s">
        <v>74</v>
      </c>
      <c r="AJ128" t="s">
        <v>74</v>
      </c>
      <c r="AK128" t="s">
        <v>74</v>
      </c>
      <c r="AL128" t="s">
        <v>74</v>
      </c>
      <c r="AM128" t="s">
        <v>74</v>
      </c>
      <c r="AN128" t="s">
        <v>74</v>
      </c>
      <c r="AO128" t="s">
        <v>74</v>
      </c>
      <c r="AP128" t="s">
        <v>1101</v>
      </c>
      <c r="AQ128" t="s">
        <v>74</v>
      </c>
      <c r="AR128" t="s">
        <v>74</v>
      </c>
      <c r="AS128" t="s">
        <v>74</v>
      </c>
      <c r="AT128" t="s">
        <v>1102</v>
      </c>
      <c r="AU128">
        <v>2022</v>
      </c>
      <c r="AV128">
        <v>10</v>
      </c>
      <c r="AW128" t="s">
        <v>74</v>
      </c>
      <c r="AX128" t="s">
        <v>74</v>
      </c>
      <c r="AY128" t="s">
        <v>74</v>
      </c>
      <c r="AZ128" t="s">
        <v>74</v>
      </c>
      <c r="BA128" t="s">
        <v>74</v>
      </c>
      <c r="BB128" t="s">
        <v>74</v>
      </c>
      <c r="BC128" t="s">
        <v>74</v>
      </c>
      <c r="BD128">
        <v>903095</v>
      </c>
      <c r="BE128" t="s">
        <v>1110</v>
      </c>
      <c r="BF128" t="str">
        <f>HYPERLINK("http://dx.doi.org/10.3389/fenvs.2022.903095","http://dx.doi.org/10.3389/fenvs.2022.903095")</f>
        <v>http://dx.doi.org/10.3389/fenvs.2022.903095</v>
      </c>
      <c r="BG128" t="s">
        <v>74</v>
      </c>
      <c r="BH128" t="s">
        <v>74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 t="s">
        <v>74</v>
      </c>
      <c r="BR128" t="s">
        <v>74</v>
      </c>
      <c r="BS128" t="s">
        <v>1111</v>
      </c>
      <c r="BT128" t="str">
        <f>HYPERLINK("https%3A%2F%2Fwww.webofscience.com%2Fwos%2Fwoscc%2Ffull-record%2FWOS:000868160000001","View Full Record in Web of Science")</f>
        <v>View Full Record in Web of Science</v>
      </c>
    </row>
    <row r="129" spans="1:72" x14ac:dyDescent="0.2">
      <c r="A129" t="s">
        <v>72</v>
      </c>
      <c r="B129" t="s">
        <v>1112</v>
      </c>
      <c r="C129" t="s">
        <v>74</v>
      </c>
      <c r="D129" t="s">
        <v>74</v>
      </c>
      <c r="E129" t="s">
        <v>74</v>
      </c>
      <c r="F129" t="s">
        <v>1113</v>
      </c>
      <c r="G129" t="s">
        <v>74</v>
      </c>
      <c r="H129" t="s">
        <v>74</v>
      </c>
      <c r="I129" t="s">
        <v>1114</v>
      </c>
      <c r="J129" t="s">
        <v>180</v>
      </c>
      <c r="K129" t="s">
        <v>74</v>
      </c>
      <c r="L129" t="s">
        <v>74</v>
      </c>
      <c r="M129" t="s">
        <v>74</v>
      </c>
      <c r="N129" t="s">
        <v>74</v>
      </c>
      <c r="O129" t="s">
        <v>74</v>
      </c>
      <c r="P129" t="s">
        <v>74</v>
      </c>
      <c r="Q129" t="s">
        <v>74</v>
      </c>
      <c r="R129" t="s">
        <v>74</v>
      </c>
      <c r="S129" t="s">
        <v>74</v>
      </c>
      <c r="T129" t="s">
        <v>74</v>
      </c>
      <c r="U129" t="s">
        <v>74</v>
      </c>
      <c r="V129" t="s">
        <v>74</v>
      </c>
      <c r="W129" t="s">
        <v>74</v>
      </c>
      <c r="X129" t="s">
        <v>74</v>
      </c>
      <c r="Y129" t="s">
        <v>74</v>
      </c>
      <c r="Z129" t="s">
        <v>74</v>
      </c>
      <c r="AA129" t="s">
        <v>74</v>
      </c>
      <c r="AB129" t="s">
        <v>6827</v>
      </c>
      <c r="AC129" t="s">
        <v>74</v>
      </c>
      <c r="AD129" t="s">
        <v>74</v>
      </c>
      <c r="AE129" t="s">
        <v>74</v>
      </c>
      <c r="AF129" t="s">
        <v>74</v>
      </c>
      <c r="AG129" t="s">
        <v>74</v>
      </c>
      <c r="AH129" t="s">
        <v>74</v>
      </c>
      <c r="AI129" t="s">
        <v>74</v>
      </c>
      <c r="AJ129" t="s">
        <v>74</v>
      </c>
      <c r="AK129" t="s">
        <v>74</v>
      </c>
      <c r="AL129" t="s">
        <v>74</v>
      </c>
      <c r="AM129" t="s">
        <v>74</v>
      </c>
      <c r="AN129" t="s">
        <v>74</v>
      </c>
      <c r="AO129" t="s">
        <v>182</v>
      </c>
      <c r="AP129" t="s">
        <v>183</v>
      </c>
      <c r="AQ129" t="s">
        <v>74</v>
      </c>
      <c r="AR129" t="s">
        <v>74</v>
      </c>
      <c r="AS129" t="s">
        <v>74</v>
      </c>
      <c r="AT129" t="s">
        <v>335</v>
      </c>
      <c r="AU129">
        <v>2022</v>
      </c>
      <c r="AV129">
        <v>2022</v>
      </c>
      <c r="AW129">
        <v>11</v>
      </c>
      <c r="AX129" t="s">
        <v>74</v>
      </c>
      <c r="AY129" t="s">
        <v>74</v>
      </c>
      <c r="AZ129" t="s">
        <v>74</v>
      </c>
      <c r="BA129" t="s">
        <v>74</v>
      </c>
      <c r="BB129" t="s">
        <v>74</v>
      </c>
      <c r="BC129" t="s">
        <v>74</v>
      </c>
      <c r="BD129" t="s">
        <v>1115</v>
      </c>
      <c r="BE129" t="s">
        <v>1116</v>
      </c>
      <c r="BF129" t="str">
        <f>HYPERLINK("http://dx.doi.org/10.1111/oik.09173","http://dx.doi.org/10.1111/oik.09173")</f>
        <v>http://dx.doi.org/10.1111/oik.09173</v>
      </c>
      <c r="BG129" t="s">
        <v>74</v>
      </c>
      <c r="BH129" t="s">
        <v>1117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 t="s">
        <v>74</v>
      </c>
      <c r="BO129" t="s">
        <v>74</v>
      </c>
      <c r="BP129" t="s">
        <v>74</v>
      </c>
      <c r="BQ129" t="s">
        <v>74</v>
      </c>
      <c r="BR129" t="s">
        <v>74</v>
      </c>
      <c r="BS129" t="s">
        <v>1118</v>
      </c>
      <c r="BT129" t="str">
        <f>HYPERLINK("https%3A%2F%2Fwww.webofscience.com%2Fwos%2Fwoscc%2Ffull-record%2FWOS:000822743400001","View Full Record in Web of Science")</f>
        <v>View Full Record in Web of Science</v>
      </c>
    </row>
    <row r="130" spans="1:72" x14ac:dyDescent="0.2">
      <c r="A130" t="s">
        <v>72</v>
      </c>
      <c r="B130" t="s">
        <v>1119</v>
      </c>
      <c r="C130" t="s">
        <v>74</v>
      </c>
      <c r="D130" t="s">
        <v>74</v>
      </c>
      <c r="E130" t="s">
        <v>74</v>
      </c>
      <c r="F130" t="s">
        <v>1120</v>
      </c>
      <c r="G130" t="s">
        <v>74</v>
      </c>
      <c r="H130" t="s">
        <v>74</v>
      </c>
      <c r="I130" t="s">
        <v>1121</v>
      </c>
      <c r="J130" t="s">
        <v>1122</v>
      </c>
      <c r="K130" t="s">
        <v>74</v>
      </c>
      <c r="L130" t="s">
        <v>74</v>
      </c>
      <c r="M130" t="s">
        <v>74</v>
      </c>
      <c r="N130" t="s">
        <v>74</v>
      </c>
      <c r="O130" t="s">
        <v>74</v>
      </c>
      <c r="P130" t="s">
        <v>74</v>
      </c>
      <c r="Q130" t="s">
        <v>74</v>
      </c>
      <c r="R130" t="s">
        <v>74</v>
      </c>
      <c r="S130" t="s">
        <v>74</v>
      </c>
      <c r="T130" t="s">
        <v>74</v>
      </c>
      <c r="U130" t="s">
        <v>74</v>
      </c>
      <c r="V130" t="s">
        <v>74</v>
      </c>
      <c r="W130" t="s">
        <v>74</v>
      </c>
      <c r="X130" t="s">
        <v>74</v>
      </c>
      <c r="Y130" t="s">
        <v>74</v>
      </c>
      <c r="Z130" t="s">
        <v>74</v>
      </c>
      <c r="AA130" t="s">
        <v>6828</v>
      </c>
      <c r="AB130" t="s">
        <v>6829</v>
      </c>
      <c r="AC130" t="s">
        <v>74</v>
      </c>
      <c r="AD130" t="s">
        <v>74</v>
      </c>
      <c r="AE130" t="s">
        <v>74</v>
      </c>
      <c r="AF130" t="s">
        <v>74</v>
      </c>
      <c r="AG130" t="s">
        <v>74</v>
      </c>
      <c r="AH130" t="s">
        <v>74</v>
      </c>
      <c r="AI130" t="s">
        <v>74</v>
      </c>
      <c r="AJ130" t="s">
        <v>74</v>
      </c>
      <c r="AK130" t="s">
        <v>74</v>
      </c>
      <c r="AL130" t="s">
        <v>74</v>
      </c>
      <c r="AM130" t="s">
        <v>74</v>
      </c>
      <c r="AN130" t="s">
        <v>74</v>
      </c>
      <c r="AO130" t="s">
        <v>74</v>
      </c>
      <c r="AP130" t="s">
        <v>1123</v>
      </c>
      <c r="AQ130" t="s">
        <v>74</v>
      </c>
      <c r="AR130" t="s">
        <v>74</v>
      </c>
      <c r="AS130" t="s">
        <v>74</v>
      </c>
      <c r="AT130" t="s">
        <v>1124</v>
      </c>
      <c r="AU130">
        <v>2022</v>
      </c>
      <c r="AV130">
        <v>3</v>
      </c>
      <c r="AW130">
        <v>1</v>
      </c>
      <c r="AX130" t="s">
        <v>74</v>
      </c>
      <c r="AY130" t="s">
        <v>74</v>
      </c>
      <c r="AZ130" t="s">
        <v>74</v>
      </c>
      <c r="BA130" t="s">
        <v>74</v>
      </c>
      <c r="BB130" t="s">
        <v>74</v>
      </c>
      <c r="BC130" t="s">
        <v>74</v>
      </c>
      <c r="BD130">
        <v>154</v>
      </c>
      <c r="BE130" t="s">
        <v>1125</v>
      </c>
      <c r="BF130" t="str">
        <f>HYPERLINK("http://dx.doi.org/10.1038/s43247-022-00485-8","http://dx.doi.org/10.1038/s43247-022-00485-8")</f>
        <v>http://dx.doi.org/10.1038/s43247-022-00485-8</v>
      </c>
      <c r="BG130" t="s">
        <v>74</v>
      </c>
      <c r="BH130" t="s">
        <v>74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 t="s">
        <v>74</v>
      </c>
      <c r="BO130" t="s">
        <v>74</v>
      </c>
      <c r="BP130" t="s">
        <v>74</v>
      </c>
      <c r="BQ130" t="s">
        <v>74</v>
      </c>
      <c r="BR130" t="s">
        <v>74</v>
      </c>
      <c r="BS130" t="s">
        <v>1126</v>
      </c>
      <c r="BT130" t="str">
        <f>HYPERLINK("https%3A%2F%2Fwww.webofscience.com%2Fwos%2Fwoscc%2Ffull-record%2FWOS:000820644500001","View Full Record in Web of Science")</f>
        <v>View Full Record in Web of Science</v>
      </c>
    </row>
    <row r="131" spans="1:72" x14ac:dyDescent="0.2">
      <c r="A131" t="s">
        <v>72</v>
      </c>
      <c r="B131" t="s">
        <v>1127</v>
      </c>
      <c r="C131" t="s">
        <v>74</v>
      </c>
      <c r="D131" t="s">
        <v>74</v>
      </c>
      <c r="E131" t="s">
        <v>74</v>
      </c>
      <c r="F131" t="s">
        <v>1128</v>
      </c>
      <c r="G131" t="s">
        <v>74</v>
      </c>
      <c r="H131" t="s">
        <v>74</v>
      </c>
      <c r="I131" t="s">
        <v>1129</v>
      </c>
      <c r="J131" t="s">
        <v>1130</v>
      </c>
      <c r="K131" t="s">
        <v>74</v>
      </c>
      <c r="L131" t="s">
        <v>74</v>
      </c>
      <c r="M131" t="s">
        <v>74</v>
      </c>
      <c r="N131" t="s">
        <v>74</v>
      </c>
      <c r="O131" t="s">
        <v>74</v>
      </c>
      <c r="P131" t="s">
        <v>74</v>
      </c>
      <c r="Q131" t="s">
        <v>74</v>
      </c>
      <c r="R131" t="s">
        <v>74</v>
      </c>
      <c r="S131" t="s">
        <v>74</v>
      </c>
      <c r="T131" t="s">
        <v>74</v>
      </c>
      <c r="U131" t="s">
        <v>74</v>
      </c>
      <c r="V131" t="s">
        <v>74</v>
      </c>
      <c r="W131" t="s">
        <v>74</v>
      </c>
      <c r="X131" t="s">
        <v>74</v>
      </c>
      <c r="Y131" t="s">
        <v>74</v>
      </c>
      <c r="Z131" t="s">
        <v>74</v>
      </c>
      <c r="AA131" t="s">
        <v>74</v>
      </c>
      <c r="AB131" t="s">
        <v>74</v>
      </c>
      <c r="AC131" t="s">
        <v>74</v>
      </c>
      <c r="AD131" t="s">
        <v>74</v>
      </c>
      <c r="AE131" t="s">
        <v>74</v>
      </c>
      <c r="AF131" t="s">
        <v>74</v>
      </c>
      <c r="AG131" t="s">
        <v>74</v>
      </c>
      <c r="AH131" t="s">
        <v>74</v>
      </c>
      <c r="AI131" t="s">
        <v>74</v>
      </c>
      <c r="AJ131" t="s">
        <v>74</v>
      </c>
      <c r="AK131" t="s">
        <v>74</v>
      </c>
      <c r="AL131" t="s">
        <v>74</v>
      </c>
      <c r="AM131" t="s">
        <v>74</v>
      </c>
      <c r="AN131" t="s">
        <v>74</v>
      </c>
      <c r="AO131" t="s">
        <v>1131</v>
      </c>
      <c r="AP131" t="s">
        <v>1132</v>
      </c>
      <c r="AQ131" t="s">
        <v>74</v>
      </c>
      <c r="AR131" t="s">
        <v>74</v>
      </c>
      <c r="AS131" t="s">
        <v>74</v>
      </c>
      <c r="AT131" t="s">
        <v>624</v>
      </c>
      <c r="AU131">
        <v>2022</v>
      </c>
      <c r="AV131">
        <v>79</v>
      </c>
      <c r="AW131">
        <v>7</v>
      </c>
      <c r="AX131" t="s">
        <v>74</v>
      </c>
      <c r="AY131" t="s">
        <v>74</v>
      </c>
      <c r="AZ131" t="s">
        <v>74</v>
      </c>
      <c r="BA131" t="s">
        <v>74</v>
      </c>
      <c r="BB131" t="s">
        <v>74</v>
      </c>
      <c r="BC131" t="s">
        <v>74</v>
      </c>
      <c r="BD131">
        <v>210</v>
      </c>
      <c r="BE131" t="s">
        <v>1133</v>
      </c>
      <c r="BF131" t="str">
        <f>HYPERLINK("http://dx.doi.org/10.1007/s00284-022-02903-8","http://dx.doi.org/10.1007/s00284-022-02903-8")</f>
        <v>http://dx.doi.org/10.1007/s00284-022-02903-8</v>
      </c>
      <c r="BG131" t="s">
        <v>74</v>
      </c>
      <c r="BH131" t="s">
        <v>74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>
        <v>35666311</v>
      </c>
      <c r="BO131" t="s">
        <v>74</v>
      </c>
      <c r="BP131" t="s">
        <v>74</v>
      </c>
      <c r="BQ131" t="s">
        <v>74</v>
      </c>
      <c r="BR131" t="s">
        <v>74</v>
      </c>
      <c r="BS131" t="s">
        <v>1134</v>
      </c>
      <c r="BT131" t="str">
        <f>HYPERLINK("https%3A%2F%2Fwww.webofscience.com%2Fwos%2Fwoscc%2Ffull-record%2FWOS:000806752000001","View Full Record in Web of Science")</f>
        <v>View Full Record in Web of Science</v>
      </c>
    </row>
    <row r="132" spans="1:72" x14ac:dyDescent="0.2">
      <c r="A132" t="s">
        <v>72</v>
      </c>
      <c r="B132" t="s">
        <v>1135</v>
      </c>
      <c r="C132" t="s">
        <v>74</v>
      </c>
      <c r="D132" t="s">
        <v>74</v>
      </c>
      <c r="E132" t="s">
        <v>74</v>
      </c>
      <c r="F132" t="s">
        <v>1136</v>
      </c>
      <c r="G132" t="s">
        <v>74</v>
      </c>
      <c r="H132" t="s">
        <v>74</v>
      </c>
      <c r="I132" t="s">
        <v>1137</v>
      </c>
      <c r="J132" t="s">
        <v>1138</v>
      </c>
      <c r="K132" t="s">
        <v>74</v>
      </c>
      <c r="L132" t="s">
        <v>74</v>
      </c>
      <c r="M132" t="s">
        <v>74</v>
      </c>
      <c r="N132" t="s">
        <v>74</v>
      </c>
      <c r="O132" t="s">
        <v>74</v>
      </c>
      <c r="P132" t="s">
        <v>74</v>
      </c>
      <c r="Q132" t="s">
        <v>74</v>
      </c>
      <c r="R132" t="s">
        <v>74</v>
      </c>
      <c r="S132" t="s">
        <v>74</v>
      </c>
      <c r="T132" t="s">
        <v>74</v>
      </c>
      <c r="U132" t="s">
        <v>74</v>
      </c>
      <c r="V132" t="s">
        <v>74</v>
      </c>
      <c r="W132" t="s">
        <v>74</v>
      </c>
      <c r="X132" t="s">
        <v>74</v>
      </c>
      <c r="Y132" t="s">
        <v>74</v>
      </c>
      <c r="Z132" t="s">
        <v>74</v>
      </c>
      <c r="AA132" t="s">
        <v>1139</v>
      </c>
      <c r="AB132" t="s">
        <v>74</v>
      </c>
      <c r="AC132" t="s">
        <v>74</v>
      </c>
      <c r="AD132" t="s">
        <v>74</v>
      </c>
      <c r="AE132" t="s">
        <v>74</v>
      </c>
      <c r="AF132" t="s">
        <v>74</v>
      </c>
      <c r="AG132" t="s">
        <v>74</v>
      </c>
      <c r="AH132" t="s">
        <v>74</v>
      </c>
      <c r="AI132" t="s">
        <v>74</v>
      </c>
      <c r="AJ132" t="s">
        <v>74</v>
      </c>
      <c r="AK132" t="s">
        <v>74</v>
      </c>
      <c r="AL132" t="s">
        <v>74</v>
      </c>
      <c r="AM132" t="s">
        <v>74</v>
      </c>
      <c r="AN132" t="s">
        <v>74</v>
      </c>
      <c r="AO132" t="s">
        <v>1140</v>
      </c>
      <c r="AP132" t="s">
        <v>74</v>
      </c>
      <c r="AQ132" t="s">
        <v>74</v>
      </c>
      <c r="AR132" t="s">
        <v>74</v>
      </c>
      <c r="AS132" t="s">
        <v>74</v>
      </c>
      <c r="AT132" t="s">
        <v>1141</v>
      </c>
      <c r="AU132">
        <v>2022</v>
      </c>
      <c r="AV132" t="s">
        <v>74</v>
      </c>
      <c r="AW132">
        <v>2</v>
      </c>
      <c r="AX132" t="s">
        <v>74</v>
      </c>
      <c r="AY132" t="s">
        <v>74</v>
      </c>
      <c r="AZ132" t="s">
        <v>74</v>
      </c>
      <c r="BA132" t="s">
        <v>74</v>
      </c>
      <c r="BB132">
        <v>77</v>
      </c>
      <c r="BC132">
        <v>83</v>
      </c>
      <c r="BD132" t="s">
        <v>74</v>
      </c>
      <c r="BE132" t="s">
        <v>1142</v>
      </c>
      <c r="BF132" t="str">
        <f>HYPERLINK("http://dx.doi.org/10.29227/IM-2022-02-09","http://dx.doi.org/10.29227/IM-2022-02-09")</f>
        <v>http://dx.doi.org/10.29227/IM-2022-02-09</v>
      </c>
      <c r="BG132" t="s">
        <v>74</v>
      </c>
      <c r="BH132" t="s">
        <v>74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 t="s">
        <v>74</v>
      </c>
      <c r="BO132" t="s">
        <v>74</v>
      </c>
      <c r="BP132" t="s">
        <v>74</v>
      </c>
      <c r="BQ132" t="s">
        <v>74</v>
      </c>
      <c r="BR132" t="s">
        <v>74</v>
      </c>
      <c r="BS132" t="s">
        <v>1143</v>
      </c>
      <c r="BT132" t="str">
        <f>HYPERLINK("https%3A%2F%2Fwww.webofscience.com%2Fwos%2Fwoscc%2Ffull-record%2FWOS:000925704500009","View Full Record in Web of Science")</f>
        <v>View Full Record in Web of Science</v>
      </c>
    </row>
    <row r="133" spans="1:72" x14ac:dyDescent="0.2">
      <c r="A133" t="s">
        <v>72</v>
      </c>
      <c r="B133" t="s">
        <v>1144</v>
      </c>
      <c r="C133" t="s">
        <v>74</v>
      </c>
      <c r="D133" t="s">
        <v>74</v>
      </c>
      <c r="E133" t="s">
        <v>74</v>
      </c>
      <c r="F133" t="s">
        <v>1145</v>
      </c>
      <c r="G133" t="s">
        <v>74</v>
      </c>
      <c r="H133" t="s">
        <v>74</v>
      </c>
      <c r="I133" t="s">
        <v>1146</v>
      </c>
      <c r="J133" t="s">
        <v>331</v>
      </c>
      <c r="K133" t="s">
        <v>74</v>
      </c>
      <c r="L133" t="s">
        <v>74</v>
      </c>
      <c r="M133" t="s">
        <v>74</v>
      </c>
      <c r="N133" t="s">
        <v>74</v>
      </c>
      <c r="O133" t="s">
        <v>74</v>
      </c>
      <c r="P133" t="s">
        <v>74</v>
      </c>
      <c r="Q133" t="s">
        <v>74</v>
      </c>
      <c r="R133" t="s">
        <v>74</v>
      </c>
      <c r="S133" t="s">
        <v>74</v>
      </c>
      <c r="T133" t="s">
        <v>74</v>
      </c>
      <c r="U133" t="s">
        <v>74</v>
      </c>
      <c r="V133" t="s">
        <v>74</v>
      </c>
      <c r="W133" t="s">
        <v>74</v>
      </c>
      <c r="X133" t="s">
        <v>74</v>
      </c>
      <c r="Y133" t="s">
        <v>74</v>
      </c>
      <c r="Z133" t="s">
        <v>74</v>
      </c>
      <c r="AA133" t="s">
        <v>1147</v>
      </c>
      <c r="AB133" t="s">
        <v>6830</v>
      </c>
      <c r="AC133" t="s">
        <v>74</v>
      </c>
      <c r="AD133" t="s">
        <v>74</v>
      </c>
      <c r="AE133" t="s">
        <v>74</v>
      </c>
      <c r="AF133" t="s">
        <v>74</v>
      </c>
      <c r="AG133" t="s">
        <v>74</v>
      </c>
      <c r="AH133" t="s">
        <v>74</v>
      </c>
      <c r="AI133" t="s">
        <v>74</v>
      </c>
      <c r="AJ133" t="s">
        <v>74</v>
      </c>
      <c r="AK133" t="s">
        <v>74</v>
      </c>
      <c r="AL133" t="s">
        <v>74</v>
      </c>
      <c r="AM133" t="s">
        <v>74</v>
      </c>
      <c r="AN133" t="s">
        <v>74</v>
      </c>
      <c r="AO133" t="s">
        <v>74</v>
      </c>
      <c r="AP133" t="s">
        <v>334</v>
      </c>
      <c r="AQ133" t="s">
        <v>74</v>
      </c>
      <c r="AR133" t="s">
        <v>74</v>
      </c>
      <c r="AS133" t="s">
        <v>74</v>
      </c>
      <c r="AT133" t="s">
        <v>624</v>
      </c>
      <c r="AU133">
        <v>2022</v>
      </c>
      <c r="AV133">
        <v>14</v>
      </c>
      <c r="AW133">
        <v>13</v>
      </c>
      <c r="AX133" t="s">
        <v>74</v>
      </c>
      <c r="AY133" t="s">
        <v>74</v>
      </c>
      <c r="AZ133" t="s">
        <v>74</v>
      </c>
      <c r="BA133" t="s">
        <v>74</v>
      </c>
      <c r="BB133" t="s">
        <v>74</v>
      </c>
      <c r="BC133" t="s">
        <v>74</v>
      </c>
      <c r="BD133">
        <v>2106</v>
      </c>
      <c r="BE133" t="s">
        <v>1148</v>
      </c>
      <c r="BF133" t="str">
        <f>HYPERLINK("http://dx.doi.org/10.3390/w14132106","http://dx.doi.org/10.3390/w14132106")</f>
        <v>http://dx.doi.org/10.3390/w14132106</v>
      </c>
      <c r="BG133" t="s">
        <v>74</v>
      </c>
      <c r="BH133" t="s">
        <v>74</v>
      </c>
      <c r="BI133" t="s">
        <v>74</v>
      </c>
      <c r="BJ133" t="s">
        <v>74</v>
      </c>
      <c r="BK133" t="s">
        <v>74</v>
      </c>
      <c r="BL133" t="s">
        <v>74</v>
      </c>
      <c r="BM133" t="s">
        <v>74</v>
      </c>
      <c r="BN133" t="s">
        <v>74</v>
      </c>
      <c r="BO133" t="s">
        <v>74</v>
      </c>
      <c r="BP133" t="s">
        <v>74</v>
      </c>
      <c r="BQ133" t="s">
        <v>74</v>
      </c>
      <c r="BR133" t="s">
        <v>74</v>
      </c>
      <c r="BS133" t="s">
        <v>1149</v>
      </c>
      <c r="BT133" t="str">
        <f>HYPERLINK("https%3A%2F%2Fwww.webofscience.com%2Fwos%2Fwoscc%2Ffull-record%2FWOS:000823998000001","View Full Record in Web of Science")</f>
        <v>View Full Record in Web of Science</v>
      </c>
    </row>
    <row r="134" spans="1:72" x14ac:dyDescent="0.2">
      <c r="A134" t="s">
        <v>72</v>
      </c>
      <c r="B134" t="s">
        <v>1150</v>
      </c>
      <c r="C134" t="s">
        <v>74</v>
      </c>
      <c r="D134" t="s">
        <v>74</v>
      </c>
      <c r="E134" t="s">
        <v>74</v>
      </c>
      <c r="F134" t="s">
        <v>1151</v>
      </c>
      <c r="G134" t="s">
        <v>74</v>
      </c>
      <c r="H134" t="s">
        <v>74</v>
      </c>
      <c r="I134" t="s">
        <v>1152</v>
      </c>
      <c r="J134" t="s">
        <v>1153</v>
      </c>
      <c r="K134" t="s">
        <v>74</v>
      </c>
      <c r="L134" t="s">
        <v>74</v>
      </c>
      <c r="M134" t="s">
        <v>74</v>
      </c>
      <c r="N134" t="s">
        <v>74</v>
      </c>
      <c r="O134" t="s">
        <v>74</v>
      </c>
      <c r="P134" t="s">
        <v>74</v>
      </c>
      <c r="Q134" t="s">
        <v>74</v>
      </c>
      <c r="R134" t="s">
        <v>74</v>
      </c>
      <c r="S134" t="s">
        <v>74</v>
      </c>
      <c r="T134" t="s">
        <v>74</v>
      </c>
      <c r="U134" t="s">
        <v>74</v>
      </c>
      <c r="V134" t="s">
        <v>74</v>
      </c>
      <c r="W134" t="s">
        <v>74</v>
      </c>
      <c r="X134" t="s">
        <v>74</v>
      </c>
      <c r="Y134" t="s">
        <v>74</v>
      </c>
      <c r="Z134" t="s">
        <v>74</v>
      </c>
      <c r="AA134" t="s">
        <v>1154</v>
      </c>
      <c r="AB134" t="s">
        <v>1155</v>
      </c>
      <c r="AC134" t="s">
        <v>74</v>
      </c>
      <c r="AD134" t="s">
        <v>74</v>
      </c>
      <c r="AE134" t="s">
        <v>74</v>
      </c>
      <c r="AF134" t="s">
        <v>74</v>
      </c>
      <c r="AG134" t="s">
        <v>74</v>
      </c>
      <c r="AH134" t="s">
        <v>74</v>
      </c>
      <c r="AI134" t="s">
        <v>74</v>
      </c>
      <c r="AJ134" t="s">
        <v>74</v>
      </c>
      <c r="AK134" t="s">
        <v>74</v>
      </c>
      <c r="AL134" t="s">
        <v>74</v>
      </c>
      <c r="AM134" t="s">
        <v>74</v>
      </c>
      <c r="AN134" t="s">
        <v>74</v>
      </c>
      <c r="AO134" t="s">
        <v>1156</v>
      </c>
      <c r="AP134" t="s">
        <v>1157</v>
      </c>
      <c r="AQ134" t="s">
        <v>74</v>
      </c>
      <c r="AR134" t="s">
        <v>74</v>
      </c>
      <c r="AS134" t="s">
        <v>74</v>
      </c>
      <c r="AT134" t="s">
        <v>1158</v>
      </c>
      <c r="AU134">
        <v>2023</v>
      </c>
      <c r="AV134">
        <v>31</v>
      </c>
      <c r="AW134">
        <v>1</v>
      </c>
      <c r="AX134" t="s">
        <v>74</v>
      </c>
      <c r="AY134" t="s">
        <v>74</v>
      </c>
      <c r="AZ134" t="s">
        <v>74</v>
      </c>
      <c r="BA134" t="s">
        <v>74</v>
      </c>
      <c r="BB134">
        <v>141</v>
      </c>
      <c r="BC134">
        <v>159</v>
      </c>
      <c r="BD134" t="s">
        <v>74</v>
      </c>
      <c r="BE134" t="s">
        <v>1159</v>
      </c>
      <c r="BF134" t="str">
        <f>HYPERLINK("http://dx.doi.org/10.1080/23308249.2022.2095198","http://dx.doi.org/10.1080/23308249.2022.2095198")</f>
        <v>http://dx.doi.org/10.1080/23308249.2022.2095198</v>
      </c>
      <c r="BG134" t="s">
        <v>74</v>
      </c>
      <c r="BH134" t="s">
        <v>1160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 t="s">
        <v>74</v>
      </c>
      <c r="BO134" t="s">
        <v>74</v>
      </c>
      <c r="BP134" t="s">
        <v>74</v>
      </c>
      <c r="BQ134" t="s">
        <v>74</v>
      </c>
      <c r="BR134" t="s">
        <v>74</v>
      </c>
      <c r="BS134" t="s">
        <v>1161</v>
      </c>
      <c r="BT134" t="str">
        <f>HYPERLINK("https%3A%2F%2Fwww.webofscience.com%2Fwos%2Fwoscc%2Ffull-record%2FWOS:000828559100001","View Full Record in Web of Science")</f>
        <v>View Full Record in Web of Science</v>
      </c>
    </row>
    <row r="135" spans="1:72" x14ac:dyDescent="0.2">
      <c r="A135" t="s">
        <v>72</v>
      </c>
      <c r="B135" t="s">
        <v>1162</v>
      </c>
      <c r="C135" t="s">
        <v>74</v>
      </c>
      <c r="D135" t="s">
        <v>74</v>
      </c>
      <c r="E135" t="s">
        <v>74</v>
      </c>
      <c r="F135" t="s">
        <v>1163</v>
      </c>
      <c r="G135" t="s">
        <v>74</v>
      </c>
      <c r="H135" t="s">
        <v>74</v>
      </c>
      <c r="I135" t="s">
        <v>1164</v>
      </c>
      <c r="J135" t="s">
        <v>1165</v>
      </c>
      <c r="K135" t="s">
        <v>74</v>
      </c>
      <c r="L135" t="s">
        <v>74</v>
      </c>
      <c r="M135" t="s">
        <v>74</v>
      </c>
      <c r="N135" t="s">
        <v>74</v>
      </c>
      <c r="O135" t="s">
        <v>74</v>
      </c>
      <c r="P135" t="s">
        <v>74</v>
      </c>
      <c r="Q135" t="s">
        <v>74</v>
      </c>
      <c r="R135" t="s">
        <v>74</v>
      </c>
      <c r="S135" t="s">
        <v>74</v>
      </c>
      <c r="T135" t="s">
        <v>74</v>
      </c>
      <c r="U135" t="s">
        <v>74</v>
      </c>
      <c r="V135" t="s">
        <v>74</v>
      </c>
      <c r="W135" t="s">
        <v>74</v>
      </c>
      <c r="X135" t="s">
        <v>74</v>
      </c>
      <c r="Y135" t="s">
        <v>74</v>
      </c>
      <c r="Z135" t="s">
        <v>74</v>
      </c>
      <c r="AA135" t="s">
        <v>6831</v>
      </c>
      <c r="AB135" t="s">
        <v>6832</v>
      </c>
      <c r="AC135" t="s">
        <v>74</v>
      </c>
      <c r="AD135" t="s">
        <v>74</v>
      </c>
      <c r="AE135" t="s">
        <v>74</v>
      </c>
      <c r="AF135" t="s">
        <v>74</v>
      </c>
      <c r="AG135" t="s">
        <v>74</v>
      </c>
      <c r="AH135" t="s">
        <v>74</v>
      </c>
      <c r="AI135" t="s">
        <v>74</v>
      </c>
      <c r="AJ135" t="s">
        <v>74</v>
      </c>
      <c r="AK135" t="s">
        <v>74</v>
      </c>
      <c r="AL135" t="s">
        <v>74</v>
      </c>
      <c r="AM135" t="s">
        <v>74</v>
      </c>
      <c r="AN135" t="s">
        <v>74</v>
      </c>
      <c r="AO135" t="s">
        <v>1166</v>
      </c>
      <c r="AP135" t="s">
        <v>1167</v>
      </c>
      <c r="AQ135" t="s">
        <v>74</v>
      </c>
      <c r="AR135" t="s">
        <v>74</v>
      </c>
      <c r="AS135" t="s">
        <v>74</v>
      </c>
      <c r="AT135" t="s">
        <v>451</v>
      </c>
      <c r="AU135">
        <v>2022</v>
      </c>
      <c r="AV135">
        <v>16</v>
      </c>
      <c r="AW135">
        <v>9</v>
      </c>
      <c r="AX135" t="s">
        <v>74</v>
      </c>
      <c r="AY135" t="s">
        <v>74</v>
      </c>
      <c r="AZ135" t="s">
        <v>74</v>
      </c>
      <c r="BA135" t="s">
        <v>74</v>
      </c>
      <c r="BB135">
        <v>2242</v>
      </c>
      <c r="BC135">
        <v>2254</v>
      </c>
      <c r="BD135" t="s">
        <v>74</v>
      </c>
      <c r="BE135" t="s">
        <v>1168</v>
      </c>
      <c r="BF135" t="str">
        <f>HYPERLINK("http://dx.doi.org/10.1038/s41396-022-01267-y","http://dx.doi.org/10.1038/s41396-022-01267-y")</f>
        <v>http://dx.doi.org/10.1038/s41396-022-01267-y</v>
      </c>
      <c r="BG135" t="s">
        <v>74</v>
      </c>
      <c r="BH135" t="s">
        <v>1160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>
        <v>35764676</v>
      </c>
      <c r="BO135" t="s">
        <v>74</v>
      </c>
      <c r="BP135" t="s">
        <v>74</v>
      </c>
      <c r="BQ135" t="s">
        <v>74</v>
      </c>
      <c r="BR135" t="s">
        <v>74</v>
      </c>
      <c r="BS135" t="s">
        <v>1169</v>
      </c>
      <c r="BT135" t="str">
        <f>HYPERLINK("https%3A%2F%2Fwww.webofscience.com%2Fwos%2Fwoscc%2Ffull-record%2FWOS:000817854800002","View Full Record in Web of Science")</f>
        <v>View Full Record in Web of Science</v>
      </c>
    </row>
    <row r="136" spans="1:72" x14ac:dyDescent="0.2">
      <c r="A136" t="s">
        <v>72</v>
      </c>
      <c r="B136" t="s">
        <v>1170</v>
      </c>
      <c r="C136" t="s">
        <v>74</v>
      </c>
      <c r="D136" t="s">
        <v>74</v>
      </c>
      <c r="E136" t="s">
        <v>74</v>
      </c>
      <c r="F136" t="s">
        <v>1171</v>
      </c>
      <c r="G136" t="s">
        <v>74</v>
      </c>
      <c r="H136" t="s">
        <v>74</v>
      </c>
      <c r="I136" t="s">
        <v>1172</v>
      </c>
      <c r="J136" t="s">
        <v>958</v>
      </c>
      <c r="K136" t="s">
        <v>74</v>
      </c>
      <c r="L136" t="s">
        <v>74</v>
      </c>
      <c r="M136" t="s">
        <v>74</v>
      </c>
      <c r="N136" t="s">
        <v>74</v>
      </c>
      <c r="O136" t="s">
        <v>74</v>
      </c>
      <c r="P136" t="s">
        <v>74</v>
      </c>
      <c r="Q136" t="s">
        <v>74</v>
      </c>
      <c r="R136" t="s">
        <v>74</v>
      </c>
      <c r="S136" t="s">
        <v>74</v>
      </c>
      <c r="T136" t="s">
        <v>74</v>
      </c>
      <c r="U136" t="s">
        <v>74</v>
      </c>
      <c r="V136" t="s">
        <v>74</v>
      </c>
      <c r="W136" t="s">
        <v>74</v>
      </c>
      <c r="X136" t="s">
        <v>74</v>
      </c>
      <c r="Y136" t="s">
        <v>74</v>
      </c>
      <c r="Z136" t="s">
        <v>74</v>
      </c>
      <c r="AA136" t="s">
        <v>1173</v>
      </c>
      <c r="AB136" t="s">
        <v>1174</v>
      </c>
      <c r="AC136" t="s">
        <v>74</v>
      </c>
      <c r="AD136" t="s">
        <v>74</v>
      </c>
      <c r="AE136" t="s">
        <v>74</v>
      </c>
      <c r="AF136" t="s">
        <v>74</v>
      </c>
      <c r="AG136" t="s">
        <v>74</v>
      </c>
      <c r="AH136" t="s">
        <v>74</v>
      </c>
      <c r="AI136" t="s">
        <v>74</v>
      </c>
      <c r="AJ136" t="s">
        <v>74</v>
      </c>
      <c r="AK136" t="s">
        <v>74</v>
      </c>
      <c r="AL136" t="s">
        <v>74</v>
      </c>
      <c r="AM136" t="s">
        <v>74</v>
      </c>
      <c r="AN136" t="s">
        <v>74</v>
      </c>
      <c r="AO136" t="s">
        <v>959</v>
      </c>
      <c r="AP136" t="s">
        <v>74</v>
      </c>
      <c r="AQ136" t="s">
        <v>74</v>
      </c>
      <c r="AR136" t="s">
        <v>74</v>
      </c>
      <c r="AS136" t="s">
        <v>74</v>
      </c>
      <c r="AT136" t="s">
        <v>1175</v>
      </c>
      <c r="AU136">
        <v>2022</v>
      </c>
      <c r="AV136">
        <v>10</v>
      </c>
      <c r="AW136" t="s">
        <v>74</v>
      </c>
      <c r="AX136" t="s">
        <v>74</v>
      </c>
      <c r="AY136" t="s">
        <v>74</v>
      </c>
      <c r="AZ136" t="s">
        <v>74</v>
      </c>
      <c r="BA136" t="s">
        <v>74</v>
      </c>
      <c r="BB136" t="s">
        <v>74</v>
      </c>
      <c r="BC136" t="s">
        <v>74</v>
      </c>
      <c r="BD136" t="s">
        <v>1176</v>
      </c>
      <c r="BE136" t="s">
        <v>1177</v>
      </c>
      <c r="BF136" t="str">
        <f>HYPERLINK("http://dx.doi.org/10.7717/peerj.13576","http://dx.doi.org/10.7717/peerj.13576")</f>
        <v>http://dx.doi.org/10.7717/peerj.13576</v>
      </c>
      <c r="BG136" t="s">
        <v>74</v>
      </c>
      <c r="BH136" t="s">
        <v>74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>
        <v>35765593</v>
      </c>
      <c r="BO136" t="s">
        <v>74</v>
      </c>
      <c r="BP136" t="s">
        <v>74</v>
      </c>
      <c r="BQ136" t="s">
        <v>74</v>
      </c>
      <c r="BR136" t="s">
        <v>74</v>
      </c>
      <c r="BS136" t="s">
        <v>1178</v>
      </c>
      <c r="BT136" t="str">
        <f>HYPERLINK("https%3A%2F%2Fwww.webofscience.com%2Fwos%2Fwoscc%2Ffull-record%2FWOS:000822036300003","View Full Record in Web of Science")</f>
        <v>View Full Record in Web of Science</v>
      </c>
    </row>
    <row r="137" spans="1:72" x14ac:dyDescent="0.2">
      <c r="A137" t="s">
        <v>72</v>
      </c>
      <c r="B137" t="s">
        <v>1179</v>
      </c>
      <c r="C137" t="s">
        <v>74</v>
      </c>
      <c r="D137" t="s">
        <v>74</v>
      </c>
      <c r="E137" t="s">
        <v>74</v>
      </c>
      <c r="F137" t="s">
        <v>1180</v>
      </c>
      <c r="G137" t="s">
        <v>74</v>
      </c>
      <c r="H137" t="s">
        <v>74</v>
      </c>
      <c r="I137" t="s">
        <v>1181</v>
      </c>
      <c r="J137" t="s">
        <v>218</v>
      </c>
      <c r="K137" t="s">
        <v>74</v>
      </c>
      <c r="L137" t="s">
        <v>74</v>
      </c>
      <c r="M137" t="s">
        <v>74</v>
      </c>
      <c r="N137" t="s">
        <v>74</v>
      </c>
      <c r="O137" t="s">
        <v>74</v>
      </c>
      <c r="P137" t="s">
        <v>74</v>
      </c>
      <c r="Q137" t="s">
        <v>74</v>
      </c>
      <c r="R137" t="s">
        <v>74</v>
      </c>
      <c r="S137" t="s">
        <v>74</v>
      </c>
      <c r="T137" t="s">
        <v>74</v>
      </c>
      <c r="U137" t="s">
        <v>74</v>
      </c>
      <c r="V137" t="s">
        <v>74</v>
      </c>
      <c r="W137" t="s">
        <v>74</v>
      </c>
      <c r="X137" t="s">
        <v>74</v>
      </c>
      <c r="Y137" t="s">
        <v>74</v>
      </c>
      <c r="Z137" t="s">
        <v>74</v>
      </c>
      <c r="AA137" t="s">
        <v>1182</v>
      </c>
      <c r="AB137" t="s">
        <v>237</v>
      </c>
      <c r="AC137" t="s">
        <v>74</v>
      </c>
      <c r="AD137" t="s">
        <v>74</v>
      </c>
      <c r="AE137" t="s">
        <v>74</v>
      </c>
      <c r="AF137" t="s">
        <v>74</v>
      </c>
      <c r="AG137" t="s">
        <v>74</v>
      </c>
      <c r="AH137" t="s">
        <v>74</v>
      </c>
      <c r="AI137" t="s">
        <v>74</v>
      </c>
      <c r="AJ137" t="s">
        <v>74</v>
      </c>
      <c r="AK137" t="s">
        <v>74</v>
      </c>
      <c r="AL137" t="s">
        <v>74</v>
      </c>
      <c r="AM137" t="s">
        <v>74</v>
      </c>
      <c r="AN137" t="s">
        <v>74</v>
      </c>
      <c r="AO137" t="s">
        <v>220</v>
      </c>
      <c r="AP137" t="s">
        <v>74</v>
      </c>
      <c r="AQ137" t="s">
        <v>74</v>
      </c>
      <c r="AR137" t="s">
        <v>74</v>
      </c>
      <c r="AS137" t="s">
        <v>74</v>
      </c>
      <c r="AT137" t="s">
        <v>554</v>
      </c>
      <c r="AU137">
        <v>2022</v>
      </c>
      <c r="AV137">
        <v>12</v>
      </c>
      <c r="AW137">
        <v>1</v>
      </c>
      <c r="AX137" t="s">
        <v>74</v>
      </c>
      <c r="AY137" t="s">
        <v>74</v>
      </c>
      <c r="AZ137" t="s">
        <v>74</v>
      </c>
      <c r="BA137" t="s">
        <v>74</v>
      </c>
      <c r="BB137" t="s">
        <v>74</v>
      </c>
      <c r="BC137" t="s">
        <v>74</v>
      </c>
      <c r="BD137">
        <v>10501</v>
      </c>
      <c r="BE137" t="s">
        <v>1183</v>
      </c>
      <c r="BF137" t="str">
        <f>HYPERLINK("http://dx.doi.org/10.1038/s41598-022-14301-y","http://dx.doi.org/10.1038/s41598-022-14301-y")</f>
        <v>http://dx.doi.org/10.1038/s41598-022-14301-y</v>
      </c>
      <c r="BG137" t="s">
        <v>74</v>
      </c>
      <c r="BH137" t="s">
        <v>74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>
        <v>35732678</v>
      </c>
      <c r="BO137" t="s">
        <v>74</v>
      </c>
      <c r="BP137" t="s">
        <v>74</v>
      </c>
      <c r="BQ137" t="s">
        <v>74</v>
      </c>
      <c r="BR137" t="s">
        <v>74</v>
      </c>
      <c r="BS137" t="s">
        <v>1184</v>
      </c>
      <c r="BT137" t="str">
        <f>HYPERLINK("https%3A%2F%2Fwww.webofscience.com%2Fwos%2Fwoscc%2Ffull-record%2FWOS:000814836700080","View Full Record in Web of Science")</f>
        <v>View Full Record in Web of Science</v>
      </c>
    </row>
    <row r="138" spans="1:72" x14ac:dyDescent="0.2">
      <c r="A138" t="s">
        <v>72</v>
      </c>
      <c r="B138" t="s">
        <v>492</v>
      </c>
      <c r="C138" t="s">
        <v>74</v>
      </c>
      <c r="D138" t="s">
        <v>74</v>
      </c>
      <c r="E138" t="s">
        <v>74</v>
      </c>
      <c r="F138" t="s">
        <v>493</v>
      </c>
      <c r="G138" t="s">
        <v>74</v>
      </c>
      <c r="H138" t="s">
        <v>74</v>
      </c>
      <c r="I138" t="s">
        <v>1185</v>
      </c>
      <c r="J138" t="s">
        <v>106</v>
      </c>
      <c r="K138" t="s">
        <v>74</v>
      </c>
      <c r="L138" t="s">
        <v>74</v>
      </c>
      <c r="M138" t="s">
        <v>74</v>
      </c>
      <c r="N138" t="s">
        <v>74</v>
      </c>
      <c r="O138" t="s">
        <v>74</v>
      </c>
      <c r="P138" t="s">
        <v>74</v>
      </c>
      <c r="Q138" t="s">
        <v>74</v>
      </c>
      <c r="R138" t="s">
        <v>74</v>
      </c>
      <c r="S138" t="s">
        <v>74</v>
      </c>
      <c r="T138" t="s">
        <v>74</v>
      </c>
      <c r="U138" t="s">
        <v>74</v>
      </c>
      <c r="V138" t="s">
        <v>74</v>
      </c>
      <c r="W138" t="s">
        <v>74</v>
      </c>
      <c r="X138" t="s">
        <v>74</v>
      </c>
      <c r="Y138" t="s">
        <v>74</v>
      </c>
      <c r="Z138" t="s">
        <v>74</v>
      </c>
      <c r="AA138" t="s">
        <v>495</v>
      </c>
      <c r="AB138" t="s">
        <v>496</v>
      </c>
      <c r="AC138" t="s">
        <v>74</v>
      </c>
      <c r="AD138" t="s">
        <v>74</v>
      </c>
      <c r="AE138" t="s">
        <v>74</v>
      </c>
      <c r="AF138" t="s">
        <v>74</v>
      </c>
      <c r="AG138" t="s">
        <v>74</v>
      </c>
      <c r="AH138" t="s">
        <v>74</v>
      </c>
      <c r="AI138" t="s">
        <v>74</v>
      </c>
      <c r="AJ138" t="s">
        <v>74</v>
      </c>
      <c r="AK138" t="s">
        <v>74</v>
      </c>
      <c r="AL138" t="s">
        <v>74</v>
      </c>
      <c r="AM138" t="s">
        <v>74</v>
      </c>
      <c r="AN138" t="s">
        <v>74</v>
      </c>
      <c r="AO138" t="s">
        <v>107</v>
      </c>
      <c r="AP138" t="s">
        <v>108</v>
      </c>
      <c r="AQ138" t="s">
        <v>74</v>
      </c>
      <c r="AR138" t="s">
        <v>74</v>
      </c>
      <c r="AS138" t="s">
        <v>74</v>
      </c>
      <c r="AT138" t="s">
        <v>1186</v>
      </c>
      <c r="AU138">
        <v>2022</v>
      </c>
      <c r="AV138">
        <v>44</v>
      </c>
      <c r="AW138">
        <v>4</v>
      </c>
      <c r="AX138" t="s">
        <v>74</v>
      </c>
      <c r="AY138" t="s">
        <v>74</v>
      </c>
      <c r="AZ138" t="s">
        <v>74</v>
      </c>
      <c r="BA138" t="s">
        <v>74</v>
      </c>
      <c r="BB138">
        <v>528</v>
      </c>
      <c r="BC138">
        <v>541</v>
      </c>
      <c r="BD138" t="s">
        <v>74</v>
      </c>
      <c r="BE138" t="s">
        <v>1187</v>
      </c>
      <c r="BF138" t="str">
        <f>HYPERLINK("http://dx.doi.org/10.1093/plankt/fbac030","http://dx.doi.org/10.1093/plankt/fbac030")</f>
        <v>http://dx.doi.org/10.1093/plankt/fbac030</v>
      </c>
      <c r="BG138" t="s">
        <v>74</v>
      </c>
      <c r="BH138" t="s">
        <v>1160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 t="s">
        <v>74</v>
      </c>
      <c r="BR138" t="s">
        <v>74</v>
      </c>
      <c r="BS138" t="s">
        <v>1188</v>
      </c>
      <c r="BT138" t="str">
        <f>HYPERLINK("https%3A%2F%2Fwww.webofscience.com%2Fwos%2Fwoscc%2Ffull-record%2FWOS:000814273800001","View Full Record in Web of Science")</f>
        <v>View Full Record in Web of Science</v>
      </c>
    </row>
    <row r="139" spans="1:72" x14ac:dyDescent="0.2">
      <c r="A139" t="s">
        <v>72</v>
      </c>
      <c r="B139" t="s">
        <v>1189</v>
      </c>
      <c r="C139" t="s">
        <v>74</v>
      </c>
      <c r="D139" t="s">
        <v>74</v>
      </c>
      <c r="E139" t="s">
        <v>74</v>
      </c>
      <c r="F139" t="s">
        <v>1190</v>
      </c>
      <c r="G139" t="s">
        <v>74</v>
      </c>
      <c r="H139" t="s">
        <v>74</v>
      </c>
      <c r="I139" t="s">
        <v>1191</v>
      </c>
      <c r="J139" t="s">
        <v>949</v>
      </c>
      <c r="K139" t="s">
        <v>74</v>
      </c>
      <c r="L139" t="s">
        <v>74</v>
      </c>
      <c r="M139" t="s">
        <v>74</v>
      </c>
      <c r="N139" t="s">
        <v>74</v>
      </c>
      <c r="O139" t="s">
        <v>74</v>
      </c>
      <c r="P139" t="s">
        <v>74</v>
      </c>
      <c r="Q139" t="s">
        <v>74</v>
      </c>
      <c r="R139" t="s">
        <v>74</v>
      </c>
      <c r="S139" t="s">
        <v>74</v>
      </c>
      <c r="T139" t="s">
        <v>74</v>
      </c>
      <c r="U139" t="s">
        <v>74</v>
      </c>
      <c r="V139" t="s">
        <v>74</v>
      </c>
      <c r="W139" t="s">
        <v>74</v>
      </c>
      <c r="X139" t="s">
        <v>74</v>
      </c>
      <c r="Y139" t="s">
        <v>74</v>
      </c>
      <c r="Z139" t="s">
        <v>74</v>
      </c>
      <c r="AA139" t="s">
        <v>1192</v>
      </c>
      <c r="AB139" t="s">
        <v>74</v>
      </c>
      <c r="AC139" t="s">
        <v>74</v>
      </c>
      <c r="AD139" t="s">
        <v>74</v>
      </c>
      <c r="AE139" t="s">
        <v>74</v>
      </c>
      <c r="AF139" t="s">
        <v>74</v>
      </c>
      <c r="AG139" t="s">
        <v>74</v>
      </c>
      <c r="AH139" t="s">
        <v>74</v>
      </c>
      <c r="AI139" t="s">
        <v>74</v>
      </c>
      <c r="AJ139" t="s">
        <v>74</v>
      </c>
      <c r="AK139" t="s">
        <v>74</v>
      </c>
      <c r="AL139" t="s">
        <v>74</v>
      </c>
      <c r="AM139" t="s">
        <v>74</v>
      </c>
      <c r="AN139" t="s">
        <v>74</v>
      </c>
      <c r="AO139" t="s">
        <v>74</v>
      </c>
      <c r="AP139" t="s">
        <v>951</v>
      </c>
      <c r="AQ139" t="s">
        <v>74</v>
      </c>
      <c r="AR139" t="s">
        <v>74</v>
      </c>
      <c r="AS139" t="s">
        <v>74</v>
      </c>
      <c r="AT139" t="s">
        <v>1193</v>
      </c>
      <c r="AU139">
        <v>2022</v>
      </c>
      <c r="AV139">
        <v>9</v>
      </c>
      <c r="AW139" t="s">
        <v>74</v>
      </c>
      <c r="AX139" t="s">
        <v>74</v>
      </c>
      <c r="AY139" t="s">
        <v>74</v>
      </c>
      <c r="AZ139" t="s">
        <v>74</v>
      </c>
      <c r="BA139" t="s">
        <v>74</v>
      </c>
      <c r="BB139" t="s">
        <v>74</v>
      </c>
      <c r="BC139" t="s">
        <v>74</v>
      </c>
      <c r="BD139">
        <v>880123</v>
      </c>
      <c r="BE139" t="s">
        <v>1194</v>
      </c>
      <c r="BF139" t="str">
        <f>HYPERLINK("http://dx.doi.org/10.3389/fmars.2022.880123","http://dx.doi.org/10.3389/fmars.2022.880123")</f>
        <v>http://dx.doi.org/10.3389/fmars.2022.880123</v>
      </c>
      <c r="BG139" t="s">
        <v>74</v>
      </c>
      <c r="BH139" t="s">
        <v>74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 t="s">
        <v>74</v>
      </c>
      <c r="BO139" t="s">
        <v>74</v>
      </c>
      <c r="BP139" t="s">
        <v>74</v>
      </c>
      <c r="BQ139" t="s">
        <v>74</v>
      </c>
      <c r="BR139" t="s">
        <v>74</v>
      </c>
      <c r="BS139" t="s">
        <v>1195</v>
      </c>
      <c r="BT139" t="str">
        <f>HYPERLINK("https%3A%2F%2Fwww.webofscience.com%2Fwos%2Fwoscc%2Ffull-record%2FWOS:000865467600001","View Full Record in Web of Science")</f>
        <v>View Full Record in Web of Science</v>
      </c>
    </row>
    <row r="140" spans="1:72" x14ac:dyDescent="0.2">
      <c r="A140" t="s">
        <v>72</v>
      </c>
      <c r="B140" t="s">
        <v>1196</v>
      </c>
      <c r="C140" t="s">
        <v>74</v>
      </c>
      <c r="D140" t="s">
        <v>74</v>
      </c>
      <c r="E140" t="s">
        <v>74</v>
      </c>
      <c r="F140" t="s">
        <v>1197</v>
      </c>
      <c r="G140" t="s">
        <v>74</v>
      </c>
      <c r="H140" t="s">
        <v>74</v>
      </c>
      <c r="I140" t="s">
        <v>1198</v>
      </c>
      <c r="J140" t="s">
        <v>1199</v>
      </c>
      <c r="K140" t="s">
        <v>74</v>
      </c>
      <c r="L140" t="s">
        <v>74</v>
      </c>
      <c r="M140" t="s">
        <v>74</v>
      </c>
      <c r="N140" t="s">
        <v>74</v>
      </c>
      <c r="O140" t="s">
        <v>74</v>
      </c>
      <c r="P140" t="s">
        <v>74</v>
      </c>
      <c r="Q140" t="s">
        <v>74</v>
      </c>
      <c r="R140" t="s">
        <v>74</v>
      </c>
      <c r="S140" t="s">
        <v>74</v>
      </c>
      <c r="T140" t="s">
        <v>74</v>
      </c>
      <c r="U140" t="s">
        <v>74</v>
      </c>
      <c r="V140" t="s">
        <v>74</v>
      </c>
      <c r="W140" t="s">
        <v>74</v>
      </c>
      <c r="X140" t="s">
        <v>74</v>
      </c>
      <c r="Y140" t="s">
        <v>74</v>
      </c>
      <c r="Z140" t="s">
        <v>74</v>
      </c>
      <c r="AA140" t="s">
        <v>1200</v>
      </c>
      <c r="AB140" t="s">
        <v>6833</v>
      </c>
      <c r="AC140" t="s">
        <v>74</v>
      </c>
      <c r="AD140" t="s">
        <v>74</v>
      </c>
      <c r="AE140" t="s">
        <v>74</v>
      </c>
      <c r="AF140" t="s">
        <v>74</v>
      </c>
      <c r="AG140" t="s">
        <v>74</v>
      </c>
      <c r="AH140" t="s">
        <v>74</v>
      </c>
      <c r="AI140" t="s">
        <v>74</v>
      </c>
      <c r="AJ140" t="s">
        <v>74</v>
      </c>
      <c r="AK140" t="s">
        <v>74</v>
      </c>
      <c r="AL140" t="s">
        <v>74</v>
      </c>
      <c r="AM140" t="s">
        <v>74</v>
      </c>
      <c r="AN140" t="s">
        <v>74</v>
      </c>
      <c r="AO140" t="s">
        <v>1201</v>
      </c>
      <c r="AP140" t="s">
        <v>1202</v>
      </c>
      <c r="AQ140" t="s">
        <v>74</v>
      </c>
      <c r="AR140" t="s">
        <v>74</v>
      </c>
      <c r="AS140" t="s">
        <v>74</v>
      </c>
      <c r="AT140" t="s">
        <v>315</v>
      </c>
      <c r="AU140">
        <v>2023</v>
      </c>
      <c r="AV140">
        <v>32</v>
      </c>
      <c r="AW140">
        <v>1</v>
      </c>
      <c r="AX140" t="s">
        <v>74</v>
      </c>
      <c r="AY140" t="s">
        <v>74</v>
      </c>
      <c r="AZ140" t="s">
        <v>74</v>
      </c>
      <c r="BA140" t="s">
        <v>74</v>
      </c>
      <c r="BB140">
        <v>10</v>
      </c>
      <c r="BC140">
        <v>22</v>
      </c>
      <c r="BD140" t="s">
        <v>74</v>
      </c>
      <c r="BE140" t="s">
        <v>1203</v>
      </c>
      <c r="BF140" t="str">
        <f>HYPERLINK("http://dx.doi.org/10.1111/eff.12668","http://dx.doi.org/10.1111/eff.12668")</f>
        <v>http://dx.doi.org/10.1111/eff.12668</v>
      </c>
      <c r="BG140" t="s">
        <v>74</v>
      </c>
      <c r="BH140" t="s">
        <v>1160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 t="s">
        <v>74</v>
      </c>
      <c r="BO140" t="s">
        <v>74</v>
      </c>
      <c r="BP140" t="s">
        <v>74</v>
      </c>
      <c r="BQ140" t="s">
        <v>74</v>
      </c>
      <c r="BR140" t="s">
        <v>74</v>
      </c>
      <c r="BS140" t="s">
        <v>1204</v>
      </c>
      <c r="BT140" t="str">
        <f>HYPERLINK("https%3A%2F%2Fwww.webofscience.com%2Fwos%2Fwoscc%2Ffull-record%2FWOS:000811427400001","View Full Record in Web of Science")</f>
        <v>View Full Record in Web of Science</v>
      </c>
    </row>
    <row r="141" spans="1:72" x14ac:dyDescent="0.2">
      <c r="A141" t="s">
        <v>72</v>
      </c>
      <c r="B141" t="s">
        <v>1205</v>
      </c>
      <c r="C141" t="s">
        <v>74</v>
      </c>
      <c r="D141" t="s">
        <v>74</v>
      </c>
      <c r="E141" t="s">
        <v>74</v>
      </c>
      <c r="F141" t="s">
        <v>1206</v>
      </c>
      <c r="G141" t="s">
        <v>74</v>
      </c>
      <c r="H141" t="s">
        <v>74</v>
      </c>
      <c r="I141" t="s">
        <v>1207</v>
      </c>
      <c r="J141" t="s">
        <v>190</v>
      </c>
      <c r="K141" t="s">
        <v>74</v>
      </c>
      <c r="L141" t="s">
        <v>74</v>
      </c>
      <c r="M141" t="s">
        <v>74</v>
      </c>
      <c r="N141" t="s">
        <v>74</v>
      </c>
      <c r="O141" t="s">
        <v>74</v>
      </c>
      <c r="P141" t="s">
        <v>74</v>
      </c>
      <c r="Q141" t="s">
        <v>74</v>
      </c>
      <c r="R141" t="s">
        <v>74</v>
      </c>
      <c r="S141" t="s">
        <v>74</v>
      </c>
      <c r="T141" t="s">
        <v>74</v>
      </c>
      <c r="U141" t="s">
        <v>74</v>
      </c>
      <c r="V141" t="s">
        <v>74</v>
      </c>
      <c r="W141" t="s">
        <v>74</v>
      </c>
      <c r="X141" t="s">
        <v>74</v>
      </c>
      <c r="Y141" t="s">
        <v>74</v>
      </c>
      <c r="Z141" t="s">
        <v>74</v>
      </c>
      <c r="AA141" t="s">
        <v>6834</v>
      </c>
      <c r="AB141" t="s">
        <v>74</v>
      </c>
      <c r="AC141" t="s">
        <v>74</v>
      </c>
      <c r="AD141" t="s">
        <v>74</v>
      </c>
      <c r="AE141" t="s">
        <v>74</v>
      </c>
      <c r="AF141" t="s">
        <v>74</v>
      </c>
      <c r="AG141" t="s">
        <v>74</v>
      </c>
      <c r="AH141" t="s">
        <v>74</v>
      </c>
      <c r="AI141" t="s">
        <v>74</v>
      </c>
      <c r="AJ141" t="s">
        <v>74</v>
      </c>
      <c r="AK141" t="s">
        <v>74</v>
      </c>
      <c r="AL141" t="s">
        <v>74</v>
      </c>
      <c r="AM141" t="s">
        <v>74</v>
      </c>
      <c r="AN141" t="s">
        <v>74</v>
      </c>
      <c r="AO141" t="s">
        <v>74</v>
      </c>
      <c r="AP141" t="s">
        <v>191</v>
      </c>
      <c r="AQ141" t="s">
        <v>74</v>
      </c>
      <c r="AR141" t="s">
        <v>74</v>
      </c>
      <c r="AS141" t="s">
        <v>74</v>
      </c>
      <c r="AT141" t="s">
        <v>1208</v>
      </c>
      <c r="AU141">
        <v>2022</v>
      </c>
      <c r="AV141">
        <v>13</v>
      </c>
      <c r="AW141" t="s">
        <v>74</v>
      </c>
      <c r="AX141" t="s">
        <v>74</v>
      </c>
      <c r="AY141" t="s">
        <v>74</v>
      </c>
      <c r="AZ141" t="s">
        <v>74</v>
      </c>
      <c r="BA141" t="s">
        <v>74</v>
      </c>
      <c r="BB141" t="s">
        <v>74</v>
      </c>
      <c r="BC141" t="s">
        <v>74</v>
      </c>
      <c r="BD141">
        <v>900669</v>
      </c>
      <c r="BE141" t="s">
        <v>1209</v>
      </c>
      <c r="BF141" t="str">
        <f>HYPERLINK("http://dx.doi.org/10.3389/fmicb.2022.900669","http://dx.doi.org/10.3389/fmicb.2022.900669")</f>
        <v>http://dx.doi.org/10.3389/fmicb.2022.900669</v>
      </c>
      <c r="BG141" t="s">
        <v>74</v>
      </c>
      <c r="BH141" t="s">
        <v>74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>
        <v>35783413</v>
      </c>
      <c r="BO141" t="s">
        <v>74</v>
      </c>
      <c r="BP141" t="s">
        <v>74</v>
      </c>
      <c r="BQ141" t="s">
        <v>74</v>
      </c>
      <c r="BR141" t="s">
        <v>74</v>
      </c>
      <c r="BS141" t="s">
        <v>1210</v>
      </c>
      <c r="BT141" t="str">
        <f>HYPERLINK("https%3A%2F%2Fwww.webofscience.com%2Fwos%2Fwoscc%2Ffull-record%2FWOS:000817983600001","View Full Record in Web of Science")</f>
        <v>View Full Record in Web of Science</v>
      </c>
    </row>
    <row r="142" spans="1:72" x14ac:dyDescent="0.2">
      <c r="A142" t="s">
        <v>72</v>
      </c>
      <c r="B142" t="s">
        <v>1211</v>
      </c>
      <c r="C142" t="s">
        <v>74</v>
      </c>
      <c r="D142" t="s">
        <v>74</v>
      </c>
      <c r="E142" t="s">
        <v>74</v>
      </c>
      <c r="F142" t="s">
        <v>1212</v>
      </c>
      <c r="G142" t="s">
        <v>74</v>
      </c>
      <c r="H142" t="s">
        <v>74</v>
      </c>
      <c r="I142" t="s">
        <v>1213</v>
      </c>
      <c r="J142" t="s">
        <v>1214</v>
      </c>
      <c r="K142" t="s">
        <v>74</v>
      </c>
      <c r="L142" t="s">
        <v>74</v>
      </c>
      <c r="M142" t="s">
        <v>74</v>
      </c>
      <c r="N142" t="s">
        <v>74</v>
      </c>
      <c r="O142" t="s">
        <v>74</v>
      </c>
      <c r="P142" t="s">
        <v>74</v>
      </c>
      <c r="Q142" t="s">
        <v>74</v>
      </c>
      <c r="R142" t="s">
        <v>74</v>
      </c>
      <c r="S142" t="s">
        <v>74</v>
      </c>
      <c r="T142" t="s">
        <v>74</v>
      </c>
      <c r="U142" t="s">
        <v>74</v>
      </c>
      <c r="V142" t="s">
        <v>74</v>
      </c>
      <c r="W142" t="s">
        <v>74</v>
      </c>
      <c r="X142" t="s">
        <v>74</v>
      </c>
      <c r="Y142" t="s">
        <v>74</v>
      </c>
      <c r="Z142" t="s">
        <v>74</v>
      </c>
      <c r="AA142" t="s">
        <v>1215</v>
      </c>
      <c r="AB142" t="s">
        <v>1216</v>
      </c>
      <c r="AC142" t="s">
        <v>74</v>
      </c>
      <c r="AD142" t="s">
        <v>74</v>
      </c>
      <c r="AE142" t="s">
        <v>74</v>
      </c>
      <c r="AF142" t="s">
        <v>74</v>
      </c>
      <c r="AG142" t="s">
        <v>74</v>
      </c>
      <c r="AH142" t="s">
        <v>74</v>
      </c>
      <c r="AI142" t="s">
        <v>74</v>
      </c>
      <c r="AJ142" t="s">
        <v>74</v>
      </c>
      <c r="AK142" t="s">
        <v>74</v>
      </c>
      <c r="AL142" t="s">
        <v>74</v>
      </c>
      <c r="AM142" t="s">
        <v>74</v>
      </c>
      <c r="AN142" t="s">
        <v>74</v>
      </c>
      <c r="AO142" t="s">
        <v>1217</v>
      </c>
      <c r="AP142" t="s">
        <v>1218</v>
      </c>
      <c r="AQ142" t="s">
        <v>74</v>
      </c>
      <c r="AR142" t="s">
        <v>74</v>
      </c>
      <c r="AS142" t="s">
        <v>74</v>
      </c>
      <c r="AT142" t="s">
        <v>624</v>
      </c>
      <c r="AU142">
        <v>2022</v>
      </c>
      <c r="AV142">
        <v>31</v>
      </c>
      <c r="AW142">
        <v>14</v>
      </c>
      <c r="AX142" t="s">
        <v>74</v>
      </c>
      <c r="AY142" t="s">
        <v>74</v>
      </c>
      <c r="AZ142" t="s">
        <v>74</v>
      </c>
      <c r="BA142" t="s">
        <v>74</v>
      </c>
      <c r="BB142">
        <v>3951</v>
      </c>
      <c r="BC142">
        <v>3962</v>
      </c>
      <c r="BD142" t="s">
        <v>74</v>
      </c>
      <c r="BE142" t="s">
        <v>1219</v>
      </c>
      <c r="BF142" t="str">
        <f>HYPERLINK("http://dx.doi.org/10.1111/mec.16550","http://dx.doi.org/10.1111/mec.16550")</f>
        <v>http://dx.doi.org/10.1111/mec.16550</v>
      </c>
      <c r="BG142" t="s">
        <v>74</v>
      </c>
      <c r="BH142" t="s">
        <v>1160</v>
      </c>
      <c r="BI142" t="s">
        <v>74</v>
      </c>
      <c r="BJ142" t="s">
        <v>74</v>
      </c>
      <c r="BK142" t="s">
        <v>74</v>
      </c>
      <c r="BL142" t="s">
        <v>74</v>
      </c>
      <c r="BM142" t="s">
        <v>74</v>
      </c>
      <c r="BN142">
        <v>35621395</v>
      </c>
      <c r="BO142" t="s">
        <v>74</v>
      </c>
      <c r="BP142" t="s">
        <v>74</v>
      </c>
      <c r="BQ142" t="s">
        <v>74</v>
      </c>
      <c r="BR142" t="s">
        <v>74</v>
      </c>
      <c r="BS142" t="s">
        <v>1220</v>
      </c>
      <c r="BT142" t="str">
        <f>HYPERLINK("https%3A%2F%2Fwww.webofscience.com%2Fwos%2Fwoscc%2Ffull-record%2FWOS:000807225400001","View Full Record in Web of Science")</f>
        <v>View Full Record in Web of Science</v>
      </c>
    </row>
    <row r="143" spans="1:72" x14ac:dyDescent="0.2">
      <c r="A143" t="s">
        <v>72</v>
      </c>
      <c r="B143" t="s">
        <v>1221</v>
      </c>
      <c r="C143" t="s">
        <v>74</v>
      </c>
      <c r="D143" t="s">
        <v>74</v>
      </c>
      <c r="E143" t="s">
        <v>74</v>
      </c>
      <c r="F143" t="s">
        <v>1222</v>
      </c>
      <c r="G143" t="s">
        <v>74</v>
      </c>
      <c r="H143" t="s">
        <v>74</v>
      </c>
      <c r="I143" t="s">
        <v>1223</v>
      </c>
      <c r="J143" t="s">
        <v>1224</v>
      </c>
      <c r="K143" t="s">
        <v>74</v>
      </c>
      <c r="L143" t="s">
        <v>74</v>
      </c>
      <c r="M143" t="s">
        <v>74</v>
      </c>
      <c r="N143" t="s">
        <v>74</v>
      </c>
      <c r="O143" t="s">
        <v>74</v>
      </c>
      <c r="P143" t="s">
        <v>74</v>
      </c>
      <c r="Q143" t="s">
        <v>74</v>
      </c>
      <c r="R143" t="s">
        <v>74</v>
      </c>
      <c r="S143" t="s">
        <v>74</v>
      </c>
      <c r="T143" t="s">
        <v>74</v>
      </c>
      <c r="U143" t="s">
        <v>74</v>
      </c>
      <c r="V143" t="s">
        <v>74</v>
      </c>
      <c r="W143" t="s">
        <v>74</v>
      </c>
      <c r="X143" t="s">
        <v>74</v>
      </c>
      <c r="Y143" t="s">
        <v>74</v>
      </c>
      <c r="Z143" t="s">
        <v>74</v>
      </c>
      <c r="AA143" t="s">
        <v>74</v>
      </c>
      <c r="AB143" t="s">
        <v>6835</v>
      </c>
      <c r="AC143" t="s">
        <v>74</v>
      </c>
      <c r="AD143" t="s">
        <v>74</v>
      </c>
      <c r="AE143" t="s">
        <v>74</v>
      </c>
      <c r="AF143" t="s">
        <v>74</v>
      </c>
      <c r="AG143" t="s">
        <v>74</v>
      </c>
      <c r="AH143" t="s">
        <v>74</v>
      </c>
      <c r="AI143" t="s">
        <v>74</v>
      </c>
      <c r="AJ143" t="s">
        <v>74</v>
      </c>
      <c r="AK143" t="s">
        <v>74</v>
      </c>
      <c r="AL143" t="s">
        <v>74</v>
      </c>
      <c r="AM143" t="s">
        <v>74</v>
      </c>
      <c r="AN143" t="s">
        <v>74</v>
      </c>
      <c r="AO143" t="s">
        <v>1226</v>
      </c>
      <c r="AP143" t="s">
        <v>1227</v>
      </c>
      <c r="AQ143" t="s">
        <v>74</v>
      </c>
      <c r="AR143" t="s">
        <v>74</v>
      </c>
      <c r="AS143" t="s">
        <v>74</v>
      </c>
      <c r="AT143" t="s">
        <v>1124</v>
      </c>
      <c r="AU143">
        <v>2022</v>
      </c>
      <c r="AV143">
        <v>61</v>
      </c>
      <c r="AW143">
        <v>4</v>
      </c>
      <c r="AX143" t="s">
        <v>74</v>
      </c>
      <c r="AY143" t="s">
        <v>74</v>
      </c>
      <c r="AZ143" t="s">
        <v>74</v>
      </c>
      <c r="BA143" t="s">
        <v>74</v>
      </c>
      <c r="BB143">
        <v>436</v>
      </c>
      <c r="BC143">
        <v>443</v>
      </c>
      <c r="BD143" t="s">
        <v>74</v>
      </c>
      <c r="BE143" t="s">
        <v>1228</v>
      </c>
      <c r="BF143" t="str">
        <f>HYPERLINK("http://dx.doi.org/10.1080/00318884.2022.2073077","http://dx.doi.org/10.1080/00318884.2022.2073077")</f>
        <v>http://dx.doi.org/10.1080/00318884.2022.2073077</v>
      </c>
      <c r="BG143" t="s">
        <v>74</v>
      </c>
      <c r="BH143" t="s">
        <v>1160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 t="s">
        <v>74</v>
      </c>
      <c r="BO143" t="s">
        <v>74</v>
      </c>
      <c r="BP143" t="s">
        <v>74</v>
      </c>
      <c r="BQ143" t="s">
        <v>74</v>
      </c>
      <c r="BR143" t="s">
        <v>74</v>
      </c>
      <c r="BS143" t="s">
        <v>1229</v>
      </c>
      <c r="BT143" t="str">
        <f>HYPERLINK("https%3A%2F%2Fwww.webofscience.com%2Fwos%2Fwoscc%2Ffull-record%2FWOS:000807596100001","View Full Record in Web of Science")</f>
        <v>View Full Record in Web of Science</v>
      </c>
    </row>
    <row r="144" spans="1:72" x14ac:dyDescent="0.2">
      <c r="A144" t="s">
        <v>72</v>
      </c>
      <c r="B144" t="s">
        <v>1230</v>
      </c>
      <c r="C144" t="s">
        <v>74</v>
      </c>
      <c r="D144" t="s">
        <v>74</v>
      </c>
      <c r="E144" t="s">
        <v>74</v>
      </c>
      <c r="F144" t="s">
        <v>1231</v>
      </c>
      <c r="G144" t="s">
        <v>74</v>
      </c>
      <c r="H144" t="s">
        <v>74</v>
      </c>
      <c r="I144" t="s">
        <v>1232</v>
      </c>
      <c r="J144" t="s">
        <v>1233</v>
      </c>
      <c r="K144" t="s">
        <v>74</v>
      </c>
      <c r="L144" t="s">
        <v>74</v>
      </c>
      <c r="M144" t="s">
        <v>74</v>
      </c>
      <c r="N144" t="s">
        <v>74</v>
      </c>
      <c r="O144" t="s">
        <v>74</v>
      </c>
      <c r="P144" t="s">
        <v>74</v>
      </c>
      <c r="Q144" t="s">
        <v>74</v>
      </c>
      <c r="R144" t="s">
        <v>74</v>
      </c>
      <c r="S144" t="s">
        <v>74</v>
      </c>
      <c r="T144" t="s">
        <v>74</v>
      </c>
      <c r="U144" t="s">
        <v>74</v>
      </c>
      <c r="V144" t="s">
        <v>74</v>
      </c>
      <c r="W144" t="s">
        <v>74</v>
      </c>
      <c r="X144" t="s">
        <v>74</v>
      </c>
      <c r="Y144" t="s">
        <v>74</v>
      </c>
      <c r="Z144" t="s">
        <v>74</v>
      </c>
      <c r="AA144" t="s">
        <v>1234</v>
      </c>
      <c r="AB144" t="s">
        <v>6836</v>
      </c>
      <c r="AC144" t="s">
        <v>74</v>
      </c>
      <c r="AD144" t="s">
        <v>74</v>
      </c>
      <c r="AE144" t="s">
        <v>74</v>
      </c>
      <c r="AF144" t="s">
        <v>74</v>
      </c>
      <c r="AG144" t="s">
        <v>74</v>
      </c>
      <c r="AH144" t="s">
        <v>74</v>
      </c>
      <c r="AI144" t="s">
        <v>74</v>
      </c>
      <c r="AJ144" t="s">
        <v>74</v>
      </c>
      <c r="AK144" t="s">
        <v>74</v>
      </c>
      <c r="AL144" t="s">
        <v>74</v>
      </c>
      <c r="AM144" t="s">
        <v>74</v>
      </c>
      <c r="AN144" t="s">
        <v>74</v>
      </c>
      <c r="AO144" t="s">
        <v>74</v>
      </c>
      <c r="AP144" t="s">
        <v>1235</v>
      </c>
      <c r="AQ144" t="s">
        <v>74</v>
      </c>
      <c r="AR144" t="s">
        <v>74</v>
      </c>
      <c r="AS144" t="s">
        <v>74</v>
      </c>
      <c r="AT144" t="s">
        <v>569</v>
      </c>
      <c r="AU144">
        <v>2022</v>
      </c>
      <c r="AV144">
        <v>10</v>
      </c>
      <c r="AW144">
        <v>6</v>
      </c>
      <c r="AX144" t="s">
        <v>74</v>
      </c>
      <c r="AY144" t="s">
        <v>74</v>
      </c>
      <c r="AZ144" t="s">
        <v>74</v>
      </c>
      <c r="BA144" t="s">
        <v>74</v>
      </c>
      <c r="BB144" t="s">
        <v>74</v>
      </c>
      <c r="BC144" t="s">
        <v>74</v>
      </c>
      <c r="BD144">
        <v>798</v>
      </c>
      <c r="BE144" t="s">
        <v>1236</v>
      </c>
      <c r="BF144" t="str">
        <f>HYPERLINK("http://dx.doi.org/10.3390/jmse10060798","http://dx.doi.org/10.3390/jmse10060798")</f>
        <v>http://dx.doi.org/10.3390/jmse10060798</v>
      </c>
      <c r="BG144" t="s">
        <v>74</v>
      </c>
      <c r="BH144" t="s">
        <v>74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 t="s">
        <v>74</v>
      </c>
      <c r="BO144" t="s">
        <v>74</v>
      </c>
      <c r="BP144" t="s">
        <v>74</v>
      </c>
      <c r="BQ144" t="s">
        <v>74</v>
      </c>
      <c r="BR144" t="s">
        <v>74</v>
      </c>
      <c r="BS144" t="s">
        <v>1237</v>
      </c>
      <c r="BT144" t="str">
        <f>HYPERLINK("https%3A%2F%2Fwww.webofscience.com%2Fwos%2Fwoscc%2Ffull-record%2FWOS:000817423900001","View Full Record in Web of Science")</f>
        <v>View Full Record in Web of Science</v>
      </c>
    </row>
    <row r="145" spans="1:72" x14ac:dyDescent="0.2">
      <c r="A145" t="s">
        <v>72</v>
      </c>
      <c r="B145" t="s">
        <v>1238</v>
      </c>
      <c r="C145" t="s">
        <v>74</v>
      </c>
      <c r="D145" t="s">
        <v>74</v>
      </c>
      <c r="E145" t="s">
        <v>74</v>
      </c>
      <c r="F145" t="s">
        <v>1239</v>
      </c>
      <c r="G145" t="s">
        <v>74</v>
      </c>
      <c r="H145" t="s">
        <v>74</v>
      </c>
      <c r="I145" t="s">
        <v>1240</v>
      </c>
      <c r="J145" t="s">
        <v>1241</v>
      </c>
      <c r="K145" t="s">
        <v>74</v>
      </c>
      <c r="L145" t="s">
        <v>74</v>
      </c>
      <c r="M145" t="s">
        <v>74</v>
      </c>
      <c r="N145" t="s">
        <v>74</v>
      </c>
      <c r="O145" t="s">
        <v>74</v>
      </c>
      <c r="P145" t="s">
        <v>74</v>
      </c>
      <c r="Q145" t="s">
        <v>74</v>
      </c>
      <c r="R145" t="s">
        <v>74</v>
      </c>
      <c r="S145" t="s">
        <v>74</v>
      </c>
      <c r="T145" t="s">
        <v>74</v>
      </c>
      <c r="U145" t="s">
        <v>74</v>
      </c>
      <c r="V145" t="s">
        <v>74</v>
      </c>
      <c r="W145" t="s">
        <v>74</v>
      </c>
      <c r="X145" t="s">
        <v>74</v>
      </c>
      <c r="Y145" t="s">
        <v>74</v>
      </c>
      <c r="Z145" t="s">
        <v>74</v>
      </c>
      <c r="AA145" t="s">
        <v>74</v>
      </c>
      <c r="AB145" t="s">
        <v>1242</v>
      </c>
      <c r="AC145" t="s">
        <v>74</v>
      </c>
      <c r="AD145" t="s">
        <v>74</v>
      </c>
      <c r="AE145" t="s">
        <v>74</v>
      </c>
      <c r="AF145" t="s">
        <v>74</v>
      </c>
      <c r="AG145" t="s">
        <v>74</v>
      </c>
      <c r="AH145" t="s">
        <v>74</v>
      </c>
      <c r="AI145" t="s">
        <v>74</v>
      </c>
      <c r="AJ145" t="s">
        <v>74</v>
      </c>
      <c r="AK145" t="s">
        <v>74</v>
      </c>
      <c r="AL145" t="s">
        <v>74</v>
      </c>
      <c r="AM145" t="s">
        <v>74</v>
      </c>
      <c r="AN145" t="s">
        <v>74</v>
      </c>
      <c r="AO145" t="s">
        <v>1243</v>
      </c>
      <c r="AP145" t="s">
        <v>1244</v>
      </c>
      <c r="AQ145" t="s">
        <v>74</v>
      </c>
      <c r="AR145" t="s">
        <v>74</v>
      </c>
      <c r="AS145" t="s">
        <v>74</v>
      </c>
      <c r="AT145" t="s">
        <v>1245</v>
      </c>
      <c r="AU145">
        <v>2022</v>
      </c>
      <c r="AV145">
        <v>95</v>
      </c>
      <c r="AW145" t="s">
        <v>760</v>
      </c>
      <c r="AX145" t="s">
        <v>74</v>
      </c>
      <c r="AY145" t="s">
        <v>74</v>
      </c>
      <c r="AZ145" t="s">
        <v>74</v>
      </c>
      <c r="BA145" t="s">
        <v>74</v>
      </c>
      <c r="BB145">
        <v>292</v>
      </c>
      <c r="BC145">
        <v>306</v>
      </c>
      <c r="BD145" t="s">
        <v>74</v>
      </c>
      <c r="BE145" t="s">
        <v>1246</v>
      </c>
      <c r="BF145" t="str">
        <f>HYPERLINK("http://dx.doi.org/10.3955/046.095.0305","http://dx.doi.org/10.3955/046.095.0305")</f>
        <v>http://dx.doi.org/10.3955/046.095.0305</v>
      </c>
      <c r="BG145" t="s">
        <v>74</v>
      </c>
      <c r="BH145" t="s">
        <v>74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 t="s">
        <v>74</v>
      </c>
      <c r="BO145" t="s">
        <v>74</v>
      </c>
      <c r="BP145" t="s">
        <v>74</v>
      </c>
      <c r="BQ145" t="s">
        <v>74</v>
      </c>
      <c r="BR145" t="s">
        <v>74</v>
      </c>
      <c r="BS145" t="s">
        <v>1247</v>
      </c>
      <c r="BT145" t="str">
        <f>HYPERLINK("https%3A%2F%2Fwww.webofscience.com%2Fwos%2Fwoscc%2Ffull-record%2FWOS:000865432100005","View Full Record in Web of Science")</f>
        <v>View Full Record in Web of Science</v>
      </c>
    </row>
    <row r="146" spans="1:72" x14ac:dyDescent="0.2">
      <c r="A146" t="s">
        <v>72</v>
      </c>
      <c r="B146" t="s">
        <v>1248</v>
      </c>
      <c r="C146" t="s">
        <v>74</v>
      </c>
      <c r="D146" t="s">
        <v>74</v>
      </c>
      <c r="E146" t="s">
        <v>74</v>
      </c>
      <c r="F146" t="s">
        <v>1249</v>
      </c>
      <c r="G146" t="s">
        <v>74</v>
      </c>
      <c r="H146" t="s">
        <v>74</v>
      </c>
      <c r="I146" t="s">
        <v>1250</v>
      </c>
      <c r="J146" t="s">
        <v>218</v>
      </c>
      <c r="K146" t="s">
        <v>74</v>
      </c>
      <c r="L146" t="s">
        <v>74</v>
      </c>
      <c r="M146" t="s">
        <v>74</v>
      </c>
      <c r="N146" t="s">
        <v>74</v>
      </c>
      <c r="O146" t="s">
        <v>74</v>
      </c>
      <c r="P146" t="s">
        <v>74</v>
      </c>
      <c r="Q146" t="s">
        <v>74</v>
      </c>
      <c r="R146" t="s">
        <v>74</v>
      </c>
      <c r="S146" t="s">
        <v>74</v>
      </c>
      <c r="T146" t="s">
        <v>74</v>
      </c>
      <c r="U146" t="s">
        <v>74</v>
      </c>
      <c r="V146" t="s">
        <v>74</v>
      </c>
      <c r="W146" t="s">
        <v>74</v>
      </c>
      <c r="X146" t="s">
        <v>74</v>
      </c>
      <c r="Y146" t="s">
        <v>74</v>
      </c>
      <c r="Z146" t="s">
        <v>74</v>
      </c>
      <c r="AA146" t="s">
        <v>1251</v>
      </c>
      <c r="AB146" t="s">
        <v>74</v>
      </c>
      <c r="AC146" t="s">
        <v>74</v>
      </c>
      <c r="AD146" t="s">
        <v>74</v>
      </c>
      <c r="AE146" t="s">
        <v>74</v>
      </c>
      <c r="AF146" t="s">
        <v>74</v>
      </c>
      <c r="AG146" t="s">
        <v>74</v>
      </c>
      <c r="AH146" t="s">
        <v>74</v>
      </c>
      <c r="AI146" t="s">
        <v>74</v>
      </c>
      <c r="AJ146" t="s">
        <v>74</v>
      </c>
      <c r="AK146" t="s">
        <v>74</v>
      </c>
      <c r="AL146" t="s">
        <v>74</v>
      </c>
      <c r="AM146" t="s">
        <v>74</v>
      </c>
      <c r="AN146" t="s">
        <v>74</v>
      </c>
      <c r="AO146" t="s">
        <v>220</v>
      </c>
      <c r="AP146" t="s">
        <v>74</v>
      </c>
      <c r="AQ146" t="s">
        <v>74</v>
      </c>
      <c r="AR146" t="s">
        <v>74</v>
      </c>
      <c r="AS146" t="s">
        <v>74</v>
      </c>
      <c r="AT146" t="s">
        <v>1252</v>
      </c>
      <c r="AU146">
        <v>2022</v>
      </c>
      <c r="AV146">
        <v>12</v>
      </c>
      <c r="AW146">
        <v>1</v>
      </c>
      <c r="AX146" t="s">
        <v>74</v>
      </c>
      <c r="AY146" t="s">
        <v>74</v>
      </c>
      <c r="AZ146" t="s">
        <v>74</v>
      </c>
      <c r="BA146" t="s">
        <v>74</v>
      </c>
      <c r="BB146" t="s">
        <v>74</v>
      </c>
      <c r="BC146" t="s">
        <v>74</v>
      </c>
      <c r="BD146">
        <v>8721</v>
      </c>
      <c r="BE146" t="s">
        <v>1253</v>
      </c>
      <c r="BF146" t="str">
        <f>HYPERLINK("http://dx.doi.org/10.1038/s41598-022-12573-y","http://dx.doi.org/10.1038/s41598-022-12573-y")</f>
        <v>http://dx.doi.org/10.1038/s41598-022-12573-y</v>
      </c>
      <c r="BG146" t="s">
        <v>74</v>
      </c>
      <c r="BH146" t="s">
        <v>74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>
        <v>35610246</v>
      </c>
      <c r="BO146" t="s">
        <v>74</v>
      </c>
      <c r="BP146" t="s">
        <v>74</v>
      </c>
      <c r="BQ146" t="s">
        <v>74</v>
      </c>
      <c r="BR146" t="s">
        <v>74</v>
      </c>
      <c r="BS146" t="s">
        <v>1254</v>
      </c>
      <c r="BT146" t="str">
        <f>HYPERLINK("https%3A%2F%2Fwww.webofscience.com%2Fwos%2Fwoscc%2Ffull-record%2FWOS:000799975800012","View Full Record in Web of Science")</f>
        <v>View Full Record in Web of Science</v>
      </c>
    </row>
    <row r="147" spans="1:72" x14ac:dyDescent="0.2">
      <c r="A147" t="s">
        <v>72</v>
      </c>
      <c r="B147" t="s">
        <v>1255</v>
      </c>
      <c r="C147" t="s">
        <v>74</v>
      </c>
      <c r="D147" t="s">
        <v>74</v>
      </c>
      <c r="E147" t="s">
        <v>74</v>
      </c>
      <c r="F147" t="s">
        <v>1256</v>
      </c>
      <c r="G147" t="s">
        <v>74</v>
      </c>
      <c r="H147" t="s">
        <v>74</v>
      </c>
      <c r="I147" t="s">
        <v>1257</v>
      </c>
      <c r="J147" t="s">
        <v>124</v>
      </c>
      <c r="K147" t="s">
        <v>74</v>
      </c>
      <c r="L147" t="s">
        <v>74</v>
      </c>
      <c r="M147" t="s">
        <v>74</v>
      </c>
      <c r="N147" t="s">
        <v>74</v>
      </c>
      <c r="O147" t="s">
        <v>74</v>
      </c>
      <c r="P147" t="s">
        <v>74</v>
      </c>
      <c r="Q147" t="s">
        <v>74</v>
      </c>
      <c r="R147" t="s">
        <v>74</v>
      </c>
      <c r="S147" t="s">
        <v>74</v>
      </c>
      <c r="T147" t="s">
        <v>74</v>
      </c>
      <c r="U147" t="s">
        <v>74</v>
      </c>
      <c r="V147" t="s">
        <v>74</v>
      </c>
      <c r="W147" t="s">
        <v>74</v>
      </c>
      <c r="X147" t="s">
        <v>74</v>
      </c>
      <c r="Y147" t="s">
        <v>74</v>
      </c>
      <c r="Z147" t="s">
        <v>74</v>
      </c>
      <c r="AA147" t="s">
        <v>1258</v>
      </c>
      <c r="AB147" t="s">
        <v>6837</v>
      </c>
      <c r="AC147" t="s">
        <v>74</v>
      </c>
      <c r="AD147" t="s">
        <v>74</v>
      </c>
      <c r="AE147" t="s">
        <v>74</v>
      </c>
      <c r="AF147" t="s">
        <v>74</v>
      </c>
      <c r="AG147" t="s">
        <v>74</v>
      </c>
      <c r="AH147" t="s">
        <v>74</v>
      </c>
      <c r="AI147" t="s">
        <v>74</v>
      </c>
      <c r="AJ147" t="s">
        <v>74</v>
      </c>
      <c r="AK147" t="s">
        <v>74</v>
      </c>
      <c r="AL147" t="s">
        <v>74</v>
      </c>
      <c r="AM147" t="s">
        <v>74</v>
      </c>
      <c r="AN147" t="s">
        <v>74</v>
      </c>
      <c r="AO147" t="s">
        <v>127</v>
      </c>
      <c r="AP147" t="s">
        <v>128</v>
      </c>
      <c r="AQ147" t="s">
        <v>74</v>
      </c>
      <c r="AR147" t="s">
        <v>74</v>
      </c>
      <c r="AS147" t="s">
        <v>74</v>
      </c>
      <c r="AT147" t="s">
        <v>624</v>
      </c>
      <c r="AU147">
        <v>2022</v>
      </c>
      <c r="AV147">
        <v>849</v>
      </c>
      <c r="AW147">
        <v>12</v>
      </c>
      <c r="AX147" t="s">
        <v>74</v>
      </c>
      <c r="AY147" t="s">
        <v>74</v>
      </c>
      <c r="AZ147" t="s">
        <v>74</v>
      </c>
      <c r="BA147" t="s">
        <v>74</v>
      </c>
      <c r="BB147">
        <v>2683</v>
      </c>
      <c r="BC147">
        <v>2703</v>
      </c>
      <c r="BD147" t="s">
        <v>74</v>
      </c>
      <c r="BE147" t="s">
        <v>1259</v>
      </c>
      <c r="BF147" t="str">
        <f>HYPERLINK("http://dx.doi.org/10.1007/s10750-022-04885-x","http://dx.doi.org/10.1007/s10750-022-04885-x")</f>
        <v>http://dx.doi.org/10.1007/s10750-022-04885-x</v>
      </c>
      <c r="BG147" t="s">
        <v>74</v>
      </c>
      <c r="BH147" t="s">
        <v>1260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 t="s">
        <v>74</v>
      </c>
      <c r="BO147" t="s">
        <v>74</v>
      </c>
      <c r="BP147" t="s">
        <v>74</v>
      </c>
      <c r="BQ147" t="s">
        <v>74</v>
      </c>
      <c r="BR147" t="s">
        <v>74</v>
      </c>
      <c r="BS147" t="s">
        <v>1261</v>
      </c>
      <c r="BT147" t="str">
        <f>HYPERLINK("https%3A%2F%2Fwww.webofscience.com%2Fwos%2Fwoscc%2Ffull-record%2FWOS:000799644000001","View Full Record in Web of Science")</f>
        <v>View Full Record in Web of Science</v>
      </c>
    </row>
    <row r="148" spans="1:72" x14ac:dyDescent="0.2">
      <c r="A148" t="s">
        <v>72</v>
      </c>
      <c r="B148" t="s">
        <v>1262</v>
      </c>
      <c r="C148" t="s">
        <v>74</v>
      </c>
      <c r="D148" t="s">
        <v>74</v>
      </c>
      <c r="E148" t="s">
        <v>74</v>
      </c>
      <c r="F148" t="s">
        <v>1263</v>
      </c>
      <c r="G148" t="s">
        <v>74</v>
      </c>
      <c r="H148" t="s">
        <v>74</v>
      </c>
      <c r="I148" t="s">
        <v>1264</v>
      </c>
      <c r="J148" t="s">
        <v>124</v>
      </c>
      <c r="K148" t="s">
        <v>74</v>
      </c>
      <c r="L148" t="s">
        <v>74</v>
      </c>
      <c r="M148" t="s">
        <v>74</v>
      </c>
      <c r="N148" t="s">
        <v>74</v>
      </c>
      <c r="O148" t="s">
        <v>74</v>
      </c>
      <c r="P148" t="s">
        <v>74</v>
      </c>
      <c r="Q148" t="s">
        <v>74</v>
      </c>
      <c r="R148" t="s">
        <v>74</v>
      </c>
      <c r="S148" t="s">
        <v>74</v>
      </c>
      <c r="T148" t="s">
        <v>74</v>
      </c>
      <c r="U148" t="s">
        <v>74</v>
      </c>
      <c r="V148" t="s">
        <v>74</v>
      </c>
      <c r="W148" t="s">
        <v>74</v>
      </c>
      <c r="X148" t="s">
        <v>74</v>
      </c>
      <c r="Y148" t="s">
        <v>74</v>
      </c>
      <c r="Z148" t="s">
        <v>74</v>
      </c>
      <c r="AA148" t="s">
        <v>74</v>
      </c>
      <c r="AB148" t="s">
        <v>1265</v>
      </c>
      <c r="AC148" t="s">
        <v>74</v>
      </c>
      <c r="AD148" t="s">
        <v>74</v>
      </c>
      <c r="AE148" t="s">
        <v>74</v>
      </c>
      <c r="AF148" t="s">
        <v>74</v>
      </c>
      <c r="AG148" t="s">
        <v>74</v>
      </c>
      <c r="AH148" t="s">
        <v>74</v>
      </c>
      <c r="AI148" t="s">
        <v>74</v>
      </c>
      <c r="AJ148" t="s">
        <v>74</v>
      </c>
      <c r="AK148" t="s">
        <v>74</v>
      </c>
      <c r="AL148" t="s">
        <v>74</v>
      </c>
      <c r="AM148" t="s">
        <v>74</v>
      </c>
      <c r="AN148" t="s">
        <v>74</v>
      </c>
      <c r="AO148" t="s">
        <v>127</v>
      </c>
      <c r="AP148" t="s">
        <v>128</v>
      </c>
      <c r="AQ148" t="s">
        <v>74</v>
      </c>
      <c r="AR148" t="s">
        <v>74</v>
      </c>
      <c r="AS148" t="s">
        <v>74</v>
      </c>
      <c r="AT148" t="s">
        <v>624</v>
      </c>
      <c r="AU148">
        <v>2022</v>
      </c>
      <c r="AV148">
        <v>849</v>
      </c>
      <c r="AW148">
        <v>12</v>
      </c>
      <c r="AX148" t="s">
        <v>74</v>
      </c>
      <c r="AY148" t="s">
        <v>74</v>
      </c>
      <c r="AZ148" t="s">
        <v>74</v>
      </c>
      <c r="BA148" t="s">
        <v>74</v>
      </c>
      <c r="BB148">
        <v>2647</v>
      </c>
      <c r="BC148">
        <v>2662</v>
      </c>
      <c r="BD148" t="s">
        <v>74</v>
      </c>
      <c r="BE148" t="s">
        <v>1266</v>
      </c>
      <c r="BF148" t="str">
        <f>HYPERLINK("http://dx.doi.org/10.1007/s10750-022-04863-3","http://dx.doi.org/10.1007/s10750-022-04863-3")</f>
        <v>http://dx.doi.org/10.1007/s10750-022-04863-3</v>
      </c>
      <c r="BG148" t="s">
        <v>74</v>
      </c>
      <c r="BH148" t="s">
        <v>1260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 t="s">
        <v>74</v>
      </c>
      <c r="BO148" t="s">
        <v>74</v>
      </c>
      <c r="BP148" t="s">
        <v>74</v>
      </c>
      <c r="BQ148" t="s">
        <v>74</v>
      </c>
      <c r="BR148" t="s">
        <v>74</v>
      </c>
      <c r="BS148" t="s">
        <v>1267</v>
      </c>
      <c r="BT148" t="str">
        <f>HYPERLINK("https%3A%2F%2Fwww.webofscience.com%2Fwos%2Fwoscc%2Ffull-record%2FWOS:000799515200001","View Full Record in Web of Science")</f>
        <v>View Full Record in Web of Science</v>
      </c>
    </row>
    <row r="149" spans="1:72" x14ac:dyDescent="0.2">
      <c r="A149" t="s">
        <v>72</v>
      </c>
      <c r="B149" t="s">
        <v>1268</v>
      </c>
      <c r="C149" t="s">
        <v>74</v>
      </c>
      <c r="D149" t="s">
        <v>74</v>
      </c>
      <c r="E149" t="s">
        <v>74</v>
      </c>
      <c r="F149" t="s">
        <v>1269</v>
      </c>
      <c r="G149" t="s">
        <v>74</v>
      </c>
      <c r="H149" t="s">
        <v>74</v>
      </c>
      <c r="I149" t="s">
        <v>1270</v>
      </c>
      <c r="J149" t="s">
        <v>145</v>
      </c>
      <c r="K149" t="s">
        <v>74</v>
      </c>
      <c r="L149" t="s">
        <v>74</v>
      </c>
      <c r="M149" t="s">
        <v>74</v>
      </c>
      <c r="N149" t="s">
        <v>74</v>
      </c>
      <c r="O149" t="s">
        <v>74</v>
      </c>
      <c r="P149" t="s">
        <v>74</v>
      </c>
      <c r="Q149" t="s">
        <v>74</v>
      </c>
      <c r="R149" t="s">
        <v>74</v>
      </c>
      <c r="S149" t="s">
        <v>74</v>
      </c>
      <c r="T149" t="s">
        <v>74</v>
      </c>
      <c r="U149" t="s">
        <v>74</v>
      </c>
      <c r="V149" t="s">
        <v>74</v>
      </c>
      <c r="W149" t="s">
        <v>74</v>
      </c>
      <c r="X149" t="s">
        <v>74</v>
      </c>
      <c r="Y149" t="s">
        <v>74</v>
      </c>
      <c r="Z149" t="s">
        <v>74</v>
      </c>
      <c r="AA149" t="s">
        <v>6838</v>
      </c>
      <c r="AB149" t="s">
        <v>6839</v>
      </c>
      <c r="AC149" t="s">
        <v>74</v>
      </c>
      <c r="AD149" t="s">
        <v>74</v>
      </c>
      <c r="AE149" t="s">
        <v>74</v>
      </c>
      <c r="AF149" t="s">
        <v>74</v>
      </c>
      <c r="AG149" t="s">
        <v>74</v>
      </c>
      <c r="AH149" t="s">
        <v>74</v>
      </c>
      <c r="AI149" t="s">
        <v>74</v>
      </c>
      <c r="AJ149" t="s">
        <v>74</v>
      </c>
      <c r="AK149" t="s">
        <v>74</v>
      </c>
      <c r="AL149" t="s">
        <v>74</v>
      </c>
      <c r="AM149" t="s">
        <v>74</v>
      </c>
      <c r="AN149" t="s">
        <v>74</v>
      </c>
      <c r="AO149" t="s">
        <v>146</v>
      </c>
      <c r="AP149" t="s">
        <v>147</v>
      </c>
      <c r="AQ149" t="s">
        <v>74</v>
      </c>
      <c r="AR149" t="s">
        <v>74</v>
      </c>
      <c r="AS149" t="s">
        <v>74</v>
      </c>
      <c r="AT149" t="s">
        <v>1271</v>
      </c>
      <c r="AU149">
        <v>2022</v>
      </c>
      <c r="AV149">
        <v>836</v>
      </c>
      <c r="AW149" t="s">
        <v>74</v>
      </c>
      <c r="AX149" t="s">
        <v>74</v>
      </c>
      <c r="AY149" t="s">
        <v>74</v>
      </c>
      <c r="AZ149" t="s">
        <v>74</v>
      </c>
      <c r="BA149" t="s">
        <v>74</v>
      </c>
      <c r="BB149" t="s">
        <v>74</v>
      </c>
      <c r="BC149" t="s">
        <v>74</v>
      </c>
      <c r="BD149">
        <v>155407</v>
      </c>
      <c r="BE149" t="s">
        <v>1272</v>
      </c>
      <c r="BF149" t="str">
        <f>HYPERLINK("http://dx.doi.org/10.1016/j.scitotenv.2022.155407","http://dx.doi.org/10.1016/j.scitotenv.2022.155407")</f>
        <v>http://dx.doi.org/10.1016/j.scitotenv.2022.155407</v>
      </c>
      <c r="BG149" t="s">
        <v>74</v>
      </c>
      <c r="BH149" t="s">
        <v>1260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>
        <v>35469887</v>
      </c>
      <c r="BO149" t="s">
        <v>74</v>
      </c>
      <c r="BP149" t="s">
        <v>74</v>
      </c>
      <c r="BQ149" t="s">
        <v>74</v>
      </c>
      <c r="BR149" t="s">
        <v>74</v>
      </c>
      <c r="BS149" t="s">
        <v>1273</v>
      </c>
      <c r="BT149" t="str">
        <f>HYPERLINK("https%3A%2F%2Fwww.webofscience.com%2Fwos%2Fwoscc%2Ffull-record%2FWOS:000807359900016","View Full Record in Web of Science")</f>
        <v>View Full Record in Web of Science</v>
      </c>
    </row>
    <row r="150" spans="1:72" x14ac:dyDescent="0.2">
      <c r="A150" t="s">
        <v>72</v>
      </c>
      <c r="B150" t="s">
        <v>1274</v>
      </c>
      <c r="C150" t="s">
        <v>74</v>
      </c>
      <c r="D150" t="s">
        <v>74</v>
      </c>
      <c r="E150" t="s">
        <v>74</v>
      </c>
      <c r="F150" t="s">
        <v>1275</v>
      </c>
      <c r="G150" t="s">
        <v>74</v>
      </c>
      <c r="H150" t="s">
        <v>74</v>
      </c>
      <c r="I150" t="s">
        <v>1276</v>
      </c>
      <c r="J150" t="s">
        <v>124</v>
      </c>
      <c r="K150" t="s">
        <v>74</v>
      </c>
      <c r="L150" t="s">
        <v>74</v>
      </c>
      <c r="M150" t="s">
        <v>74</v>
      </c>
      <c r="N150" t="s">
        <v>74</v>
      </c>
      <c r="O150" t="s">
        <v>74</v>
      </c>
      <c r="P150" t="s">
        <v>74</v>
      </c>
      <c r="Q150" t="s">
        <v>74</v>
      </c>
      <c r="R150" t="s">
        <v>74</v>
      </c>
      <c r="S150" t="s">
        <v>74</v>
      </c>
      <c r="T150" t="s">
        <v>74</v>
      </c>
      <c r="U150" t="s">
        <v>74</v>
      </c>
      <c r="V150" t="s">
        <v>74</v>
      </c>
      <c r="W150" t="s">
        <v>74</v>
      </c>
      <c r="X150" t="s">
        <v>74</v>
      </c>
      <c r="Y150" t="s">
        <v>74</v>
      </c>
      <c r="Z150" t="s">
        <v>74</v>
      </c>
      <c r="AA150" t="s">
        <v>1277</v>
      </c>
      <c r="AB150" t="s">
        <v>1278</v>
      </c>
      <c r="AC150" t="s">
        <v>74</v>
      </c>
      <c r="AD150" t="s">
        <v>74</v>
      </c>
      <c r="AE150" t="s">
        <v>74</v>
      </c>
      <c r="AF150" t="s">
        <v>74</v>
      </c>
      <c r="AG150" t="s">
        <v>74</v>
      </c>
      <c r="AH150" t="s">
        <v>74</v>
      </c>
      <c r="AI150" t="s">
        <v>74</v>
      </c>
      <c r="AJ150" t="s">
        <v>74</v>
      </c>
      <c r="AK150" t="s">
        <v>74</v>
      </c>
      <c r="AL150" t="s">
        <v>74</v>
      </c>
      <c r="AM150" t="s">
        <v>74</v>
      </c>
      <c r="AN150" t="s">
        <v>74</v>
      </c>
      <c r="AO150" t="s">
        <v>127</v>
      </c>
      <c r="AP150" t="s">
        <v>128</v>
      </c>
      <c r="AQ150" t="s">
        <v>74</v>
      </c>
      <c r="AR150" t="s">
        <v>74</v>
      </c>
      <c r="AS150" t="s">
        <v>74</v>
      </c>
      <c r="AT150" t="s">
        <v>335</v>
      </c>
      <c r="AU150">
        <v>2023</v>
      </c>
      <c r="AV150">
        <v>850</v>
      </c>
      <c r="AW150">
        <v>20</v>
      </c>
      <c r="AX150" t="s">
        <v>74</v>
      </c>
      <c r="AY150" t="s">
        <v>74</v>
      </c>
      <c r="AZ150" t="s">
        <v>632</v>
      </c>
      <c r="BA150" t="s">
        <v>74</v>
      </c>
      <c r="BB150">
        <v>4351</v>
      </c>
      <c r="BC150">
        <v>4383</v>
      </c>
      <c r="BD150" t="s">
        <v>74</v>
      </c>
      <c r="BE150" t="s">
        <v>1279</v>
      </c>
      <c r="BF150" t="str">
        <f>HYPERLINK("http://dx.doi.org/10.1007/s10750-022-04851-7","http://dx.doi.org/10.1007/s10750-022-04851-7")</f>
        <v>http://dx.doi.org/10.1007/s10750-022-04851-7</v>
      </c>
      <c r="BG150" t="s">
        <v>74</v>
      </c>
      <c r="BH150" t="s">
        <v>1260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 t="s">
        <v>74</v>
      </c>
      <c r="BR150" t="s">
        <v>74</v>
      </c>
      <c r="BS150" t="s">
        <v>1280</v>
      </c>
      <c r="BT150" t="str">
        <f>HYPERLINK("https%3A%2F%2Fwww.webofscience.com%2Fwos%2Fwoscc%2Ffull-record%2FWOS:000791081300002","View Full Record in Web of Science")</f>
        <v>View Full Record in Web of Science</v>
      </c>
    </row>
    <row r="151" spans="1:72" x14ac:dyDescent="0.2">
      <c r="A151" t="s">
        <v>72</v>
      </c>
      <c r="B151" t="s">
        <v>1281</v>
      </c>
      <c r="C151" t="s">
        <v>74</v>
      </c>
      <c r="D151" t="s">
        <v>74</v>
      </c>
      <c r="E151" t="s">
        <v>74</v>
      </c>
      <c r="F151" t="s">
        <v>1282</v>
      </c>
      <c r="G151" t="s">
        <v>74</v>
      </c>
      <c r="H151" t="s">
        <v>74</v>
      </c>
      <c r="I151" t="s">
        <v>1283</v>
      </c>
      <c r="J151" t="s">
        <v>1284</v>
      </c>
      <c r="K151" t="s">
        <v>74</v>
      </c>
      <c r="L151" t="s">
        <v>74</v>
      </c>
      <c r="M151" t="s">
        <v>74</v>
      </c>
      <c r="N151" t="s">
        <v>74</v>
      </c>
      <c r="O151" t="s">
        <v>74</v>
      </c>
      <c r="P151" t="s">
        <v>74</v>
      </c>
      <c r="Q151" t="s">
        <v>74</v>
      </c>
      <c r="R151" t="s">
        <v>74</v>
      </c>
      <c r="S151" t="s">
        <v>74</v>
      </c>
      <c r="T151" t="s">
        <v>74</v>
      </c>
      <c r="U151" t="s">
        <v>74</v>
      </c>
      <c r="V151" t="s">
        <v>74</v>
      </c>
      <c r="W151" t="s">
        <v>74</v>
      </c>
      <c r="X151" t="s">
        <v>74</v>
      </c>
      <c r="Y151" t="s">
        <v>74</v>
      </c>
      <c r="Z151" t="s">
        <v>74</v>
      </c>
      <c r="AA151" t="s">
        <v>74</v>
      </c>
      <c r="AB151" t="s">
        <v>74</v>
      </c>
      <c r="AC151" t="s">
        <v>74</v>
      </c>
      <c r="AD151" t="s">
        <v>74</v>
      </c>
      <c r="AE151" t="s">
        <v>74</v>
      </c>
      <c r="AF151" t="s">
        <v>74</v>
      </c>
      <c r="AG151" t="s">
        <v>74</v>
      </c>
      <c r="AH151" t="s">
        <v>74</v>
      </c>
      <c r="AI151" t="s">
        <v>74</v>
      </c>
      <c r="AJ151" t="s">
        <v>74</v>
      </c>
      <c r="AK151" t="s">
        <v>74</v>
      </c>
      <c r="AL151" t="s">
        <v>74</v>
      </c>
      <c r="AM151" t="s">
        <v>74</v>
      </c>
      <c r="AN151" t="s">
        <v>74</v>
      </c>
      <c r="AO151" t="s">
        <v>1285</v>
      </c>
      <c r="AP151" t="s">
        <v>1286</v>
      </c>
      <c r="AQ151" t="s">
        <v>74</v>
      </c>
      <c r="AR151" t="s">
        <v>74</v>
      </c>
      <c r="AS151" t="s">
        <v>74</v>
      </c>
      <c r="AT151" t="s">
        <v>148</v>
      </c>
      <c r="AU151">
        <v>2022</v>
      </c>
      <c r="AV151">
        <v>242</v>
      </c>
      <c r="AW151" t="s">
        <v>74</v>
      </c>
      <c r="AX151" t="s">
        <v>74</v>
      </c>
      <c r="AY151" t="s">
        <v>74</v>
      </c>
      <c r="AZ151" t="s">
        <v>74</v>
      </c>
      <c r="BA151" t="s">
        <v>74</v>
      </c>
      <c r="BB151" t="s">
        <v>74</v>
      </c>
      <c r="BC151" t="s">
        <v>74</v>
      </c>
      <c r="BD151">
        <v>104121</v>
      </c>
      <c r="BE151" t="s">
        <v>1287</v>
      </c>
      <c r="BF151" t="str">
        <f>HYPERLINK("http://dx.doi.org/10.1016/j.marchem.2022.104121","http://dx.doi.org/10.1016/j.marchem.2022.104121")</f>
        <v>http://dx.doi.org/10.1016/j.marchem.2022.104121</v>
      </c>
      <c r="BG151" t="s">
        <v>74</v>
      </c>
      <c r="BH151" t="s">
        <v>1260</v>
      </c>
      <c r="BI151" t="s">
        <v>74</v>
      </c>
      <c r="BJ151" t="s">
        <v>74</v>
      </c>
      <c r="BK151" t="s">
        <v>74</v>
      </c>
      <c r="BL151" t="s">
        <v>74</v>
      </c>
      <c r="BM151" t="s">
        <v>74</v>
      </c>
      <c r="BN151" t="s">
        <v>74</v>
      </c>
      <c r="BO151" t="s">
        <v>74</v>
      </c>
      <c r="BP151" t="s">
        <v>74</v>
      </c>
      <c r="BQ151" t="s">
        <v>74</v>
      </c>
      <c r="BR151" t="s">
        <v>74</v>
      </c>
      <c r="BS151" t="s">
        <v>1288</v>
      </c>
      <c r="BT151" t="str">
        <f>HYPERLINK("https%3A%2F%2Fwww.webofscience.com%2Fwos%2Fwoscc%2Ffull-record%2FWOS:000799836100002","View Full Record in Web of Science")</f>
        <v>View Full Record in Web of Science</v>
      </c>
    </row>
    <row r="152" spans="1:72" x14ac:dyDescent="0.2">
      <c r="A152" t="s">
        <v>72</v>
      </c>
      <c r="B152" t="s">
        <v>1289</v>
      </c>
      <c r="C152" t="s">
        <v>74</v>
      </c>
      <c r="D152" t="s">
        <v>74</v>
      </c>
      <c r="E152" t="s">
        <v>74</v>
      </c>
      <c r="F152" t="s">
        <v>1290</v>
      </c>
      <c r="G152" t="s">
        <v>74</v>
      </c>
      <c r="H152" t="s">
        <v>74</v>
      </c>
      <c r="I152" t="s">
        <v>1291</v>
      </c>
      <c r="J152" t="s">
        <v>145</v>
      </c>
      <c r="K152" t="s">
        <v>74</v>
      </c>
      <c r="L152" t="s">
        <v>74</v>
      </c>
      <c r="M152" t="s">
        <v>74</v>
      </c>
      <c r="N152" t="s">
        <v>74</v>
      </c>
      <c r="O152" t="s">
        <v>74</v>
      </c>
      <c r="P152" t="s">
        <v>74</v>
      </c>
      <c r="Q152" t="s">
        <v>74</v>
      </c>
      <c r="R152" t="s">
        <v>74</v>
      </c>
      <c r="S152" t="s">
        <v>74</v>
      </c>
      <c r="T152" t="s">
        <v>74</v>
      </c>
      <c r="U152" t="s">
        <v>74</v>
      </c>
      <c r="V152" t="s">
        <v>74</v>
      </c>
      <c r="W152" t="s">
        <v>74</v>
      </c>
      <c r="X152" t="s">
        <v>74</v>
      </c>
      <c r="Y152" t="s">
        <v>74</v>
      </c>
      <c r="Z152" t="s">
        <v>74</v>
      </c>
      <c r="AA152" t="s">
        <v>6840</v>
      </c>
      <c r="AB152" t="s">
        <v>6841</v>
      </c>
      <c r="AC152" t="s">
        <v>74</v>
      </c>
      <c r="AD152" t="s">
        <v>74</v>
      </c>
      <c r="AE152" t="s">
        <v>74</v>
      </c>
      <c r="AF152" t="s">
        <v>74</v>
      </c>
      <c r="AG152" t="s">
        <v>74</v>
      </c>
      <c r="AH152" t="s">
        <v>74</v>
      </c>
      <c r="AI152" t="s">
        <v>74</v>
      </c>
      <c r="AJ152" t="s">
        <v>74</v>
      </c>
      <c r="AK152" t="s">
        <v>74</v>
      </c>
      <c r="AL152" t="s">
        <v>74</v>
      </c>
      <c r="AM152" t="s">
        <v>74</v>
      </c>
      <c r="AN152" t="s">
        <v>74</v>
      </c>
      <c r="AO152" t="s">
        <v>146</v>
      </c>
      <c r="AP152" t="s">
        <v>147</v>
      </c>
      <c r="AQ152" t="s">
        <v>74</v>
      </c>
      <c r="AR152" t="s">
        <v>74</v>
      </c>
      <c r="AS152" t="s">
        <v>74</v>
      </c>
      <c r="AT152" t="s">
        <v>1292</v>
      </c>
      <c r="AU152">
        <v>2022</v>
      </c>
      <c r="AV152">
        <v>835</v>
      </c>
      <c r="AW152" t="s">
        <v>74</v>
      </c>
      <c r="AX152" t="s">
        <v>74</v>
      </c>
      <c r="AY152" t="s">
        <v>74</v>
      </c>
      <c r="AZ152" t="s">
        <v>74</v>
      </c>
      <c r="BA152" t="s">
        <v>74</v>
      </c>
      <c r="BB152" t="s">
        <v>74</v>
      </c>
      <c r="BC152" t="s">
        <v>74</v>
      </c>
      <c r="BD152">
        <v>155546</v>
      </c>
      <c r="BE152" t="s">
        <v>1293</v>
      </c>
      <c r="BF152" t="str">
        <f>HYPERLINK("http://dx.doi.org/10.1016/j.scitotenv.2022.155546","http://dx.doi.org/10.1016/j.scitotenv.2022.155546")</f>
        <v>http://dx.doi.org/10.1016/j.scitotenv.2022.155546</v>
      </c>
      <c r="BG152" t="s">
        <v>74</v>
      </c>
      <c r="BH152" t="s">
        <v>1294</v>
      </c>
      <c r="BI152" t="s">
        <v>74</v>
      </c>
      <c r="BJ152" t="s">
        <v>74</v>
      </c>
      <c r="BK152" t="s">
        <v>74</v>
      </c>
      <c r="BL152" t="s">
        <v>74</v>
      </c>
      <c r="BM152" t="s">
        <v>74</v>
      </c>
      <c r="BN152">
        <v>35489510</v>
      </c>
      <c r="BO152" t="s">
        <v>74</v>
      </c>
      <c r="BP152" t="s">
        <v>74</v>
      </c>
      <c r="BQ152" t="s">
        <v>74</v>
      </c>
      <c r="BR152" t="s">
        <v>74</v>
      </c>
      <c r="BS152" t="s">
        <v>1295</v>
      </c>
      <c r="BT152" t="str">
        <f>HYPERLINK("https%3A%2F%2Fwww.webofscience.com%2Fwos%2Fwoscc%2Ffull-record%2FWOS:000799746300013","View Full Record in Web of Science")</f>
        <v>View Full Record in Web of Science</v>
      </c>
    </row>
    <row r="153" spans="1:72" x14ac:dyDescent="0.2">
      <c r="A153" t="s">
        <v>72</v>
      </c>
      <c r="B153" t="s">
        <v>1296</v>
      </c>
      <c r="C153" t="s">
        <v>74</v>
      </c>
      <c r="D153" t="s">
        <v>74</v>
      </c>
      <c r="E153" t="s">
        <v>74</v>
      </c>
      <c r="F153" t="s">
        <v>1297</v>
      </c>
      <c r="G153" t="s">
        <v>74</v>
      </c>
      <c r="H153" t="s">
        <v>74</v>
      </c>
      <c r="I153" t="s">
        <v>1298</v>
      </c>
      <c r="J153" t="s">
        <v>1299</v>
      </c>
      <c r="K153" t="s">
        <v>74</v>
      </c>
      <c r="L153" t="s">
        <v>74</v>
      </c>
      <c r="M153" t="s">
        <v>74</v>
      </c>
      <c r="N153" t="s">
        <v>74</v>
      </c>
      <c r="O153" t="s">
        <v>74</v>
      </c>
      <c r="P153" t="s">
        <v>74</v>
      </c>
      <c r="Q153" t="s">
        <v>74</v>
      </c>
      <c r="R153" t="s">
        <v>74</v>
      </c>
      <c r="S153" t="s">
        <v>74</v>
      </c>
      <c r="T153" t="s">
        <v>74</v>
      </c>
      <c r="U153" t="s">
        <v>74</v>
      </c>
      <c r="V153" t="s">
        <v>74</v>
      </c>
      <c r="W153" t="s">
        <v>74</v>
      </c>
      <c r="X153" t="s">
        <v>74</v>
      </c>
      <c r="Y153" t="s">
        <v>74</v>
      </c>
      <c r="Z153" t="s">
        <v>74</v>
      </c>
      <c r="AA153" t="s">
        <v>1300</v>
      </c>
      <c r="AB153" t="s">
        <v>1301</v>
      </c>
      <c r="AC153" t="s">
        <v>74</v>
      </c>
      <c r="AD153" t="s">
        <v>74</v>
      </c>
      <c r="AE153" t="s">
        <v>74</v>
      </c>
      <c r="AF153" t="s">
        <v>74</v>
      </c>
      <c r="AG153" t="s">
        <v>74</v>
      </c>
      <c r="AH153" t="s">
        <v>74</v>
      </c>
      <c r="AI153" t="s">
        <v>74</v>
      </c>
      <c r="AJ153" t="s">
        <v>74</v>
      </c>
      <c r="AK153" t="s">
        <v>74</v>
      </c>
      <c r="AL153" t="s">
        <v>74</v>
      </c>
      <c r="AM153" t="s">
        <v>74</v>
      </c>
      <c r="AN153" t="s">
        <v>74</v>
      </c>
      <c r="AO153" t="s">
        <v>1302</v>
      </c>
      <c r="AP153" t="s">
        <v>1303</v>
      </c>
      <c r="AQ153" t="s">
        <v>74</v>
      </c>
      <c r="AR153" t="s">
        <v>74</v>
      </c>
      <c r="AS153" t="s">
        <v>74</v>
      </c>
      <c r="AT153" t="s">
        <v>575</v>
      </c>
      <c r="AU153">
        <v>2022</v>
      </c>
      <c r="AV153">
        <v>199</v>
      </c>
      <c r="AW153">
        <v>1</v>
      </c>
      <c r="AX153" t="s">
        <v>74</v>
      </c>
      <c r="AY153" t="s">
        <v>74</v>
      </c>
      <c r="AZ153" t="s">
        <v>74</v>
      </c>
      <c r="BA153" t="s">
        <v>74</v>
      </c>
      <c r="BB153">
        <v>139</v>
      </c>
      <c r="BC153">
        <v>152</v>
      </c>
      <c r="BD153" t="s">
        <v>74</v>
      </c>
      <c r="BE153" t="s">
        <v>1304</v>
      </c>
      <c r="BF153" t="str">
        <f>HYPERLINK("http://dx.doi.org/10.1007/s00442-022-05165-0","http://dx.doi.org/10.1007/s00442-022-05165-0")</f>
        <v>http://dx.doi.org/10.1007/s00442-022-05165-0</v>
      </c>
      <c r="BG153" t="s">
        <v>74</v>
      </c>
      <c r="BH153" t="s">
        <v>1294</v>
      </c>
      <c r="BI153" t="s">
        <v>74</v>
      </c>
      <c r="BJ153" t="s">
        <v>74</v>
      </c>
      <c r="BK153" t="s">
        <v>74</v>
      </c>
      <c r="BL153" t="s">
        <v>74</v>
      </c>
      <c r="BM153" t="s">
        <v>74</v>
      </c>
      <c r="BN153">
        <v>35471618</v>
      </c>
      <c r="BO153" t="s">
        <v>74</v>
      </c>
      <c r="BP153" t="s">
        <v>74</v>
      </c>
      <c r="BQ153" t="s">
        <v>74</v>
      </c>
      <c r="BR153" t="s">
        <v>74</v>
      </c>
      <c r="BS153" t="s">
        <v>1305</v>
      </c>
      <c r="BT153" t="str">
        <f>HYPERLINK("https%3A%2F%2Fwww.webofscience.com%2Fwos%2Fwoscc%2Ffull-record%2FWOS:000787660600002","View Full Record in Web of Science")</f>
        <v>View Full Record in Web of Science</v>
      </c>
    </row>
    <row r="154" spans="1:72" x14ac:dyDescent="0.2">
      <c r="A154" t="s">
        <v>72</v>
      </c>
      <c r="B154" t="s">
        <v>1306</v>
      </c>
      <c r="C154" t="s">
        <v>74</v>
      </c>
      <c r="D154" t="s">
        <v>74</v>
      </c>
      <c r="E154" t="s">
        <v>74</v>
      </c>
      <c r="F154" t="s">
        <v>1307</v>
      </c>
      <c r="G154" t="s">
        <v>74</v>
      </c>
      <c r="H154" t="s">
        <v>74</v>
      </c>
      <c r="I154" t="s">
        <v>1308</v>
      </c>
      <c r="J154" t="s">
        <v>381</v>
      </c>
      <c r="K154" t="s">
        <v>74</v>
      </c>
      <c r="L154" t="s">
        <v>74</v>
      </c>
      <c r="M154" t="s">
        <v>74</v>
      </c>
      <c r="N154" t="s">
        <v>74</v>
      </c>
      <c r="O154" t="s">
        <v>74</v>
      </c>
      <c r="P154" t="s">
        <v>74</v>
      </c>
      <c r="Q154" t="s">
        <v>74</v>
      </c>
      <c r="R154" t="s">
        <v>74</v>
      </c>
      <c r="S154" t="s">
        <v>74</v>
      </c>
      <c r="T154" t="s">
        <v>74</v>
      </c>
      <c r="U154" t="s">
        <v>74</v>
      </c>
      <c r="V154" t="s">
        <v>74</v>
      </c>
      <c r="W154" t="s">
        <v>74</v>
      </c>
      <c r="X154" t="s">
        <v>74</v>
      </c>
      <c r="Y154" t="s">
        <v>74</v>
      </c>
      <c r="Z154" t="s">
        <v>74</v>
      </c>
      <c r="AA154" t="s">
        <v>6842</v>
      </c>
      <c r="AB154" t="s">
        <v>1309</v>
      </c>
      <c r="AC154" t="s">
        <v>74</v>
      </c>
      <c r="AD154" t="s">
        <v>74</v>
      </c>
      <c r="AE154" t="s">
        <v>74</v>
      </c>
      <c r="AF154" t="s">
        <v>74</v>
      </c>
      <c r="AG154" t="s">
        <v>74</v>
      </c>
      <c r="AH154" t="s">
        <v>74</v>
      </c>
      <c r="AI154" t="s">
        <v>74</v>
      </c>
      <c r="AJ154" t="s">
        <v>74</v>
      </c>
      <c r="AK154" t="s">
        <v>74</v>
      </c>
      <c r="AL154" t="s">
        <v>74</v>
      </c>
      <c r="AM154" t="s">
        <v>74</v>
      </c>
      <c r="AN154" t="s">
        <v>74</v>
      </c>
      <c r="AO154" t="s">
        <v>383</v>
      </c>
      <c r="AP154" t="s">
        <v>384</v>
      </c>
      <c r="AQ154" t="s">
        <v>74</v>
      </c>
      <c r="AR154" t="s">
        <v>74</v>
      </c>
      <c r="AS154" t="s">
        <v>74</v>
      </c>
      <c r="AT154" t="s">
        <v>1310</v>
      </c>
      <c r="AU154">
        <v>2022</v>
      </c>
      <c r="AV154">
        <v>305</v>
      </c>
      <c r="AW154" t="s">
        <v>74</v>
      </c>
      <c r="AX154" t="s">
        <v>74</v>
      </c>
      <c r="AY154" t="s">
        <v>74</v>
      </c>
      <c r="AZ154" t="s">
        <v>74</v>
      </c>
      <c r="BA154" t="s">
        <v>74</v>
      </c>
      <c r="BB154" t="s">
        <v>74</v>
      </c>
      <c r="BC154" t="s">
        <v>74</v>
      </c>
      <c r="BD154">
        <v>119304</v>
      </c>
      <c r="BE154" t="s">
        <v>1311</v>
      </c>
      <c r="BF154" t="str">
        <f>HYPERLINK("http://dx.doi.org/10.1016/j.envpol.2022.119304","http://dx.doi.org/10.1016/j.envpol.2022.119304")</f>
        <v>http://dx.doi.org/10.1016/j.envpol.2022.119304</v>
      </c>
      <c r="BG154" t="s">
        <v>74</v>
      </c>
      <c r="BH154" t="s">
        <v>1294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>
        <v>35430311</v>
      </c>
      <c r="BO154" t="s">
        <v>74</v>
      </c>
      <c r="BP154" t="s">
        <v>74</v>
      </c>
      <c r="BQ154" t="s">
        <v>74</v>
      </c>
      <c r="BR154" t="s">
        <v>74</v>
      </c>
      <c r="BS154" t="s">
        <v>1312</v>
      </c>
      <c r="BT154" t="str">
        <f>HYPERLINK("https%3A%2F%2Fwww.webofscience.com%2Fwos%2Fwoscc%2Ffull-record%2FWOS:000797073400008","View Full Record in Web of Science")</f>
        <v>View Full Record in Web of Science</v>
      </c>
    </row>
    <row r="155" spans="1:72" x14ac:dyDescent="0.2">
      <c r="A155" t="s">
        <v>72</v>
      </c>
      <c r="B155" t="s">
        <v>1313</v>
      </c>
      <c r="C155" t="s">
        <v>74</v>
      </c>
      <c r="D155" t="s">
        <v>74</v>
      </c>
      <c r="E155" t="s">
        <v>74</v>
      </c>
      <c r="F155" t="s">
        <v>1314</v>
      </c>
      <c r="G155" t="s">
        <v>74</v>
      </c>
      <c r="H155" t="s">
        <v>74</v>
      </c>
      <c r="I155" t="s">
        <v>1315</v>
      </c>
      <c r="J155" t="s">
        <v>218</v>
      </c>
      <c r="K155" t="s">
        <v>74</v>
      </c>
      <c r="L155" t="s">
        <v>74</v>
      </c>
      <c r="M155" t="s">
        <v>74</v>
      </c>
      <c r="N155" t="s">
        <v>74</v>
      </c>
      <c r="O155" t="s">
        <v>74</v>
      </c>
      <c r="P155" t="s">
        <v>74</v>
      </c>
      <c r="Q155" t="s">
        <v>74</v>
      </c>
      <c r="R155" t="s">
        <v>74</v>
      </c>
      <c r="S155" t="s">
        <v>74</v>
      </c>
      <c r="T155" t="s">
        <v>74</v>
      </c>
      <c r="U155" t="s">
        <v>74</v>
      </c>
      <c r="V155" t="s">
        <v>74</v>
      </c>
      <c r="W155" t="s">
        <v>74</v>
      </c>
      <c r="X155" t="s">
        <v>74</v>
      </c>
      <c r="Y155" t="s">
        <v>74</v>
      </c>
      <c r="Z155" t="s">
        <v>74</v>
      </c>
      <c r="AA155" t="s">
        <v>74</v>
      </c>
      <c r="AB155" t="s">
        <v>1316</v>
      </c>
      <c r="AC155" t="s">
        <v>74</v>
      </c>
      <c r="AD155" t="s">
        <v>74</v>
      </c>
      <c r="AE155" t="s">
        <v>74</v>
      </c>
      <c r="AF155" t="s">
        <v>74</v>
      </c>
      <c r="AG155" t="s">
        <v>74</v>
      </c>
      <c r="AH155" t="s">
        <v>74</v>
      </c>
      <c r="AI155" t="s">
        <v>74</v>
      </c>
      <c r="AJ155" t="s">
        <v>74</v>
      </c>
      <c r="AK155" t="s">
        <v>74</v>
      </c>
      <c r="AL155" t="s">
        <v>74</v>
      </c>
      <c r="AM155" t="s">
        <v>74</v>
      </c>
      <c r="AN155" t="s">
        <v>74</v>
      </c>
      <c r="AO155" t="s">
        <v>220</v>
      </c>
      <c r="AP155" t="s">
        <v>74</v>
      </c>
      <c r="AQ155" t="s">
        <v>74</v>
      </c>
      <c r="AR155" t="s">
        <v>74</v>
      </c>
      <c r="AS155" t="s">
        <v>74</v>
      </c>
      <c r="AT155" t="s">
        <v>1317</v>
      </c>
      <c r="AU155">
        <v>2022</v>
      </c>
      <c r="AV155">
        <v>12</v>
      </c>
      <c r="AW155">
        <v>1</v>
      </c>
      <c r="AX155" t="s">
        <v>74</v>
      </c>
      <c r="AY155" t="s">
        <v>74</v>
      </c>
      <c r="AZ155" t="s">
        <v>74</v>
      </c>
      <c r="BA155" t="s">
        <v>74</v>
      </c>
      <c r="BB155" t="s">
        <v>74</v>
      </c>
      <c r="BC155" t="s">
        <v>74</v>
      </c>
      <c r="BD155">
        <v>6134</v>
      </c>
      <c r="BE155" t="s">
        <v>1318</v>
      </c>
      <c r="BF155" t="str">
        <f>HYPERLINK("http://dx.doi.org/10.1038/s41598-022-10094-2","http://dx.doi.org/10.1038/s41598-022-10094-2")</f>
        <v>http://dx.doi.org/10.1038/s41598-022-10094-2</v>
      </c>
      <c r="BG155" t="s">
        <v>74</v>
      </c>
      <c r="BH155" t="s">
        <v>74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>
        <v>35414683</v>
      </c>
      <c r="BO155" t="s">
        <v>74</v>
      </c>
      <c r="BP155" t="s">
        <v>74</v>
      </c>
      <c r="BQ155" t="s">
        <v>74</v>
      </c>
      <c r="BR155" t="s">
        <v>74</v>
      </c>
      <c r="BS155" t="s">
        <v>1319</v>
      </c>
      <c r="BT155" t="str">
        <f>HYPERLINK("https%3A%2F%2Fwww.webofscience.com%2Fwos%2Fwoscc%2Ffull-record%2FWOS:000782202600074","View Full Record in Web of Science")</f>
        <v>View Full Record in Web of Science</v>
      </c>
    </row>
    <row r="156" spans="1:72" x14ac:dyDescent="0.2">
      <c r="A156" t="s">
        <v>72</v>
      </c>
      <c r="B156" t="s">
        <v>1320</v>
      </c>
      <c r="C156" t="s">
        <v>74</v>
      </c>
      <c r="D156" t="s">
        <v>74</v>
      </c>
      <c r="E156" t="s">
        <v>74</v>
      </c>
      <c r="F156" t="s">
        <v>1321</v>
      </c>
      <c r="G156" t="s">
        <v>74</v>
      </c>
      <c r="H156" t="s">
        <v>74</v>
      </c>
      <c r="I156" t="s">
        <v>1322</v>
      </c>
      <c r="J156" t="s">
        <v>1323</v>
      </c>
      <c r="K156" t="s">
        <v>74</v>
      </c>
      <c r="L156" t="s">
        <v>74</v>
      </c>
      <c r="M156" t="s">
        <v>74</v>
      </c>
      <c r="N156" t="s">
        <v>74</v>
      </c>
      <c r="O156" t="s">
        <v>74</v>
      </c>
      <c r="P156" t="s">
        <v>74</v>
      </c>
      <c r="Q156" t="s">
        <v>74</v>
      </c>
      <c r="R156" t="s">
        <v>74</v>
      </c>
      <c r="S156" t="s">
        <v>74</v>
      </c>
      <c r="T156" t="s">
        <v>74</v>
      </c>
      <c r="U156" t="s">
        <v>74</v>
      </c>
      <c r="V156" t="s">
        <v>74</v>
      </c>
      <c r="W156" t="s">
        <v>74</v>
      </c>
      <c r="X156" t="s">
        <v>74</v>
      </c>
      <c r="Y156" t="s">
        <v>74</v>
      </c>
      <c r="Z156" t="s">
        <v>74</v>
      </c>
      <c r="AA156" t="s">
        <v>1324</v>
      </c>
      <c r="AB156" t="s">
        <v>1325</v>
      </c>
      <c r="AC156" t="s">
        <v>74</v>
      </c>
      <c r="AD156" t="s">
        <v>74</v>
      </c>
      <c r="AE156" t="s">
        <v>74</v>
      </c>
      <c r="AF156" t="s">
        <v>74</v>
      </c>
      <c r="AG156" t="s">
        <v>74</v>
      </c>
      <c r="AH156" t="s">
        <v>74</v>
      </c>
      <c r="AI156" t="s">
        <v>74</v>
      </c>
      <c r="AJ156" t="s">
        <v>74</v>
      </c>
      <c r="AK156" t="s">
        <v>74</v>
      </c>
      <c r="AL156" t="s">
        <v>74</v>
      </c>
      <c r="AM156" t="s">
        <v>74</v>
      </c>
      <c r="AN156" t="s">
        <v>74</v>
      </c>
      <c r="AO156" t="s">
        <v>1326</v>
      </c>
      <c r="AP156" t="s">
        <v>1327</v>
      </c>
      <c r="AQ156" t="s">
        <v>74</v>
      </c>
      <c r="AR156" t="s">
        <v>74</v>
      </c>
      <c r="AS156" t="s">
        <v>74</v>
      </c>
      <c r="AT156" t="s">
        <v>203</v>
      </c>
      <c r="AU156">
        <v>2022</v>
      </c>
      <c r="AV156">
        <v>84</v>
      </c>
      <c r="AW156">
        <v>2</v>
      </c>
      <c r="AX156" t="s">
        <v>74</v>
      </c>
      <c r="AY156" t="s">
        <v>74</v>
      </c>
      <c r="AZ156" t="s">
        <v>74</v>
      </c>
      <c r="BA156" t="s">
        <v>74</v>
      </c>
      <c r="BB156" t="s">
        <v>74</v>
      </c>
      <c r="BC156" t="s">
        <v>74</v>
      </c>
      <c r="BD156">
        <v>28</v>
      </c>
      <c r="BE156" t="s">
        <v>1328</v>
      </c>
      <c r="BF156" t="str">
        <f>HYPERLINK("http://dx.doi.org/10.1007/s00027-022-00861-8","http://dx.doi.org/10.1007/s00027-022-00861-8")</f>
        <v>http://dx.doi.org/10.1007/s00027-022-00861-8</v>
      </c>
      <c r="BG156" t="s">
        <v>74</v>
      </c>
      <c r="BH156" t="s">
        <v>74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 t="s">
        <v>74</v>
      </c>
      <c r="BO156" t="s">
        <v>74</v>
      </c>
      <c r="BP156" t="s">
        <v>74</v>
      </c>
      <c r="BQ156" t="s">
        <v>74</v>
      </c>
      <c r="BR156" t="s">
        <v>74</v>
      </c>
      <c r="BS156" t="s">
        <v>1329</v>
      </c>
      <c r="BT156" t="str">
        <f>HYPERLINK("https%3A%2F%2Fwww.webofscience.com%2Fwos%2Fwoscc%2Ffull-record%2FWOS:000776859500003","View Full Record in Web of Science")</f>
        <v>View Full Record in Web of Science</v>
      </c>
    </row>
    <row r="157" spans="1:72" x14ac:dyDescent="0.2">
      <c r="A157" t="s">
        <v>72</v>
      </c>
      <c r="B157" t="s">
        <v>1330</v>
      </c>
      <c r="C157" t="s">
        <v>74</v>
      </c>
      <c r="D157" t="s">
        <v>74</v>
      </c>
      <c r="E157" t="s">
        <v>74</v>
      </c>
      <c r="F157" t="s">
        <v>1331</v>
      </c>
      <c r="G157" t="s">
        <v>74</v>
      </c>
      <c r="H157" t="s">
        <v>74</v>
      </c>
      <c r="I157" t="s">
        <v>1332</v>
      </c>
      <c r="J157" t="s">
        <v>1333</v>
      </c>
      <c r="K157" t="s">
        <v>74</v>
      </c>
      <c r="L157" t="s">
        <v>74</v>
      </c>
      <c r="M157" t="s">
        <v>74</v>
      </c>
      <c r="N157" t="s">
        <v>74</v>
      </c>
      <c r="O157" t="s">
        <v>74</v>
      </c>
      <c r="P157" t="s">
        <v>74</v>
      </c>
      <c r="Q157" t="s">
        <v>74</v>
      </c>
      <c r="R157" t="s">
        <v>74</v>
      </c>
      <c r="S157" t="s">
        <v>74</v>
      </c>
      <c r="T157" t="s">
        <v>74</v>
      </c>
      <c r="U157" t="s">
        <v>74</v>
      </c>
      <c r="V157" t="s">
        <v>74</v>
      </c>
      <c r="W157" t="s">
        <v>74</v>
      </c>
      <c r="X157" t="s">
        <v>74</v>
      </c>
      <c r="Y157" t="s">
        <v>74</v>
      </c>
      <c r="Z157" t="s">
        <v>74</v>
      </c>
      <c r="AA157" t="s">
        <v>6843</v>
      </c>
      <c r="AB157" t="s">
        <v>1334</v>
      </c>
      <c r="AC157" t="s">
        <v>74</v>
      </c>
      <c r="AD157" t="s">
        <v>74</v>
      </c>
      <c r="AE157" t="s">
        <v>74</v>
      </c>
      <c r="AF157" t="s">
        <v>74</v>
      </c>
      <c r="AG157" t="s">
        <v>74</v>
      </c>
      <c r="AH157" t="s">
        <v>74</v>
      </c>
      <c r="AI157" t="s">
        <v>74</v>
      </c>
      <c r="AJ157" t="s">
        <v>74</v>
      </c>
      <c r="AK157" t="s">
        <v>74</v>
      </c>
      <c r="AL157" t="s">
        <v>74</v>
      </c>
      <c r="AM157" t="s">
        <v>74</v>
      </c>
      <c r="AN157" t="s">
        <v>74</v>
      </c>
      <c r="AO157" t="s">
        <v>1335</v>
      </c>
      <c r="AP157" t="s">
        <v>74</v>
      </c>
      <c r="AQ157" t="s">
        <v>74</v>
      </c>
      <c r="AR157" t="s">
        <v>74</v>
      </c>
      <c r="AS157" t="s">
        <v>74</v>
      </c>
      <c r="AT157" t="s">
        <v>727</v>
      </c>
      <c r="AU157">
        <v>2022</v>
      </c>
      <c r="AV157">
        <v>14</v>
      </c>
      <c r="AW157">
        <v>2</v>
      </c>
      <c r="AX157" t="s">
        <v>74</v>
      </c>
      <c r="AY157" t="s">
        <v>74</v>
      </c>
      <c r="AZ157" t="s">
        <v>74</v>
      </c>
      <c r="BA157" t="s">
        <v>74</v>
      </c>
      <c r="BB157" t="s">
        <v>74</v>
      </c>
      <c r="BC157" t="s">
        <v>74</v>
      </c>
      <c r="BD157" t="s">
        <v>1336</v>
      </c>
      <c r="BE157" t="s">
        <v>1337</v>
      </c>
      <c r="BF157" t="str">
        <f>HYPERLINK("http://dx.doi.org/10.1093/aobpla/plac009","http://dx.doi.org/10.1093/aobpla/plac009")</f>
        <v>http://dx.doi.org/10.1093/aobpla/plac009</v>
      </c>
      <c r="BG157" t="s">
        <v>74</v>
      </c>
      <c r="BH157" t="s">
        <v>74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>
        <v>35414861</v>
      </c>
      <c r="BO157" t="s">
        <v>74</v>
      </c>
      <c r="BP157" t="s">
        <v>74</v>
      </c>
      <c r="BQ157" t="s">
        <v>74</v>
      </c>
      <c r="BR157" t="s">
        <v>74</v>
      </c>
      <c r="BS157" t="s">
        <v>1338</v>
      </c>
      <c r="BT157" t="str">
        <f>HYPERLINK("https%3A%2F%2Fwww.webofscience.com%2Fwos%2Fwoscc%2Ffull-record%2FWOS:000779887200001","View Full Record in Web of Science")</f>
        <v>View Full Record in Web of Science</v>
      </c>
    </row>
    <row r="158" spans="1:72" x14ac:dyDescent="0.2">
      <c r="A158" t="s">
        <v>72</v>
      </c>
      <c r="B158" t="s">
        <v>1339</v>
      </c>
      <c r="C158" t="s">
        <v>74</v>
      </c>
      <c r="D158" t="s">
        <v>74</v>
      </c>
      <c r="E158" t="s">
        <v>74</v>
      </c>
      <c r="F158" t="s">
        <v>1340</v>
      </c>
      <c r="G158" t="s">
        <v>74</v>
      </c>
      <c r="H158" t="s">
        <v>74</v>
      </c>
      <c r="I158" t="s">
        <v>1341</v>
      </c>
      <c r="J158" t="s">
        <v>124</v>
      </c>
      <c r="K158" t="s">
        <v>74</v>
      </c>
      <c r="L158" t="s">
        <v>74</v>
      </c>
      <c r="M158" t="s">
        <v>74</v>
      </c>
      <c r="N158" t="s">
        <v>74</v>
      </c>
      <c r="O158" t="s">
        <v>74</v>
      </c>
      <c r="P158" t="s">
        <v>74</v>
      </c>
      <c r="Q158" t="s">
        <v>74</v>
      </c>
      <c r="R158" t="s">
        <v>74</v>
      </c>
      <c r="S158" t="s">
        <v>74</v>
      </c>
      <c r="T158" t="s">
        <v>74</v>
      </c>
      <c r="U158" t="s">
        <v>74</v>
      </c>
      <c r="V158" t="s">
        <v>74</v>
      </c>
      <c r="W158" t="s">
        <v>74</v>
      </c>
      <c r="X158" t="s">
        <v>74</v>
      </c>
      <c r="Y158" t="s">
        <v>74</v>
      </c>
      <c r="Z158" t="s">
        <v>74</v>
      </c>
      <c r="AA158" t="s">
        <v>6844</v>
      </c>
      <c r="AB158" t="s">
        <v>6845</v>
      </c>
      <c r="AC158" t="s">
        <v>74</v>
      </c>
      <c r="AD158" t="s">
        <v>74</v>
      </c>
      <c r="AE158" t="s">
        <v>74</v>
      </c>
      <c r="AF158" t="s">
        <v>74</v>
      </c>
      <c r="AG158" t="s">
        <v>74</v>
      </c>
      <c r="AH158" t="s">
        <v>74</v>
      </c>
      <c r="AI158" t="s">
        <v>74</v>
      </c>
      <c r="AJ158" t="s">
        <v>74</v>
      </c>
      <c r="AK158" t="s">
        <v>74</v>
      </c>
      <c r="AL158" t="s">
        <v>74</v>
      </c>
      <c r="AM158" t="s">
        <v>74</v>
      </c>
      <c r="AN158" t="s">
        <v>74</v>
      </c>
      <c r="AO158" t="s">
        <v>127</v>
      </c>
      <c r="AP158" t="s">
        <v>128</v>
      </c>
      <c r="AQ158" t="s">
        <v>74</v>
      </c>
      <c r="AR158" t="s">
        <v>74</v>
      </c>
      <c r="AS158" t="s">
        <v>74</v>
      </c>
      <c r="AT158" t="s">
        <v>575</v>
      </c>
      <c r="AU158">
        <v>2022</v>
      </c>
      <c r="AV158">
        <v>849</v>
      </c>
      <c r="AW158">
        <v>9</v>
      </c>
      <c r="AX158" t="s">
        <v>74</v>
      </c>
      <c r="AY158" t="s">
        <v>74</v>
      </c>
      <c r="AZ158" t="s">
        <v>74</v>
      </c>
      <c r="BA158" t="s">
        <v>74</v>
      </c>
      <c r="BB158">
        <v>2091</v>
      </c>
      <c r="BC158">
        <v>2108</v>
      </c>
      <c r="BD158" t="s">
        <v>74</v>
      </c>
      <c r="BE158" t="s">
        <v>1342</v>
      </c>
      <c r="BF158" t="str">
        <f>HYPERLINK("http://dx.doi.org/10.1007/s10750-022-04846-4","http://dx.doi.org/10.1007/s10750-022-04846-4")</f>
        <v>http://dx.doi.org/10.1007/s10750-022-04846-4</v>
      </c>
      <c r="BG158" t="s">
        <v>74</v>
      </c>
      <c r="BH158" t="s">
        <v>1343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 t="s">
        <v>74</v>
      </c>
      <c r="BO158" t="s">
        <v>74</v>
      </c>
      <c r="BP158" t="s">
        <v>74</v>
      </c>
      <c r="BQ158" t="s">
        <v>74</v>
      </c>
      <c r="BR158" t="s">
        <v>74</v>
      </c>
      <c r="BS158" t="s">
        <v>1344</v>
      </c>
      <c r="BT158" t="str">
        <f>HYPERLINK("https%3A%2F%2Fwww.webofscience.com%2Fwos%2Fwoscc%2Ffull-record%2FWOS:000774611400002","View Full Record in Web of Science")</f>
        <v>View Full Record in Web of Science</v>
      </c>
    </row>
    <row r="159" spans="1:72" x14ac:dyDescent="0.2">
      <c r="A159" t="s">
        <v>72</v>
      </c>
      <c r="B159" t="s">
        <v>1345</v>
      </c>
      <c r="C159" t="s">
        <v>74</v>
      </c>
      <c r="D159" t="s">
        <v>74</v>
      </c>
      <c r="E159" t="s">
        <v>74</v>
      </c>
      <c r="F159" t="s">
        <v>1346</v>
      </c>
      <c r="G159" t="s">
        <v>74</v>
      </c>
      <c r="H159" t="s">
        <v>74</v>
      </c>
      <c r="I159" t="s">
        <v>1347</v>
      </c>
      <c r="J159" t="s">
        <v>124</v>
      </c>
      <c r="K159" t="s">
        <v>74</v>
      </c>
      <c r="L159" t="s">
        <v>74</v>
      </c>
      <c r="M159" t="s">
        <v>74</v>
      </c>
      <c r="N159" t="s">
        <v>74</v>
      </c>
      <c r="O159" t="s">
        <v>74</v>
      </c>
      <c r="P159" t="s">
        <v>74</v>
      </c>
      <c r="Q159" t="s">
        <v>74</v>
      </c>
      <c r="R159" t="s">
        <v>74</v>
      </c>
      <c r="S159" t="s">
        <v>74</v>
      </c>
      <c r="T159" t="s">
        <v>74</v>
      </c>
      <c r="U159" t="s">
        <v>74</v>
      </c>
      <c r="V159" t="s">
        <v>74</v>
      </c>
      <c r="W159" t="s">
        <v>74</v>
      </c>
      <c r="X159" t="s">
        <v>74</v>
      </c>
      <c r="Y159" t="s">
        <v>74</v>
      </c>
      <c r="Z159" t="s">
        <v>74</v>
      </c>
      <c r="AA159" t="s">
        <v>74</v>
      </c>
      <c r="AB159" t="s">
        <v>1348</v>
      </c>
      <c r="AC159" t="s">
        <v>74</v>
      </c>
      <c r="AD159" t="s">
        <v>74</v>
      </c>
      <c r="AE159" t="s">
        <v>74</v>
      </c>
      <c r="AF159" t="s">
        <v>74</v>
      </c>
      <c r="AG159" t="s">
        <v>74</v>
      </c>
      <c r="AH159" t="s">
        <v>74</v>
      </c>
      <c r="AI159" t="s">
        <v>74</v>
      </c>
      <c r="AJ159" t="s">
        <v>74</v>
      </c>
      <c r="AK159" t="s">
        <v>74</v>
      </c>
      <c r="AL159" t="s">
        <v>74</v>
      </c>
      <c r="AM159" t="s">
        <v>74</v>
      </c>
      <c r="AN159" t="s">
        <v>74</v>
      </c>
      <c r="AO159" t="s">
        <v>127</v>
      </c>
      <c r="AP159" t="s">
        <v>128</v>
      </c>
      <c r="AQ159" t="s">
        <v>74</v>
      </c>
      <c r="AR159" t="s">
        <v>74</v>
      </c>
      <c r="AS159" t="s">
        <v>74</v>
      </c>
      <c r="AT159" t="s">
        <v>575</v>
      </c>
      <c r="AU159">
        <v>2022</v>
      </c>
      <c r="AV159">
        <v>849</v>
      </c>
      <c r="AW159">
        <v>8</v>
      </c>
      <c r="AX159" t="s">
        <v>74</v>
      </c>
      <c r="AY159" t="s">
        <v>74</v>
      </c>
      <c r="AZ159" t="s">
        <v>74</v>
      </c>
      <c r="BA159" t="s">
        <v>74</v>
      </c>
      <c r="BB159">
        <v>1871</v>
      </c>
      <c r="BC159">
        <v>1884</v>
      </c>
      <c r="BD159" t="s">
        <v>74</v>
      </c>
      <c r="BE159" t="s">
        <v>1349</v>
      </c>
      <c r="BF159" t="str">
        <f>HYPERLINK("http://dx.doi.org/10.1007/s10750-022-04832-w","http://dx.doi.org/10.1007/s10750-022-04832-w")</f>
        <v>http://dx.doi.org/10.1007/s10750-022-04832-w</v>
      </c>
      <c r="BG159" t="s">
        <v>74</v>
      </c>
      <c r="BH159" t="s">
        <v>1343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 t="s">
        <v>74</v>
      </c>
      <c r="BO159" t="s">
        <v>74</v>
      </c>
      <c r="BP159" t="s">
        <v>74</v>
      </c>
      <c r="BQ159" t="s">
        <v>74</v>
      </c>
      <c r="BR159" t="s">
        <v>74</v>
      </c>
      <c r="BS159" t="s">
        <v>1350</v>
      </c>
      <c r="BT159" t="str">
        <f>HYPERLINK("https%3A%2F%2Fwww.webofscience.com%2Fwos%2Fwoscc%2Ffull-record%2FWOS:000766037700003","View Full Record in Web of Science")</f>
        <v>View Full Record in Web of Science</v>
      </c>
    </row>
    <row r="160" spans="1:72" x14ac:dyDescent="0.2">
      <c r="A160" t="s">
        <v>72</v>
      </c>
      <c r="B160" t="s">
        <v>1351</v>
      </c>
      <c r="C160" t="s">
        <v>74</v>
      </c>
      <c r="D160" t="s">
        <v>74</v>
      </c>
      <c r="E160" t="s">
        <v>74</v>
      </c>
      <c r="F160" t="s">
        <v>1352</v>
      </c>
      <c r="G160" t="s">
        <v>74</v>
      </c>
      <c r="H160" t="s">
        <v>74</v>
      </c>
      <c r="I160" t="s">
        <v>1353</v>
      </c>
      <c r="J160" t="s">
        <v>733</v>
      </c>
      <c r="K160" t="s">
        <v>74</v>
      </c>
      <c r="L160" t="s">
        <v>74</v>
      </c>
      <c r="M160" t="s">
        <v>74</v>
      </c>
      <c r="N160" t="s">
        <v>74</v>
      </c>
      <c r="O160" t="s">
        <v>74</v>
      </c>
      <c r="P160" t="s">
        <v>74</v>
      </c>
      <c r="Q160" t="s">
        <v>74</v>
      </c>
      <c r="R160" t="s">
        <v>74</v>
      </c>
      <c r="S160" t="s">
        <v>74</v>
      </c>
      <c r="T160" t="s">
        <v>74</v>
      </c>
      <c r="U160" t="s">
        <v>74</v>
      </c>
      <c r="V160" t="s">
        <v>74</v>
      </c>
      <c r="W160" t="s">
        <v>74</v>
      </c>
      <c r="X160" t="s">
        <v>74</v>
      </c>
      <c r="Y160" t="s">
        <v>74</v>
      </c>
      <c r="Z160" t="s">
        <v>74</v>
      </c>
      <c r="AA160" t="s">
        <v>6846</v>
      </c>
      <c r="AB160" t="s">
        <v>6847</v>
      </c>
      <c r="AC160" t="s">
        <v>74</v>
      </c>
      <c r="AD160" t="s">
        <v>74</v>
      </c>
      <c r="AE160" t="s">
        <v>74</v>
      </c>
      <c r="AF160" t="s">
        <v>74</v>
      </c>
      <c r="AG160" t="s">
        <v>74</v>
      </c>
      <c r="AH160" t="s">
        <v>74</v>
      </c>
      <c r="AI160" t="s">
        <v>74</v>
      </c>
      <c r="AJ160" t="s">
        <v>74</v>
      </c>
      <c r="AK160" t="s">
        <v>74</v>
      </c>
      <c r="AL160" t="s">
        <v>74</v>
      </c>
      <c r="AM160" t="s">
        <v>74</v>
      </c>
      <c r="AN160" t="s">
        <v>74</v>
      </c>
      <c r="AO160" t="s">
        <v>734</v>
      </c>
      <c r="AP160" t="s">
        <v>74</v>
      </c>
      <c r="AQ160" t="s">
        <v>74</v>
      </c>
      <c r="AR160" t="s">
        <v>74</v>
      </c>
      <c r="AS160" t="s">
        <v>74</v>
      </c>
      <c r="AT160" t="s">
        <v>1354</v>
      </c>
      <c r="AU160">
        <v>2022</v>
      </c>
      <c r="AV160">
        <v>10</v>
      </c>
      <c r="AW160" t="s">
        <v>74</v>
      </c>
      <c r="AX160" t="s">
        <v>74</v>
      </c>
      <c r="AY160" t="s">
        <v>74</v>
      </c>
      <c r="AZ160" t="s">
        <v>74</v>
      </c>
      <c r="BA160" t="s">
        <v>74</v>
      </c>
      <c r="BB160" t="s">
        <v>74</v>
      </c>
      <c r="BC160" t="s">
        <v>74</v>
      </c>
      <c r="BD160">
        <v>804521</v>
      </c>
      <c r="BE160" t="s">
        <v>1355</v>
      </c>
      <c r="BF160" t="str">
        <f>HYPERLINK("http://dx.doi.org/10.3389/fevo.2022.804521","http://dx.doi.org/10.3389/fevo.2022.804521")</f>
        <v>http://dx.doi.org/10.3389/fevo.2022.804521</v>
      </c>
      <c r="BG160" t="s">
        <v>74</v>
      </c>
      <c r="BH160" t="s">
        <v>74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 t="s">
        <v>74</v>
      </c>
      <c r="BR160" t="s">
        <v>74</v>
      </c>
      <c r="BS160" t="s">
        <v>1356</v>
      </c>
      <c r="BT160" t="str">
        <f>HYPERLINK("https%3A%2F%2Fwww.webofscience.com%2Fwos%2Fwoscc%2Ffull-record%2FWOS:000797929000001","View Full Record in Web of Science")</f>
        <v>View Full Record in Web of Science</v>
      </c>
    </row>
    <row r="161" spans="1:72" x14ac:dyDescent="0.2">
      <c r="A161" t="s">
        <v>72</v>
      </c>
      <c r="B161" t="s">
        <v>1357</v>
      </c>
      <c r="C161" t="s">
        <v>74</v>
      </c>
      <c r="D161" t="s">
        <v>74</v>
      </c>
      <c r="E161" t="s">
        <v>74</v>
      </c>
      <c r="F161" t="s">
        <v>1358</v>
      </c>
      <c r="G161" t="s">
        <v>74</v>
      </c>
      <c r="H161" t="s">
        <v>74</v>
      </c>
      <c r="I161" t="s">
        <v>1359</v>
      </c>
      <c r="J161" t="s">
        <v>1360</v>
      </c>
      <c r="K161" t="s">
        <v>74</v>
      </c>
      <c r="L161" t="s">
        <v>74</v>
      </c>
      <c r="M161" t="s">
        <v>74</v>
      </c>
      <c r="N161" t="s">
        <v>74</v>
      </c>
      <c r="O161" t="s">
        <v>74</v>
      </c>
      <c r="P161" t="s">
        <v>74</v>
      </c>
      <c r="Q161" t="s">
        <v>74</v>
      </c>
      <c r="R161" t="s">
        <v>74</v>
      </c>
      <c r="S161" t="s">
        <v>74</v>
      </c>
      <c r="T161" t="s">
        <v>74</v>
      </c>
      <c r="U161" t="s">
        <v>74</v>
      </c>
      <c r="V161" t="s">
        <v>74</v>
      </c>
      <c r="W161" t="s">
        <v>74</v>
      </c>
      <c r="X161" t="s">
        <v>74</v>
      </c>
      <c r="Y161" t="s">
        <v>74</v>
      </c>
      <c r="Z161" t="s">
        <v>74</v>
      </c>
      <c r="AA161" t="s">
        <v>74</v>
      </c>
      <c r="AB161" t="s">
        <v>1361</v>
      </c>
      <c r="AC161" t="s">
        <v>74</v>
      </c>
      <c r="AD161" t="s">
        <v>74</v>
      </c>
      <c r="AE161" t="s">
        <v>74</v>
      </c>
      <c r="AF161" t="s">
        <v>74</v>
      </c>
      <c r="AG161" t="s">
        <v>74</v>
      </c>
      <c r="AH161" t="s">
        <v>74</v>
      </c>
      <c r="AI161" t="s">
        <v>74</v>
      </c>
      <c r="AJ161" t="s">
        <v>74</v>
      </c>
      <c r="AK161" t="s">
        <v>74</v>
      </c>
      <c r="AL161" t="s">
        <v>74</v>
      </c>
      <c r="AM161" t="s">
        <v>74</v>
      </c>
      <c r="AN161" t="s">
        <v>74</v>
      </c>
      <c r="AO161" t="s">
        <v>74</v>
      </c>
      <c r="AP161" t="s">
        <v>1362</v>
      </c>
      <c r="AQ161" t="s">
        <v>74</v>
      </c>
      <c r="AR161" t="s">
        <v>74</v>
      </c>
      <c r="AS161" t="s">
        <v>74</v>
      </c>
      <c r="AT161" t="s">
        <v>157</v>
      </c>
      <c r="AU161">
        <v>2022</v>
      </c>
      <c r="AV161">
        <v>12</v>
      </c>
      <c r="AW161">
        <v>3</v>
      </c>
      <c r="AX161" t="s">
        <v>74</v>
      </c>
      <c r="AY161" t="s">
        <v>74</v>
      </c>
      <c r="AZ161" t="s">
        <v>74</v>
      </c>
      <c r="BA161" t="s">
        <v>74</v>
      </c>
      <c r="BB161" t="s">
        <v>74</v>
      </c>
      <c r="BC161" t="s">
        <v>74</v>
      </c>
      <c r="BD161">
        <v>429</v>
      </c>
      <c r="BE161" t="s">
        <v>1363</v>
      </c>
      <c r="BF161" t="str">
        <f>HYPERLINK("http://dx.doi.org/10.3390/life12030429","http://dx.doi.org/10.3390/life12030429")</f>
        <v>http://dx.doi.org/10.3390/life12030429</v>
      </c>
      <c r="BG161" t="s">
        <v>74</v>
      </c>
      <c r="BH161" t="s">
        <v>74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>
        <v>35330180</v>
      </c>
      <c r="BO161" t="s">
        <v>74</v>
      </c>
      <c r="BP161" t="s">
        <v>74</v>
      </c>
      <c r="BQ161" t="s">
        <v>74</v>
      </c>
      <c r="BR161" t="s">
        <v>74</v>
      </c>
      <c r="BS161" t="s">
        <v>1364</v>
      </c>
      <c r="BT161" t="str">
        <f>HYPERLINK("https%3A%2F%2Fwww.webofscience.com%2Fwos%2Fwoscc%2Ffull-record%2FWOS:000774975300001","View Full Record in Web of Science")</f>
        <v>View Full Record in Web of Science</v>
      </c>
    </row>
    <row r="162" spans="1:72" x14ac:dyDescent="0.2">
      <c r="A162" t="s">
        <v>72</v>
      </c>
      <c r="B162" t="s">
        <v>1365</v>
      </c>
      <c r="C162" t="s">
        <v>74</v>
      </c>
      <c r="D162" t="s">
        <v>74</v>
      </c>
      <c r="E162" t="s">
        <v>74</v>
      </c>
      <c r="F162" t="s">
        <v>1366</v>
      </c>
      <c r="G162" t="s">
        <v>74</v>
      </c>
      <c r="H162" t="s">
        <v>74</v>
      </c>
      <c r="I162" t="s">
        <v>1367</v>
      </c>
      <c r="J162" t="s">
        <v>1368</v>
      </c>
      <c r="K162" t="s">
        <v>74</v>
      </c>
      <c r="L162" t="s">
        <v>74</v>
      </c>
      <c r="M162" t="s">
        <v>74</v>
      </c>
      <c r="N162" t="s">
        <v>74</v>
      </c>
      <c r="O162" t="s">
        <v>74</v>
      </c>
      <c r="P162" t="s">
        <v>74</v>
      </c>
      <c r="Q162" t="s">
        <v>74</v>
      </c>
      <c r="R162" t="s">
        <v>74</v>
      </c>
      <c r="S162" t="s">
        <v>74</v>
      </c>
      <c r="T162" t="s">
        <v>74</v>
      </c>
      <c r="U162" t="s">
        <v>74</v>
      </c>
      <c r="V162" t="s">
        <v>74</v>
      </c>
      <c r="W162" t="s">
        <v>74</v>
      </c>
      <c r="X162" t="s">
        <v>74</v>
      </c>
      <c r="Y162" t="s">
        <v>74</v>
      </c>
      <c r="Z162" t="s">
        <v>74</v>
      </c>
      <c r="AA162" t="s">
        <v>6848</v>
      </c>
      <c r="AB162" t="s">
        <v>6849</v>
      </c>
      <c r="AC162" t="s">
        <v>74</v>
      </c>
      <c r="AD162" t="s">
        <v>74</v>
      </c>
      <c r="AE162" t="s">
        <v>74</v>
      </c>
      <c r="AF162" t="s">
        <v>74</v>
      </c>
      <c r="AG162" t="s">
        <v>74</v>
      </c>
      <c r="AH162" t="s">
        <v>74</v>
      </c>
      <c r="AI162" t="s">
        <v>74</v>
      </c>
      <c r="AJ162" t="s">
        <v>74</v>
      </c>
      <c r="AK162" t="s">
        <v>74</v>
      </c>
      <c r="AL162" t="s">
        <v>74</v>
      </c>
      <c r="AM162" t="s">
        <v>74</v>
      </c>
      <c r="AN162" t="s">
        <v>74</v>
      </c>
      <c r="AO162" t="s">
        <v>1369</v>
      </c>
      <c r="AP162" t="s">
        <v>1370</v>
      </c>
      <c r="AQ162" t="s">
        <v>74</v>
      </c>
      <c r="AR162" t="s">
        <v>74</v>
      </c>
      <c r="AS162" t="s">
        <v>74</v>
      </c>
      <c r="AT162" t="s">
        <v>1371</v>
      </c>
      <c r="AU162">
        <v>2022</v>
      </c>
      <c r="AV162">
        <v>18</v>
      </c>
      <c r="AW162">
        <v>2</v>
      </c>
      <c r="AX162" t="s">
        <v>74</v>
      </c>
      <c r="AY162" t="s">
        <v>74</v>
      </c>
      <c r="AZ162" t="s">
        <v>74</v>
      </c>
      <c r="BA162" t="s">
        <v>74</v>
      </c>
      <c r="BB162">
        <v>363</v>
      </c>
      <c r="BC162">
        <v>380</v>
      </c>
      <c r="BD162" t="s">
        <v>74</v>
      </c>
      <c r="BE162" t="s">
        <v>1372</v>
      </c>
      <c r="BF162" t="str">
        <f>HYPERLINK("http://dx.doi.org/10.5194/cp-18-363-2022","http://dx.doi.org/10.5194/cp-18-363-2022")</f>
        <v>http://dx.doi.org/10.5194/cp-18-363-2022</v>
      </c>
      <c r="BG162" t="s">
        <v>74</v>
      </c>
      <c r="BH162" t="s">
        <v>74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 t="s">
        <v>74</v>
      </c>
      <c r="BO162" t="s">
        <v>74</v>
      </c>
      <c r="BP162" t="s">
        <v>74</v>
      </c>
      <c r="BQ162" t="s">
        <v>74</v>
      </c>
      <c r="BR162" t="s">
        <v>74</v>
      </c>
      <c r="BS162" t="s">
        <v>1373</v>
      </c>
      <c r="BT162" t="str">
        <f>HYPERLINK("https%3A%2F%2Fwww.webofscience.com%2Fwos%2Fwoscc%2Ffull-record%2FWOS:000765236300001","View Full Record in Web of Science")</f>
        <v>View Full Record in Web of Science</v>
      </c>
    </row>
    <row r="163" spans="1:72" x14ac:dyDescent="0.2">
      <c r="A163" t="s">
        <v>72</v>
      </c>
      <c r="B163" t="s">
        <v>1374</v>
      </c>
      <c r="C163" t="s">
        <v>74</v>
      </c>
      <c r="D163" t="s">
        <v>74</v>
      </c>
      <c r="E163" t="s">
        <v>74</v>
      </c>
      <c r="F163" t="s">
        <v>1375</v>
      </c>
      <c r="G163" t="s">
        <v>74</v>
      </c>
      <c r="H163" t="s">
        <v>74</v>
      </c>
      <c r="I163" t="s">
        <v>1376</v>
      </c>
      <c r="J163" t="s">
        <v>1377</v>
      </c>
      <c r="K163" t="s">
        <v>74</v>
      </c>
      <c r="L163" t="s">
        <v>74</v>
      </c>
      <c r="M163" t="s">
        <v>74</v>
      </c>
      <c r="N163" t="s">
        <v>74</v>
      </c>
      <c r="O163" t="s">
        <v>74</v>
      </c>
      <c r="P163" t="s">
        <v>74</v>
      </c>
      <c r="Q163" t="s">
        <v>74</v>
      </c>
      <c r="R163" t="s">
        <v>74</v>
      </c>
      <c r="S163" t="s">
        <v>74</v>
      </c>
      <c r="T163" t="s">
        <v>74</v>
      </c>
      <c r="U163" t="s">
        <v>74</v>
      </c>
      <c r="V163" t="s">
        <v>74</v>
      </c>
      <c r="W163" t="s">
        <v>74</v>
      </c>
      <c r="X163" t="s">
        <v>74</v>
      </c>
      <c r="Y163" t="s">
        <v>74</v>
      </c>
      <c r="Z163" t="s">
        <v>74</v>
      </c>
      <c r="AA163" t="s">
        <v>1378</v>
      </c>
      <c r="AB163" t="s">
        <v>1379</v>
      </c>
      <c r="AC163" t="s">
        <v>74</v>
      </c>
      <c r="AD163" t="s">
        <v>74</v>
      </c>
      <c r="AE163" t="s">
        <v>74</v>
      </c>
      <c r="AF163" t="s">
        <v>74</v>
      </c>
      <c r="AG163" t="s">
        <v>74</v>
      </c>
      <c r="AH163" t="s">
        <v>74</v>
      </c>
      <c r="AI163" t="s">
        <v>74</v>
      </c>
      <c r="AJ163" t="s">
        <v>74</v>
      </c>
      <c r="AK163" t="s">
        <v>74</v>
      </c>
      <c r="AL163" t="s">
        <v>74</v>
      </c>
      <c r="AM163" t="s">
        <v>74</v>
      </c>
      <c r="AN163" t="s">
        <v>74</v>
      </c>
      <c r="AO163" t="s">
        <v>1380</v>
      </c>
      <c r="AP163" t="s">
        <v>1381</v>
      </c>
      <c r="AQ163" t="s">
        <v>74</v>
      </c>
      <c r="AR163" t="s">
        <v>74</v>
      </c>
      <c r="AS163" t="s">
        <v>74</v>
      </c>
      <c r="AT163" t="s">
        <v>569</v>
      </c>
      <c r="AU163">
        <v>2022</v>
      </c>
      <c r="AV163">
        <v>110</v>
      </c>
      <c r="AW163">
        <v>6</v>
      </c>
      <c r="AX163" t="s">
        <v>74</v>
      </c>
      <c r="AY163" t="s">
        <v>74</v>
      </c>
      <c r="AZ163" t="s">
        <v>74</v>
      </c>
      <c r="BA163" t="s">
        <v>74</v>
      </c>
      <c r="BB163">
        <v>1442</v>
      </c>
      <c r="BC163">
        <v>1454</v>
      </c>
      <c r="BD163" t="s">
        <v>74</v>
      </c>
      <c r="BE163" t="s">
        <v>1382</v>
      </c>
      <c r="BF163" t="str">
        <f>HYPERLINK("http://dx.doi.org/10.1111/1365-2745.13859","http://dx.doi.org/10.1111/1365-2745.13859")</f>
        <v>http://dx.doi.org/10.1111/1365-2745.13859</v>
      </c>
      <c r="BG163" t="s">
        <v>74</v>
      </c>
      <c r="BH163" t="s">
        <v>1383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 t="s">
        <v>74</v>
      </c>
      <c r="BO163" t="s">
        <v>74</v>
      </c>
      <c r="BP163" t="s">
        <v>74</v>
      </c>
      <c r="BQ163" t="s">
        <v>74</v>
      </c>
      <c r="BR163" t="s">
        <v>74</v>
      </c>
      <c r="BS163" t="s">
        <v>1384</v>
      </c>
      <c r="BT163" t="str">
        <f>HYPERLINK("https%3A%2F%2Fwww.webofscience.com%2Fwos%2Fwoscc%2Ffull-record%2FWOS:000760745300001","View Full Record in Web of Science")</f>
        <v>View Full Record in Web of Science</v>
      </c>
    </row>
    <row r="164" spans="1:72" x14ac:dyDescent="0.2">
      <c r="A164" t="s">
        <v>72</v>
      </c>
      <c r="B164" t="s">
        <v>1385</v>
      </c>
      <c r="C164" t="s">
        <v>74</v>
      </c>
      <c r="D164" t="s">
        <v>74</v>
      </c>
      <c r="E164" t="s">
        <v>74</v>
      </c>
      <c r="F164" t="s">
        <v>1386</v>
      </c>
      <c r="G164" t="s">
        <v>74</v>
      </c>
      <c r="H164" t="s">
        <v>74</v>
      </c>
      <c r="I164" t="s">
        <v>1387</v>
      </c>
      <c r="J164" t="s">
        <v>1034</v>
      </c>
      <c r="K164" t="s">
        <v>74</v>
      </c>
      <c r="L164" t="s">
        <v>74</v>
      </c>
      <c r="M164" t="s">
        <v>74</v>
      </c>
      <c r="N164" t="s">
        <v>74</v>
      </c>
      <c r="O164" t="s">
        <v>74</v>
      </c>
      <c r="P164" t="s">
        <v>74</v>
      </c>
      <c r="Q164" t="s">
        <v>74</v>
      </c>
      <c r="R164" t="s">
        <v>74</v>
      </c>
      <c r="S164" t="s">
        <v>74</v>
      </c>
      <c r="T164" t="s">
        <v>74</v>
      </c>
      <c r="U164" t="s">
        <v>74</v>
      </c>
      <c r="V164" t="s">
        <v>74</v>
      </c>
      <c r="W164" t="s">
        <v>74</v>
      </c>
      <c r="X164" t="s">
        <v>74</v>
      </c>
      <c r="Y164" t="s">
        <v>74</v>
      </c>
      <c r="Z164" t="s">
        <v>74</v>
      </c>
      <c r="AA164" t="s">
        <v>1388</v>
      </c>
      <c r="AB164" t="s">
        <v>74</v>
      </c>
      <c r="AC164" t="s">
        <v>74</v>
      </c>
      <c r="AD164" t="s">
        <v>74</v>
      </c>
      <c r="AE164" t="s">
        <v>74</v>
      </c>
      <c r="AF164" t="s">
        <v>74</v>
      </c>
      <c r="AG164" t="s">
        <v>74</v>
      </c>
      <c r="AH164" t="s">
        <v>74</v>
      </c>
      <c r="AI164" t="s">
        <v>74</v>
      </c>
      <c r="AJ164" t="s">
        <v>74</v>
      </c>
      <c r="AK164" t="s">
        <v>74</v>
      </c>
      <c r="AL164" t="s">
        <v>74</v>
      </c>
      <c r="AM164" t="s">
        <v>74</v>
      </c>
      <c r="AN164" t="s">
        <v>74</v>
      </c>
      <c r="AO164" t="s">
        <v>1035</v>
      </c>
      <c r="AP164" t="s">
        <v>1036</v>
      </c>
      <c r="AQ164" t="s">
        <v>74</v>
      </c>
      <c r="AR164" t="s">
        <v>74</v>
      </c>
      <c r="AS164" t="s">
        <v>74</v>
      </c>
      <c r="AT164" t="s">
        <v>1389</v>
      </c>
      <c r="AU164">
        <v>2022</v>
      </c>
      <c r="AV164">
        <v>430</v>
      </c>
      <c r="AW164" t="s">
        <v>74</v>
      </c>
      <c r="AX164" t="s">
        <v>74</v>
      </c>
      <c r="AY164" t="s">
        <v>74</v>
      </c>
      <c r="AZ164" t="s">
        <v>74</v>
      </c>
      <c r="BA164" t="s">
        <v>74</v>
      </c>
      <c r="BB164" t="s">
        <v>74</v>
      </c>
      <c r="BC164" t="s">
        <v>74</v>
      </c>
      <c r="BD164">
        <v>128415</v>
      </c>
      <c r="BE164" t="s">
        <v>1390</v>
      </c>
      <c r="BF164" t="str">
        <f>HYPERLINK("http://dx.doi.org/10.1016/j.jhazmat.2022.128415","http://dx.doi.org/10.1016/j.jhazmat.2022.128415")</f>
        <v>http://dx.doi.org/10.1016/j.jhazmat.2022.128415</v>
      </c>
      <c r="BG164" t="s">
        <v>74</v>
      </c>
      <c r="BH164" t="s">
        <v>1383</v>
      </c>
      <c r="BI164" t="s">
        <v>74</v>
      </c>
      <c r="BJ164" t="s">
        <v>74</v>
      </c>
      <c r="BK164" t="s">
        <v>74</v>
      </c>
      <c r="BL164" t="s">
        <v>74</v>
      </c>
      <c r="BM164" t="s">
        <v>74</v>
      </c>
      <c r="BN164">
        <v>35149495</v>
      </c>
      <c r="BO164" t="s">
        <v>74</v>
      </c>
      <c r="BP164" t="s">
        <v>74</v>
      </c>
      <c r="BQ164" t="s">
        <v>74</v>
      </c>
      <c r="BR164" t="s">
        <v>74</v>
      </c>
      <c r="BS164" t="s">
        <v>1391</v>
      </c>
      <c r="BT164" t="str">
        <f>HYPERLINK("https%3A%2F%2Fwww.webofscience.com%2Fwos%2Fwoscc%2Ffull-record%2FWOS:000762659800004","View Full Record in Web of Science")</f>
        <v>View Full Record in Web of Science</v>
      </c>
    </row>
    <row r="165" spans="1:72" x14ac:dyDescent="0.2">
      <c r="A165" t="s">
        <v>72</v>
      </c>
      <c r="B165" t="s">
        <v>1392</v>
      </c>
      <c r="C165" t="s">
        <v>74</v>
      </c>
      <c r="D165" t="s">
        <v>74</v>
      </c>
      <c r="E165" t="s">
        <v>74</v>
      </c>
      <c r="F165" t="s">
        <v>1393</v>
      </c>
      <c r="G165" t="s">
        <v>74</v>
      </c>
      <c r="H165" t="s">
        <v>74</v>
      </c>
      <c r="I165" t="s">
        <v>1394</v>
      </c>
      <c r="J165" t="s">
        <v>106</v>
      </c>
      <c r="K165" t="s">
        <v>74</v>
      </c>
      <c r="L165" t="s">
        <v>74</v>
      </c>
      <c r="M165" t="s">
        <v>74</v>
      </c>
      <c r="N165" t="s">
        <v>74</v>
      </c>
      <c r="O165" t="s">
        <v>74</v>
      </c>
      <c r="P165" t="s">
        <v>74</v>
      </c>
      <c r="Q165" t="s">
        <v>74</v>
      </c>
      <c r="R165" t="s">
        <v>74</v>
      </c>
      <c r="S165" t="s">
        <v>74</v>
      </c>
      <c r="T165" t="s">
        <v>74</v>
      </c>
      <c r="U165" t="s">
        <v>74</v>
      </c>
      <c r="V165" t="s">
        <v>74</v>
      </c>
      <c r="W165" t="s">
        <v>74</v>
      </c>
      <c r="X165" t="s">
        <v>74</v>
      </c>
      <c r="Y165" t="s">
        <v>74</v>
      </c>
      <c r="Z165" t="s">
        <v>74</v>
      </c>
      <c r="AA165" t="s">
        <v>1395</v>
      </c>
      <c r="AB165" t="s">
        <v>1396</v>
      </c>
      <c r="AC165" t="s">
        <v>74</v>
      </c>
      <c r="AD165" t="s">
        <v>74</v>
      </c>
      <c r="AE165" t="s">
        <v>74</v>
      </c>
      <c r="AF165" t="s">
        <v>74</v>
      </c>
      <c r="AG165" t="s">
        <v>74</v>
      </c>
      <c r="AH165" t="s">
        <v>74</v>
      </c>
      <c r="AI165" t="s">
        <v>74</v>
      </c>
      <c r="AJ165" t="s">
        <v>74</v>
      </c>
      <c r="AK165" t="s">
        <v>74</v>
      </c>
      <c r="AL165" t="s">
        <v>74</v>
      </c>
      <c r="AM165" t="s">
        <v>74</v>
      </c>
      <c r="AN165" t="s">
        <v>74</v>
      </c>
      <c r="AO165" t="s">
        <v>107</v>
      </c>
      <c r="AP165" t="s">
        <v>108</v>
      </c>
      <c r="AQ165" t="s">
        <v>74</v>
      </c>
      <c r="AR165" t="s">
        <v>74</v>
      </c>
      <c r="AS165" t="s">
        <v>74</v>
      </c>
      <c r="AT165" t="s">
        <v>1397</v>
      </c>
      <c r="AU165">
        <v>2022</v>
      </c>
      <c r="AV165">
        <v>44</v>
      </c>
      <c r="AW165">
        <v>2</v>
      </c>
      <c r="AX165" t="s">
        <v>74</v>
      </c>
      <c r="AY165" t="s">
        <v>74</v>
      </c>
      <c r="AZ165" t="s">
        <v>74</v>
      </c>
      <c r="BA165" t="s">
        <v>74</v>
      </c>
      <c r="BB165">
        <v>259</v>
      </c>
      <c r="BC165">
        <v>267</v>
      </c>
      <c r="BD165" t="s">
        <v>74</v>
      </c>
      <c r="BE165" t="s">
        <v>1398</v>
      </c>
      <c r="BF165" t="str">
        <f>HYPERLINK("http://dx.doi.org/10.1093/plankt/fbac003","http://dx.doi.org/10.1093/plankt/fbac003")</f>
        <v>http://dx.doi.org/10.1093/plankt/fbac003</v>
      </c>
      <c r="BG165" t="s">
        <v>74</v>
      </c>
      <c r="BH165" t="s">
        <v>1383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 t="s">
        <v>74</v>
      </c>
      <c r="BR165" t="s">
        <v>74</v>
      </c>
      <c r="BS165" t="s">
        <v>1399</v>
      </c>
      <c r="BT165" t="str">
        <f>HYPERLINK("https%3A%2F%2Fwww.webofscience.com%2Fwos%2Fwoscc%2Ffull-record%2FWOS:000792132500001","View Full Record in Web of Science")</f>
        <v>View Full Record in Web of Science</v>
      </c>
    </row>
    <row r="166" spans="1:72" x14ac:dyDescent="0.2">
      <c r="A166" t="s">
        <v>72</v>
      </c>
      <c r="B166" t="s">
        <v>1400</v>
      </c>
      <c r="C166" t="s">
        <v>74</v>
      </c>
      <c r="D166" t="s">
        <v>74</v>
      </c>
      <c r="E166" t="s">
        <v>74</v>
      </c>
      <c r="F166" t="s">
        <v>1401</v>
      </c>
      <c r="G166" t="s">
        <v>74</v>
      </c>
      <c r="H166" t="s">
        <v>74</v>
      </c>
      <c r="I166" t="s">
        <v>1402</v>
      </c>
      <c r="J166" t="s">
        <v>350</v>
      </c>
      <c r="K166" t="s">
        <v>74</v>
      </c>
      <c r="L166" t="s">
        <v>74</v>
      </c>
      <c r="M166" t="s">
        <v>74</v>
      </c>
      <c r="N166" t="s">
        <v>74</v>
      </c>
      <c r="O166" t="s">
        <v>74</v>
      </c>
      <c r="P166" t="s">
        <v>74</v>
      </c>
      <c r="Q166" t="s">
        <v>74</v>
      </c>
      <c r="R166" t="s">
        <v>74</v>
      </c>
      <c r="S166" t="s">
        <v>74</v>
      </c>
      <c r="T166" t="s">
        <v>74</v>
      </c>
      <c r="U166" t="s">
        <v>74</v>
      </c>
      <c r="V166" t="s">
        <v>74</v>
      </c>
      <c r="W166" t="s">
        <v>74</v>
      </c>
      <c r="X166" t="s">
        <v>74</v>
      </c>
      <c r="Y166" t="s">
        <v>74</v>
      </c>
      <c r="Z166" t="s">
        <v>74</v>
      </c>
      <c r="AA166" t="s">
        <v>6850</v>
      </c>
      <c r="AB166" t="s">
        <v>6851</v>
      </c>
      <c r="AC166" t="s">
        <v>74</v>
      </c>
      <c r="AD166" t="s">
        <v>74</v>
      </c>
      <c r="AE166" t="s">
        <v>74</v>
      </c>
      <c r="AF166" t="s">
        <v>74</v>
      </c>
      <c r="AG166" t="s">
        <v>74</v>
      </c>
      <c r="AH166" t="s">
        <v>74</v>
      </c>
      <c r="AI166" t="s">
        <v>74</v>
      </c>
      <c r="AJ166" t="s">
        <v>74</v>
      </c>
      <c r="AK166" t="s">
        <v>74</v>
      </c>
      <c r="AL166" t="s">
        <v>74</v>
      </c>
      <c r="AM166" t="s">
        <v>74</v>
      </c>
      <c r="AN166" t="s">
        <v>74</v>
      </c>
      <c r="AO166" t="s">
        <v>352</v>
      </c>
      <c r="AP166" t="s">
        <v>353</v>
      </c>
      <c r="AQ166" t="s">
        <v>74</v>
      </c>
      <c r="AR166" t="s">
        <v>74</v>
      </c>
      <c r="AS166" t="s">
        <v>74</v>
      </c>
      <c r="AT166" t="s">
        <v>569</v>
      </c>
      <c r="AU166">
        <v>2022</v>
      </c>
      <c r="AV166">
        <v>29</v>
      </c>
      <c r="AW166">
        <v>26</v>
      </c>
      <c r="AX166" t="s">
        <v>74</v>
      </c>
      <c r="AY166" t="s">
        <v>74</v>
      </c>
      <c r="AZ166" t="s">
        <v>74</v>
      </c>
      <c r="BA166" t="s">
        <v>74</v>
      </c>
      <c r="BB166">
        <v>39777</v>
      </c>
      <c r="BC166">
        <v>39789</v>
      </c>
      <c r="BD166" t="s">
        <v>74</v>
      </c>
      <c r="BE166" t="s">
        <v>1403</v>
      </c>
      <c r="BF166" t="str">
        <f>HYPERLINK("http://dx.doi.org/10.1007/s11356-022-18993-7","http://dx.doi.org/10.1007/s11356-022-18993-7")</f>
        <v>http://dx.doi.org/10.1007/s11356-022-18993-7</v>
      </c>
      <c r="BG166" t="s">
        <v>74</v>
      </c>
      <c r="BH166" t="s">
        <v>1383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>
        <v>35113371</v>
      </c>
      <c r="BO166" t="s">
        <v>74</v>
      </c>
      <c r="BP166" t="s">
        <v>74</v>
      </c>
      <c r="BQ166" t="s">
        <v>74</v>
      </c>
      <c r="BR166" t="s">
        <v>74</v>
      </c>
      <c r="BS166" t="s">
        <v>1404</v>
      </c>
      <c r="BT166" t="str">
        <f>HYPERLINK("https%3A%2F%2Fwww.webofscience.com%2Fwos%2Fwoscc%2Ffull-record%2FWOS:000750720700014","View Full Record in Web of Science")</f>
        <v>View Full Record in Web of Science</v>
      </c>
    </row>
    <row r="167" spans="1:72" x14ac:dyDescent="0.2">
      <c r="A167" t="s">
        <v>72</v>
      </c>
      <c r="B167" t="s">
        <v>1405</v>
      </c>
      <c r="C167" t="s">
        <v>74</v>
      </c>
      <c r="D167" t="s">
        <v>74</v>
      </c>
      <c r="E167" t="s">
        <v>74</v>
      </c>
      <c r="F167" t="s">
        <v>1406</v>
      </c>
      <c r="G167" t="s">
        <v>74</v>
      </c>
      <c r="H167" t="s">
        <v>74</v>
      </c>
      <c r="I167" t="s">
        <v>1407</v>
      </c>
      <c r="J167" t="s">
        <v>227</v>
      </c>
      <c r="K167" t="s">
        <v>74</v>
      </c>
      <c r="L167" t="s">
        <v>74</v>
      </c>
      <c r="M167" t="s">
        <v>74</v>
      </c>
      <c r="N167" t="s">
        <v>74</v>
      </c>
      <c r="O167" t="s">
        <v>74</v>
      </c>
      <c r="P167" t="s">
        <v>74</v>
      </c>
      <c r="Q167" t="s">
        <v>74</v>
      </c>
      <c r="R167" t="s">
        <v>74</v>
      </c>
      <c r="S167" t="s">
        <v>74</v>
      </c>
      <c r="T167" t="s">
        <v>74</v>
      </c>
      <c r="U167" t="s">
        <v>74</v>
      </c>
      <c r="V167" t="s">
        <v>74</v>
      </c>
      <c r="W167" t="s">
        <v>74</v>
      </c>
      <c r="X167" t="s">
        <v>74</v>
      </c>
      <c r="Y167" t="s">
        <v>74</v>
      </c>
      <c r="Z167" t="s">
        <v>74</v>
      </c>
      <c r="AA167" t="s">
        <v>1408</v>
      </c>
      <c r="AB167" t="s">
        <v>1409</v>
      </c>
      <c r="AC167" t="s">
        <v>74</v>
      </c>
      <c r="AD167" t="s">
        <v>74</v>
      </c>
      <c r="AE167" t="s">
        <v>74</v>
      </c>
      <c r="AF167" t="s">
        <v>74</v>
      </c>
      <c r="AG167" t="s">
        <v>74</v>
      </c>
      <c r="AH167" t="s">
        <v>74</v>
      </c>
      <c r="AI167" t="s">
        <v>74</v>
      </c>
      <c r="AJ167" t="s">
        <v>74</v>
      </c>
      <c r="AK167" t="s">
        <v>74</v>
      </c>
      <c r="AL167" t="s">
        <v>74</v>
      </c>
      <c r="AM167" t="s">
        <v>74</v>
      </c>
      <c r="AN167" t="s">
        <v>74</v>
      </c>
      <c r="AO167" t="s">
        <v>230</v>
      </c>
      <c r="AP167" t="s">
        <v>231</v>
      </c>
      <c r="AQ167" t="s">
        <v>74</v>
      </c>
      <c r="AR167" t="s">
        <v>74</v>
      </c>
      <c r="AS167" t="s">
        <v>74</v>
      </c>
      <c r="AT167" t="s">
        <v>157</v>
      </c>
      <c r="AU167">
        <v>2022</v>
      </c>
      <c r="AV167">
        <v>67</v>
      </c>
      <c r="AW167">
        <v>3</v>
      </c>
      <c r="AX167" t="s">
        <v>74</v>
      </c>
      <c r="AY167" t="s">
        <v>74</v>
      </c>
      <c r="AZ167" t="s">
        <v>74</v>
      </c>
      <c r="BA167" t="s">
        <v>74</v>
      </c>
      <c r="BB167">
        <v>608</v>
      </c>
      <c r="BC167">
        <v>620</v>
      </c>
      <c r="BD167" t="s">
        <v>74</v>
      </c>
      <c r="BE167" t="s">
        <v>1410</v>
      </c>
      <c r="BF167" t="str">
        <f>HYPERLINK("http://dx.doi.org/10.1002/lno.12021","http://dx.doi.org/10.1002/lno.12021")</f>
        <v>http://dx.doi.org/10.1002/lno.12021</v>
      </c>
      <c r="BG167" t="s">
        <v>74</v>
      </c>
      <c r="BH167" t="s">
        <v>1383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 t="s">
        <v>74</v>
      </c>
      <c r="BO167" t="s">
        <v>74</v>
      </c>
      <c r="BP167" t="s">
        <v>74</v>
      </c>
      <c r="BQ167" t="s">
        <v>74</v>
      </c>
      <c r="BR167" t="s">
        <v>74</v>
      </c>
      <c r="BS167" t="s">
        <v>1411</v>
      </c>
      <c r="BT167" t="str">
        <f>HYPERLINK("https%3A%2F%2Fwww.webofscience.com%2Fwos%2Fwoscc%2Ffull-record%2FWOS:000750023600001","View Full Record in Web of Science")</f>
        <v>View Full Record in Web of Science</v>
      </c>
    </row>
    <row r="168" spans="1:72" x14ac:dyDescent="0.2">
      <c r="A168" t="s">
        <v>72</v>
      </c>
      <c r="B168" t="s">
        <v>1412</v>
      </c>
      <c r="C168" t="s">
        <v>74</v>
      </c>
      <c r="D168" t="s">
        <v>74</v>
      </c>
      <c r="E168" t="s">
        <v>74</v>
      </c>
      <c r="F168" t="s">
        <v>1413</v>
      </c>
      <c r="G168" t="s">
        <v>74</v>
      </c>
      <c r="H168" t="s">
        <v>74</v>
      </c>
      <c r="I168" t="s">
        <v>1414</v>
      </c>
      <c r="J168" t="s">
        <v>1415</v>
      </c>
      <c r="K168" t="s">
        <v>74</v>
      </c>
      <c r="L168" t="s">
        <v>74</v>
      </c>
      <c r="M168" t="s">
        <v>74</v>
      </c>
      <c r="N168" t="s">
        <v>74</v>
      </c>
      <c r="O168" t="s">
        <v>74</v>
      </c>
      <c r="P168" t="s">
        <v>74</v>
      </c>
      <c r="Q168" t="s">
        <v>74</v>
      </c>
      <c r="R168" t="s">
        <v>74</v>
      </c>
      <c r="S168" t="s">
        <v>74</v>
      </c>
      <c r="T168" t="s">
        <v>74</v>
      </c>
      <c r="U168" t="s">
        <v>74</v>
      </c>
      <c r="V168" t="s">
        <v>74</v>
      </c>
      <c r="W168" t="s">
        <v>74</v>
      </c>
      <c r="X168" t="s">
        <v>74</v>
      </c>
      <c r="Y168" t="s">
        <v>74</v>
      </c>
      <c r="Z168" t="s">
        <v>74</v>
      </c>
      <c r="AA168" t="s">
        <v>74</v>
      </c>
      <c r="AB168" t="s">
        <v>74</v>
      </c>
      <c r="AC168" t="s">
        <v>74</v>
      </c>
      <c r="AD168" t="s">
        <v>74</v>
      </c>
      <c r="AE168" t="s">
        <v>74</v>
      </c>
      <c r="AF168" t="s">
        <v>74</v>
      </c>
      <c r="AG168" t="s">
        <v>74</v>
      </c>
      <c r="AH168" t="s">
        <v>74</v>
      </c>
      <c r="AI168" t="s">
        <v>74</v>
      </c>
      <c r="AJ168" t="s">
        <v>74</v>
      </c>
      <c r="AK168" t="s">
        <v>74</v>
      </c>
      <c r="AL168" t="s">
        <v>74</v>
      </c>
      <c r="AM168" t="s">
        <v>74</v>
      </c>
      <c r="AN168" t="s">
        <v>74</v>
      </c>
      <c r="AO168" t="s">
        <v>1416</v>
      </c>
      <c r="AP168" t="s">
        <v>1417</v>
      </c>
      <c r="AQ168" t="s">
        <v>74</v>
      </c>
      <c r="AR168" t="s">
        <v>74</v>
      </c>
      <c r="AS168" t="s">
        <v>74</v>
      </c>
      <c r="AT168" t="s">
        <v>157</v>
      </c>
      <c r="AU168">
        <v>2022</v>
      </c>
      <c r="AV168">
        <v>88</v>
      </c>
      <c r="AW168">
        <v>2</v>
      </c>
      <c r="AX168" t="s">
        <v>74</v>
      </c>
      <c r="AY168" t="s">
        <v>74</v>
      </c>
      <c r="AZ168" t="s">
        <v>74</v>
      </c>
      <c r="BA168" t="s">
        <v>74</v>
      </c>
      <c r="BB168">
        <v>329</v>
      </c>
      <c r="BC168">
        <v>336</v>
      </c>
      <c r="BD168" t="s">
        <v>74</v>
      </c>
      <c r="BE168" t="s">
        <v>1418</v>
      </c>
      <c r="BF168" t="str">
        <f>HYPERLINK("http://dx.doi.org/10.1007/s12562-022-01585-2","http://dx.doi.org/10.1007/s12562-022-01585-2")</f>
        <v>http://dx.doi.org/10.1007/s12562-022-01585-2</v>
      </c>
      <c r="BG168" t="s">
        <v>74</v>
      </c>
      <c r="BH168" t="s">
        <v>1383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 t="s">
        <v>74</v>
      </c>
      <c r="BO168" t="s">
        <v>74</v>
      </c>
      <c r="BP168" t="s">
        <v>74</v>
      </c>
      <c r="BQ168" t="s">
        <v>74</v>
      </c>
      <c r="BR168" t="s">
        <v>74</v>
      </c>
      <c r="BS168" t="s">
        <v>1419</v>
      </c>
      <c r="BT168" t="str">
        <f>HYPERLINK("https%3A%2F%2Fwww.webofscience.com%2Fwos%2Fwoscc%2Ffull-record%2FWOS:000749952400001","View Full Record in Web of Science")</f>
        <v>View Full Record in Web of Science</v>
      </c>
    </row>
    <row r="169" spans="1:72" x14ac:dyDescent="0.2">
      <c r="A169" t="s">
        <v>72</v>
      </c>
      <c r="B169" t="s">
        <v>1420</v>
      </c>
      <c r="C169" t="s">
        <v>74</v>
      </c>
      <c r="D169" t="s">
        <v>74</v>
      </c>
      <c r="E169" t="s">
        <v>74</v>
      </c>
      <c r="F169" t="s">
        <v>1421</v>
      </c>
      <c r="G169" t="s">
        <v>74</v>
      </c>
      <c r="H169" t="s">
        <v>74</v>
      </c>
      <c r="I169" t="s">
        <v>1422</v>
      </c>
      <c r="J169" t="s">
        <v>1423</v>
      </c>
      <c r="K169" t="s">
        <v>74</v>
      </c>
      <c r="L169" t="s">
        <v>74</v>
      </c>
      <c r="M169" t="s">
        <v>74</v>
      </c>
      <c r="N169" t="s">
        <v>74</v>
      </c>
      <c r="O169" t="s">
        <v>74</v>
      </c>
      <c r="P169" t="s">
        <v>74</v>
      </c>
      <c r="Q169" t="s">
        <v>74</v>
      </c>
      <c r="R169" t="s">
        <v>74</v>
      </c>
      <c r="S169" t="s">
        <v>74</v>
      </c>
      <c r="T169" t="s">
        <v>74</v>
      </c>
      <c r="U169" t="s">
        <v>74</v>
      </c>
      <c r="V169" t="s">
        <v>74</v>
      </c>
      <c r="W169" t="s">
        <v>74</v>
      </c>
      <c r="X169" t="s">
        <v>74</v>
      </c>
      <c r="Y169" t="s">
        <v>74</v>
      </c>
      <c r="Z169" t="s">
        <v>74</v>
      </c>
      <c r="AA169" t="s">
        <v>74</v>
      </c>
      <c r="AB169" t="s">
        <v>74</v>
      </c>
      <c r="AC169" t="s">
        <v>74</v>
      </c>
      <c r="AD169" t="s">
        <v>74</v>
      </c>
      <c r="AE169" t="s">
        <v>74</v>
      </c>
      <c r="AF169" t="s">
        <v>74</v>
      </c>
      <c r="AG169" t="s">
        <v>74</v>
      </c>
      <c r="AH169" t="s">
        <v>74</v>
      </c>
      <c r="AI169" t="s">
        <v>74</v>
      </c>
      <c r="AJ169" t="s">
        <v>74</v>
      </c>
      <c r="AK169" t="s">
        <v>74</v>
      </c>
      <c r="AL169" t="s">
        <v>74</v>
      </c>
      <c r="AM169" t="s">
        <v>74</v>
      </c>
      <c r="AN169" t="s">
        <v>74</v>
      </c>
      <c r="AO169" t="s">
        <v>74</v>
      </c>
      <c r="AP169" t="s">
        <v>1424</v>
      </c>
      <c r="AQ169" t="s">
        <v>74</v>
      </c>
      <c r="AR169" t="s">
        <v>74</v>
      </c>
      <c r="AS169" t="s">
        <v>74</v>
      </c>
      <c r="AT169" t="s">
        <v>416</v>
      </c>
      <c r="AU169">
        <v>2022</v>
      </c>
      <c r="AV169">
        <v>1</v>
      </c>
      <c r="AW169">
        <v>1</v>
      </c>
      <c r="AX169" t="s">
        <v>74</v>
      </c>
      <c r="AY169" t="s">
        <v>74</v>
      </c>
      <c r="AZ169" t="s">
        <v>74</v>
      </c>
      <c r="BA169" t="s">
        <v>74</v>
      </c>
      <c r="BB169" t="s">
        <v>74</v>
      </c>
      <c r="BC169" t="s">
        <v>74</v>
      </c>
      <c r="BD169">
        <v>100010</v>
      </c>
      <c r="BE169" t="s">
        <v>1425</v>
      </c>
      <c r="BF169" t="str">
        <f>HYPERLINK("http://dx.doi.org/10.1016/j.watbs.2022.100010","http://dx.doi.org/10.1016/j.watbs.2022.100010")</f>
        <v>http://dx.doi.org/10.1016/j.watbs.2022.100010</v>
      </c>
      <c r="BG169" t="s">
        <v>74</v>
      </c>
      <c r="BH169" t="s">
        <v>74</v>
      </c>
      <c r="BI169" t="s">
        <v>74</v>
      </c>
      <c r="BJ169" t="s">
        <v>74</v>
      </c>
      <c r="BK169" t="s">
        <v>74</v>
      </c>
      <c r="BL169" t="s">
        <v>74</v>
      </c>
      <c r="BM169" t="s">
        <v>74</v>
      </c>
      <c r="BN169" t="s">
        <v>74</v>
      </c>
      <c r="BO169" t="s">
        <v>74</v>
      </c>
      <c r="BP169" t="s">
        <v>74</v>
      </c>
      <c r="BQ169" t="s">
        <v>74</v>
      </c>
      <c r="BR169" t="s">
        <v>74</v>
      </c>
      <c r="BS169" t="s">
        <v>1426</v>
      </c>
      <c r="BT169" t="str">
        <f>HYPERLINK("https%3A%2F%2Fwww.webofscience.com%2Fwos%2Fwoscc%2Ffull-record%2FWOS:001129880800001","View Full Record in Web of Science")</f>
        <v>View Full Record in Web of Science</v>
      </c>
    </row>
    <row r="170" spans="1:72" x14ac:dyDescent="0.2">
      <c r="A170" t="s">
        <v>72</v>
      </c>
      <c r="B170" t="s">
        <v>1427</v>
      </c>
      <c r="C170" t="s">
        <v>74</v>
      </c>
      <c r="D170" t="s">
        <v>74</v>
      </c>
      <c r="E170" t="s">
        <v>74</v>
      </c>
      <c r="F170" t="s">
        <v>1428</v>
      </c>
      <c r="G170" t="s">
        <v>74</v>
      </c>
      <c r="H170" t="s">
        <v>74</v>
      </c>
      <c r="I170" t="s">
        <v>1429</v>
      </c>
      <c r="J170" t="s">
        <v>350</v>
      </c>
      <c r="K170" t="s">
        <v>74</v>
      </c>
      <c r="L170" t="s">
        <v>74</v>
      </c>
      <c r="M170" t="s">
        <v>74</v>
      </c>
      <c r="N170" t="s">
        <v>74</v>
      </c>
      <c r="O170" t="s">
        <v>74</v>
      </c>
      <c r="P170" t="s">
        <v>74</v>
      </c>
      <c r="Q170" t="s">
        <v>74</v>
      </c>
      <c r="R170" t="s">
        <v>74</v>
      </c>
      <c r="S170" t="s">
        <v>74</v>
      </c>
      <c r="T170" t="s">
        <v>74</v>
      </c>
      <c r="U170" t="s">
        <v>74</v>
      </c>
      <c r="V170" t="s">
        <v>74</v>
      </c>
      <c r="W170" t="s">
        <v>74</v>
      </c>
      <c r="X170" t="s">
        <v>74</v>
      </c>
      <c r="Y170" t="s">
        <v>74</v>
      </c>
      <c r="Z170" t="s">
        <v>74</v>
      </c>
      <c r="AA170" t="s">
        <v>1430</v>
      </c>
      <c r="AB170" t="s">
        <v>1431</v>
      </c>
      <c r="AC170" t="s">
        <v>74</v>
      </c>
      <c r="AD170" t="s">
        <v>74</v>
      </c>
      <c r="AE170" t="s">
        <v>74</v>
      </c>
      <c r="AF170" t="s">
        <v>74</v>
      </c>
      <c r="AG170" t="s">
        <v>74</v>
      </c>
      <c r="AH170" t="s">
        <v>74</v>
      </c>
      <c r="AI170" t="s">
        <v>74</v>
      </c>
      <c r="AJ170" t="s">
        <v>74</v>
      </c>
      <c r="AK170" t="s">
        <v>74</v>
      </c>
      <c r="AL170" t="s">
        <v>74</v>
      </c>
      <c r="AM170" t="s">
        <v>74</v>
      </c>
      <c r="AN170" t="s">
        <v>74</v>
      </c>
      <c r="AO170" t="s">
        <v>352</v>
      </c>
      <c r="AP170" t="s">
        <v>353</v>
      </c>
      <c r="AQ170" t="s">
        <v>74</v>
      </c>
      <c r="AR170" t="s">
        <v>74</v>
      </c>
      <c r="AS170" t="s">
        <v>74</v>
      </c>
      <c r="AT170" t="s">
        <v>575</v>
      </c>
      <c r="AU170">
        <v>2022</v>
      </c>
      <c r="AV170">
        <v>29</v>
      </c>
      <c r="AW170">
        <v>25</v>
      </c>
      <c r="AX170" t="s">
        <v>74</v>
      </c>
      <c r="AY170" t="s">
        <v>74</v>
      </c>
      <c r="AZ170" t="s">
        <v>74</v>
      </c>
      <c r="BA170" t="s">
        <v>74</v>
      </c>
      <c r="BB170">
        <v>37498</v>
      </c>
      <c r="BC170">
        <v>37512</v>
      </c>
      <c r="BD170" t="s">
        <v>74</v>
      </c>
      <c r="BE170" t="s">
        <v>1432</v>
      </c>
      <c r="BF170" t="str">
        <f>HYPERLINK("http://dx.doi.org/10.1007/s11356-021-18096-9","http://dx.doi.org/10.1007/s11356-021-18096-9")</f>
        <v>http://dx.doi.org/10.1007/s11356-021-18096-9</v>
      </c>
      <c r="BG170" t="s">
        <v>74</v>
      </c>
      <c r="BH170" t="s">
        <v>1433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>
        <v>35066840</v>
      </c>
      <c r="BO170" t="s">
        <v>74</v>
      </c>
      <c r="BP170" t="s">
        <v>74</v>
      </c>
      <c r="BQ170" t="s">
        <v>74</v>
      </c>
      <c r="BR170" t="s">
        <v>74</v>
      </c>
      <c r="BS170" t="s">
        <v>1434</v>
      </c>
      <c r="BT170" t="str">
        <f>HYPERLINK("https%3A%2F%2Fwww.webofscience.com%2Fwos%2Fwoscc%2Ffull-record%2FWOS:000745614100011","View Full Record in Web of Science")</f>
        <v>View Full Record in Web of Science</v>
      </c>
    </row>
    <row r="171" spans="1:72" x14ac:dyDescent="0.2">
      <c r="A171" t="s">
        <v>72</v>
      </c>
      <c r="B171" t="s">
        <v>1435</v>
      </c>
      <c r="C171" t="s">
        <v>74</v>
      </c>
      <c r="D171" t="s">
        <v>74</v>
      </c>
      <c r="E171" t="s">
        <v>74</v>
      </c>
      <c r="F171" t="s">
        <v>1436</v>
      </c>
      <c r="G171" t="s">
        <v>74</v>
      </c>
      <c r="H171" t="s">
        <v>74</v>
      </c>
      <c r="I171" t="s">
        <v>1437</v>
      </c>
      <c r="J171" t="s">
        <v>115</v>
      </c>
      <c r="K171" t="s">
        <v>74</v>
      </c>
      <c r="L171" t="s">
        <v>74</v>
      </c>
      <c r="M171" t="s">
        <v>74</v>
      </c>
      <c r="N171" t="s">
        <v>74</v>
      </c>
      <c r="O171" t="s">
        <v>74</v>
      </c>
      <c r="P171" t="s">
        <v>74</v>
      </c>
      <c r="Q171" t="s">
        <v>74</v>
      </c>
      <c r="R171" t="s">
        <v>74</v>
      </c>
      <c r="S171" t="s">
        <v>74</v>
      </c>
      <c r="T171" t="s">
        <v>74</v>
      </c>
      <c r="U171" t="s">
        <v>74</v>
      </c>
      <c r="V171" t="s">
        <v>74</v>
      </c>
      <c r="W171" t="s">
        <v>74</v>
      </c>
      <c r="X171" t="s">
        <v>74</v>
      </c>
      <c r="Y171" t="s">
        <v>74</v>
      </c>
      <c r="Z171" t="s">
        <v>74</v>
      </c>
      <c r="AA171" t="s">
        <v>6852</v>
      </c>
      <c r="AB171" t="s">
        <v>382</v>
      </c>
      <c r="AC171" t="s">
        <v>74</v>
      </c>
      <c r="AD171" t="s">
        <v>74</v>
      </c>
      <c r="AE171" t="s">
        <v>74</v>
      </c>
      <c r="AF171" t="s">
        <v>74</v>
      </c>
      <c r="AG171" t="s">
        <v>74</v>
      </c>
      <c r="AH171" t="s">
        <v>74</v>
      </c>
      <c r="AI171" t="s">
        <v>74</v>
      </c>
      <c r="AJ171" t="s">
        <v>74</v>
      </c>
      <c r="AK171" t="s">
        <v>74</v>
      </c>
      <c r="AL171" t="s">
        <v>74</v>
      </c>
      <c r="AM171" t="s">
        <v>74</v>
      </c>
      <c r="AN171" t="s">
        <v>74</v>
      </c>
      <c r="AO171" t="s">
        <v>116</v>
      </c>
      <c r="AP171" t="s">
        <v>117</v>
      </c>
      <c r="AQ171" t="s">
        <v>74</v>
      </c>
      <c r="AR171" t="s">
        <v>74</v>
      </c>
      <c r="AS171" t="s">
        <v>74</v>
      </c>
      <c r="AT171" t="s">
        <v>1438</v>
      </c>
      <c r="AU171">
        <v>2022</v>
      </c>
      <c r="AV171">
        <v>56</v>
      </c>
      <c r="AW171">
        <v>3</v>
      </c>
      <c r="AX171" t="s">
        <v>74</v>
      </c>
      <c r="AY171" t="s">
        <v>74</v>
      </c>
      <c r="AZ171" t="s">
        <v>74</v>
      </c>
      <c r="BA171" t="s">
        <v>74</v>
      </c>
      <c r="BB171">
        <v>1702</v>
      </c>
      <c r="BC171">
        <v>1712</v>
      </c>
      <c r="BD171" t="s">
        <v>74</v>
      </c>
      <c r="BE171" t="s">
        <v>1439</v>
      </c>
      <c r="BF171" t="str">
        <f>HYPERLINK("http://dx.doi.org/10.1021/acs.est.1c06286","http://dx.doi.org/10.1021/acs.est.1c06286")</f>
        <v>http://dx.doi.org/10.1021/acs.est.1c06286</v>
      </c>
      <c r="BG171" t="s">
        <v>74</v>
      </c>
      <c r="BH171" t="s">
        <v>1433</v>
      </c>
      <c r="BI171" t="s">
        <v>74</v>
      </c>
      <c r="BJ171" t="s">
        <v>74</v>
      </c>
      <c r="BK171" t="s">
        <v>74</v>
      </c>
      <c r="BL171" t="s">
        <v>74</v>
      </c>
      <c r="BM171" t="s">
        <v>74</v>
      </c>
      <c r="BN171">
        <v>35014268</v>
      </c>
      <c r="BO171" t="s">
        <v>74</v>
      </c>
      <c r="BP171" t="s">
        <v>74</v>
      </c>
      <c r="BQ171" t="s">
        <v>74</v>
      </c>
      <c r="BR171" t="s">
        <v>74</v>
      </c>
      <c r="BS171" t="s">
        <v>1440</v>
      </c>
      <c r="BT171" t="str">
        <f>HYPERLINK("https%3A%2F%2Fwww.webofscience.com%2Fwos%2Fwoscc%2Ffull-record%2FWOS:000743203600001","View Full Record in Web of Science")</f>
        <v>View Full Record in Web of Science</v>
      </c>
    </row>
    <row r="172" spans="1:72" x14ac:dyDescent="0.2">
      <c r="A172" t="s">
        <v>72</v>
      </c>
      <c r="B172" t="s">
        <v>1441</v>
      </c>
      <c r="C172" t="s">
        <v>74</v>
      </c>
      <c r="D172" t="s">
        <v>74</v>
      </c>
      <c r="E172" t="s">
        <v>74</v>
      </c>
      <c r="F172" t="s">
        <v>1442</v>
      </c>
      <c r="G172" t="s">
        <v>74</v>
      </c>
      <c r="H172" t="s">
        <v>74</v>
      </c>
      <c r="I172" t="s">
        <v>1443</v>
      </c>
      <c r="J172" t="s">
        <v>1444</v>
      </c>
      <c r="K172" t="s">
        <v>74</v>
      </c>
      <c r="L172" t="s">
        <v>74</v>
      </c>
      <c r="M172" t="s">
        <v>74</v>
      </c>
      <c r="N172" t="s">
        <v>74</v>
      </c>
      <c r="O172" t="s">
        <v>74</v>
      </c>
      <c r="P172" t="s">
        <v>74</v>
      </c>
      <c r="Q172" t="s">
        <v>74</v>
      </c>
      <c r="R172" t="s">
        <v>74</v>
      </c>
      <c r="S172" t="s">
        <v>74</v>
      </c>
      <c r="T172" t="s">
        <v>74</v>
      </c>
      <c r="U172" t="s">
        <v>74</v>
      </c>
      <c r="V172" t="s">
        <v>74</v>
      </c>
      <c r="W172" t="s">
        <v>74</v>
      </c>
      <c r="X172" t="s">
        <v>74</v>
      </c>
      <c r="Y172" t="s">
        <v>74</v>
      </c>
      <c r="Z172" t="s">
        <v>74</v>
      </c>
      <c r="AA172" t="s">
        <v>1445</v>
      </c>
      <c r="AB172" t="s">
        <v>6853</v>
      </c>
      <c r="AC172" t="s">
        <v>74</v>
      </c>
      <c r="AD172" t="s">
        <v>74</v>
      </c>
      <c r="AE172" t="s">
        <v>74</v>
      </c>
      <c r="AF172" t="s">
        <v>74</v>
      </c>
      <c r="AG172" t="s">
        <v>74</v>
      </c>
      <c r="AH172" t="s">
        <v>74</v>
      </c>
      <c r="AI172" t="s">
        <v>74</v>
      </c>
      <c r="AJ172" t="s">
        <v>74</v>
      </c>
      <c r="AK172" t="s">
        <v>74</v>
      </c>
      <c r="AL172" t="s">
        <v>74</v>
      </c>
      <c r="AM172" t="s">
        <v>74</v>
      </c>
      <c r="AN172" t="s">
        <v>74</v>
      </c>
      <c r="AO172" t="s">
        <v>1447</v>
      </c>
      <c r="AP172" t="s">
        <v>1448</v>
      </c>
      <c r="AQ172" t="s">
        <v>74</v>
      </c>
      <c r="AR172" t="s">
        <v>74</v>
      </c>
      <c r="AS172" t="s">
        <v>74</v>
      </c>
      <c r="AT172" t="s">
        <v>74</v>
      </c>
      <c r="AU172">
        <v>2022</v>
      </c>
      <c r="AV172">
        <v>94</v>
      </c>
      <c r="AW172">
        <v>2</v>
      </c>
      <c r="AX172" t="s">
        <v>74</v>
      </c>
      <c r="AY172" t="s">
        <v>74</v>
      </c>
      <c r="AZ172" t="s">
        <v>74</v>
      </c>
      <c r="BA172" t="s">
        <v>74</v>
      </c>
      <c r="BB172" t="s">
        <v>74</v>
      </c>
      <c r="BC172" t="s">
        <v>74</v>
      </c>
      <c r="BD172" t="s">
        <v>1449</v>
      </c>
      <c r="BE172" t="s">
        <v>1450</v>
      </c>
      <c r="BF172" t="str">
        <f>HYPERLINK("http://dx.doi.org/10.1590/0001-3765202220200604","http://dx.doi.org/10.1590/0001-3765202220200604")</f>
        <v>http://dx.doi.org/10.1590/0001-3765202220200604</v>
      </c>
      <c r="BG172" t="s">
        <v>74</v>
      </c>
      <c r="BH172" t="s">
        <v>74</v>
      </c>
      <c r="BI172" t="s">
        <v>74</v>
      </c>
      <c r="BJ172" t="s">
        <v>74</v>
      </c>
      <c r="BK172" t="s">
        <v>74</v>
      </c>
      <c r="BL172" t="s">
        <v>74</v>
      </c>
      <c r="BM172" t="s">
        <v>74</v>
      </c>
      <c r="BN172">
        <v>35703690</v>
      </c>
      <c r="BO172" t="s">
        <v>74</v>
      </c>
      <c r="BP172" t="s">
        <v>74</v>
      </c>
      <c r="BQ172" t="s">
        <v>74</v>
      </c>
      <c r="BR172" t="s">
        <v>74</v>
      </c>
      <c r="BS172" t="s">
        <v>1451</v>
      </c>
      <c r="BT172" t="str">
        <f>HYPERLINK("https%3A%2F%2Fwww.webofscience.com%2Fwos%2Fwoscc%2Ffull-record%2FWOS:000813411900001","View Full Record in Web of Science")</f>
        <v>View Full Record in Web of Science</v>
      </c>
    </row>
    <row r="173" spans="1:72" x14ac:dyDescent="0.2">
      <c r="A173" t="s">
        <v>72</v>
      </c>
      <c r="B173" t="s">
        <v>1452</v>
      </c>
      <c r="C173" t="s">
        <v>74</v>
      </c>
      <c r="D173" t="s">
        <v>74</v>
      </c>
      <c r="E173" t="s">
        <v>74</v>
      </c>
      <c r="F173" t="s">
        <v>1453</v>
      </c>
      <c r="G173" t="s">
        <v>74</v>
      </c>
      <c r="H173" t="s">
        <v>74</v>
      </c>
      <c r="I173" t="s">
        <v>1454</v>
      </c>
      <c r="J173" t="s">
        <v>1455</v>
      </c>
      <c r="K173" t="s">
        <v>74</v>
      </c>
      <c r="L173" t="s">
        <v>74</v>
      </c>
      <c r="M173" t="s">
        <v>74</v>
      </c>
      <c r="N173" t="s">
        <v>74</v>
      </c>
      <c r="O173" t="s">
        <v>74</v>
      </c>
      <c r="P173" t="s">
        <v>74</v>
      </c>
      <c r="Q173" t="s">
        <v>74</v>
      </c>
      <c r="R173" t="s">
        <v>74</v>
      </c>
      <c r="S173" t="s">
        <v>74</v>
      </c>
      <c r="T173" t="s">
        <v>74</v>
      </c>
      <c r="U173" t="s">
        <v>74</v>
      </c>
      <c r="V173" t="s">
        <v>74</v>
      </c>
      <c r="W173" t="s">
        <v>74</v>
      </c>
      <c r="X173" t="s">
        <v>74</v>
      </c>
      <c r="Y173" t="s">
        <v>74</v>
      </c>
      <c r="Z173" t="s">
        <v>74</v>
      </c>
      <c r="AA173" t="s">
        <v>495</v>
      </c>
      <c r="AB173" t="s">
        <v>1456</v>
      </c>
      <c r="AC173" t="s">
        <v>74</v>
      </c>
      <c r="AD173" t="s">
        <v>74</v>
      </c>
      <c r="AE173" t="s">
        <v>74</v>
      </c>
      <c r="AF173" t="s">
        <v>74</v>
      </c>
      <c r="AG173" t="s">
        <v>74</v>
      </c>
      <c r="AH173" t="s">
        <v>74</v>
      </c>
      <c r="AI173" t="s">
        <v>74</v>
      </c>
      <c r="AJ173" t="s">
        <v>74</v>
      </c>
      <c r="AK173" t="s">
        <v>74</v>
      </c>
      <c r="AL173" t="s">
        <v>74</v>
      </c>
      <c r="AM173" t="s">
        <v>74</v>
      </c>
      <c r="AN173" t="s">
        <v>74</v>
      </c>
      <c r="AO173" t="s">
        <v>74</v>
      </c>
      <c r="AP173" t="s">
        <v>1457</v>
      </c>
      <c r="AQ173" t="s">
        <v>74</v>
      </c>
      <c r="AR173" t="s">
        <v>74</v>
      </c>
      <c r="AS173" t="s">
        <v>74</v>
      </c>
      <c r="AT173" t="s">
        <v>315</v>
      </c>
      <c r="AU173">
        <v>2022</v>
      </c>
      <c r="AV173">
        <v>10</v>
      </c>
      <c r="AW173">
        <v>1</v>
      </c>
      <c r="AX173" t="s">
        <v>74</v>
      </c>
      <c r="AY173" t="s">
        <v>74</v>
      </c>
      <c r="AZ173" t="s">
        <v>74</v>
      </c>
      <c r="BA173" t="s">
        <v>74</v>
      </c>
      <c r="BB173" t="s">
        <v>74</v>
      </c>
      <c r="BC173" t="s">
        <v>74</v>
      </c>
      <c r="BD173">
        <v>182</v>
      </c>
      <c r="BE173" t="s">
        <v>1458</v>
      </c>
      <c r="BF173" t="str">
        <f>HYPERLINK("http://dx.doi.org/10.3390/microorganisms10010182","http://dx.doi.org/10.3390/microorganisms10010182")</f>
        <v>http://dx.doi.org/10.3390/microorganisms10010182</v>
      </c>
      <c r="BG173" t="s">
        <v>74</v>
      </c>
      <c r="BH173" t="s">
        <v>74</v>
      </c>
      <c r="BI173" t="s">
        <v>74</v>
      </c>
      <c r="BJ173" t="s">
        <v>74</v>
      </c>
      <c r="BK173" t="s">
        <v>74</v>
      </c>
      <c r="BL173" t="s">
        <v>74</v>
      </c>
      <c r="BM173" t="s">
        <v>74</v>
      </c>
      <c r="BN173">
        <v>35056631</v>
      </c>
      <c r="BO173" t="s">
        <v>74</v>
      </c>
      <c r="BP173" t="s">
        <v>74</v>
      </c>
      <c r="BQ173" t="s">
        <v>74</v>
      </c>
      <c r="BR173" t="s">
        <v>74</v>
      </c>
      <c r="BS173" t="s">
        <v>1459</v>
      </c>
      <c r="BT173" t="str">
        <f>HYPERLINK("https%3A%2F%2Fwww.webofscience.com%2Fwos%2Fwoscc%2Ffull-record%2FWOS:000746245200001","View Full Record in Web of Science")</f>
        <v>View Full Record in Web of Science</v>
      </c>
    </row>
    <row r="174" spans="1:72" x14ac:dyDescent="0.2">
      <c r="A174" t="s">
        <v>72</v>
      </c>
      <c r="B174" t="s">
        <v>1460</v>
      </c>
      <c r="C174" t="s">
        <v>74</v>
      </c>
      <c r="D174" t="s">
        <v>74</v>
      </c>
      <c r="E174" t="s">
        <v>74</v>
      </c>
      <c r="F174" t="s">
        <v>1461</v>
      </c>
      <c r="G174" t="s">
        <v>74</v>
      </c>
      <c r="H174" t="s">
        <v>74</v>
      </c>
      <c r="I174" t="s">
        <v>1462</v>
      </c>
      <c r="J174" t="s">
        <v>145</v>
      </c>
      <c r="K174" t="s">
        <v>74</v>
      </c>
      <c r="L174" t="s">
        <v>74</v>
      </c>
      <c r="M174" t="s">
        <v>74</v>
      </c>
      <c r="N174" t="s">
        <v>74</v>
      </c>
      <c r="O174" t="s">
        <v>74</v>
      </c>
      <c r="P174" t="s">
        <v>74</v>
      </c>
      <c r="Q174" t="s">
        <v>74</v>
      </c>
      <c r="R174" t="s">
        <v>74</v>
      </c>
      <c r="S174" t="s">
        <v>74</v>
      </c>
      <c r="T174" t="s">
        <v>74</v>
      </c>
      <c r="U174" t="s">
        <v>74</v>
      </c>
      <c r="V174" t="s">
        <v>74</v>
      </c>
      <c r="W174" t="s">
        <v>74</v>
      </c>
      <c r="X174" t="s">
        <v>74</v>
      </c>
      <c r="Y174" t="s">
        <v>74</v>
      </c>
      <c r="Z174" t="s">
        <v>74</v>
      </c>
      <c r="AA174" t="s">
        <v>1463</v>
      </c>
      <c r="AB174" t="s">
        <v>1464</v>
      </c>
      <c r="AC174" t="s">
        <v>74</v>
      </c>
      <c r="AD174" t="s">
        <v>74</v>
      </c>
      <c r="AE174" t="s">
        <v>74</v>
      </c>
      <c r="AF174" t="s">
        <v>74</v>
      </c>
      <c r="AG174" t="s">
        <v>74</v>
      </c>
      <c r="AH174" t="s">
        <v>74</v>
      </c>
      <c r="AI174" t="s">
        <v>74</v>
      </c>
      <c r="AJ174" t="s">
        <v>74</v>
      </c>
      <c r="AK174" t="s">
        <v>74</v>
      </c>
      <c r="AL174" t="s">
        <v>74</v>
      </c>
      <c r="AM174" t="s">
        <v>74</v>
      </c>
      <c r="AN174" t="s">
        <v>74</v>
      </c>
      <c r="AO174" t="s">
        <v>146</v>
      </c>
      <c r="AP174" t="s">
        <v>147</v>
      </c>
      <c r="AQ174" t="s">
        <v>74</v>
      </c>
      <c r="AR174" t="s">
        <v>74</v>
      </c>
      <c r="AS174" t="s">
        <v>74</v>
      </c>
      <c r="AT174" t="s">
        <v>1465</v>
      </c>
      <c r="AU174">
        <v>2022</v>
      </c>
      <c r="AV174">
        <v>808</v>
      </c>
      <c r="AW174" t="s">
        <v>74</v>
      </c>
      <c r="AX174" t="s">
        <v>74</v>
      </c>
      <c r="AY174" t="s">
        <v>74</v>
      </c>
      <c r="AZ174" t="s">
        <v>74</v>
      </c>
      <c r="BA174" t="s">
        <v>74</v>
      </c>
      <c r="BB174" t="s">
        <v>74</v>
      </c>
      <c r="BC174" t="s">
        <v>74</v>
      </c>
      <c r="BD174">
        <v>152093</v>
      </c>
      <c r="BE174" t="s">
        <v>1466</v>
      </c>
      <c r="BF174" t="str">
        <f>HYPERLINK("http://dx.doi.org/10.1016/j.scitotenv.2021.152093","http://dx.doi.org/10.1016/j.scitotenv.2021.152093")</f>
        <v>http://dx.doi.org/10.1016/j.scitotenv.2021.152093</v>
      </c>
      <c r="BG174" t="s">
        <v>74</v>
      </c>
      <c r="BH174" t="s">
        <v>1467</v>
      </c>
      <c r="BI174" t="s">
        <v>74</v>
      </c>
      <c r="BJ174" t="s">
        <v>74</v>
      </c>
      <c r="BK174" t="s">
        <v>74</v>
      </c>
      <c r="BL174" t="s">
        <v>74</v>
      </c>
      <c r="BM174" t="s">
        <v>74</v>
      </c>
      <c r="BN174">
        <v>34863741</v>
      </c>
      <c r="BO174" t="s">
        <v>74</v>
      </c>
      <c r="BP174" t="s">
        <v>74</v>
      </c>
      <c r="BQ174" t="s">
        <v>74</v>
      </c>
      <c r="BR174" t="s">
        <v>74</v>
      </c>
      <c r="BS174" t="s">
        <v>1468</v>
      </c>
      <c r="BT174" t="str">
        <f>HYPERLINK("https%3A%2F%2Fwww.webofscience.com%2Fwos%2Fwoscc%2Ffull-record%2FWOS:000740209300018","View Full Record in Web of Science")</f>
        <v>View Full Record in Web of Science</v>
      </c>
    </row>
    <row r="175" spans="1:72" x14ac:dyDescent="0.2">
      <c r="A175" t="s">
        <v>72</v>
      </c>
      <c r="B175" t="s">
        <v>1469</v>
      </c>
      <c r="C175" t="s">
        <v>74</v>
      </c>
      <c r="D175" t="s">
        <v>74</v>
      </c>
      <c r="E175" t="s">
        <v>74</v>
      </c>
      <c r="F175" t="s">
        <v>1470</v>
      </c>
      <c r="G175" t="s">
        <v>74</v>
      </c>
      <c r="H175" t="s">
        <v>74</v>
      </c>
      <c r="I175" t="s">
        <v>1471</v>
      </c>
      <c r="J175" t="s">
        <v>934</v>
      </c>
      <c r="K175" t="s">
        <v>74</v>
      </c>
      <c r="L175" t="s">
        <v>74</v>
      </c>
      <c r="M175" t="s">
        <v>74</v>
      </c>
      <c r="N175" t="s">
        <v>74</v>
      </c>
      <c r="O175" t="s">
        <v>74</v>
      </c>
      <c r="P175" t="s">
        <v>74</v>
      </c>
      <c r="Q175" t="s">
        <v>74</v>
      </c>
      <c r="R175" t="s">
        <v>74</v>
      </c>
      <c r="S175" t="s">
        <v>74</v>
      </c>
      <c r="T175" t="s">
        <v>74</v>
      </c>
      <c r="U175" t="s">
        <v>74</v>
      </c>
      <c r="V175" t="s">
        <v>74</v>
      </c>
      <c r="W175" t="s">
        <v>74</v>
      </c>
      <c r="X175" t="s">
        <v>74</v>
      </c>
      <c r="Y175" t="s">
        <v>74</v>
      </c>
      <c r="Z175" t="s">
        <v>74</v>
      </c>
      <c r="AA175" t="s">
        <v>74</v>
      </c>
      <c r="AB175" t="s">
        <v>1472</v>
      </c>
      <c r="AC175" t="s">
        <v>74</v>
      </c>
      <c r="AD175" t="s">
        <v>74</v>
      </c>
      <c r="AE175" t="s">
        <v>74</v>
      </c>
      <c r="AF175" t="s">
        <v>74</v>
      </c>
      <c r="AG175" t="s">
        <v>74</v>
      </c>
      <c r="AH175" t="s">
        <v>74</v>
      </c>
      <c r="AI175" t="s">
        <v>74</v>
      </c>
      <c r="AJ175" t="s">
        <v>74</v>
      </c>
      <c r="AK175" t="s">
        <v>74</v>
      </c>
      <c r="AL175" t="s">
        <v>74</v>
      </c>
      <c r="AM175" t="s">
        <v>74</v>
      </c>
      <c r="AN175" t="s">
        <v>74</v>
      </c>
      <c r="AO175" t="s">
        <v>936</v>
      </c>
      <c r="AP175" t="s">
        <v>937</v>
      </c>
      <c r="AQ175" t="s">
        <v>74</v>
      </c>
      <c r="AR175" t="s">
        <v>74</v>
      </c>
      <c r="AS175" t="s">
        <v>74</v>
      </c>
      <c r="AT175" t="s">
        <v>416</v>
      </c>
      <c r="AU175">
        <v>2022</v>
      </c>
      <c r="AV175">
        <v>100</v>
      </c>
      <c r="AW175">
        <v>2</v>
      </c>
      <c r="AX175" t="s">
        <v>74</v>
      </c>
      <c r="AY175" t="s">
        <v>74</v>
      </c>
      <c r="AZ175" t="s">
        <v>74</v>
      </c>
      <c r="BA175" t="s">
        <v>74</v>
      </c>
      <c r="BB175">
        <v>390</v>
      </c>
      <c r="BC175">
        <v>405</v>
      </c>
      <c r="BD175" t="s">
        <v>74</v>
      </c>
      <c r="BE175" t="s">
        <v>1473</v>
      </c>
      <c r="BF175" t="str">
        <f>HYPERLINK("http://dx.doi.org/10.1111/jfb.14950","http://dx.doi.org/10.1111/jfb.14950")</f>
        <v>http://dx.doi.org/10.1111/jfb.14950</v>
      </c>
      <c r="BG175" t="s">
        <v>74</v>
      </c>
      <c r="BH175" t="s">
        <v>1467</v>
      </c>
      <c r="BI175" t="s">
        <v>74</v>
      </c>
      <c r="BJ175" t="s">
        <v>74</v>
      </c>
      <c r="BK175" t="s">
        <v>74</v>
      </c>
      <c r="BL175" t="s">
        <v>74</v>
      </c>
      <c r="BM175" t="s">
        <v>74</v>
      </c>
      <c r="BN175">
        <v>34796914</v>
      </c>
      <c r="BO175" t="s">
        <v>74</v>
      </c>
      <c r="BP175" t="s">
        <v>74</v>
      </c>
      <c r="BQ175" t="s">
        <v>74</v>
      </c>
      <c r="BR175" t="s">
        <v>74</v>
      </c>
      <c r="BS175" t="s">
        <v>1474</v>
      </c>
      <c r="BT175" t="str">
        <f>HYPERLINK("https%3A%2F%2Fwww.webofscience.com%2Fwos%2Fwoscc%2Ffull-record%2FWOS:000727346700001","View Full Record in Web of Science")</f>
        <v>View Full Record in Web of Science</v>
      </c>
    </row>
    <row r="176" spans="1:72" x14ac:dyDescent="0.2">
      <c r="A176" t="s">
        <v>72</v>
      </c>
      <c r="B176" t="s">
        <v>1475</v>
      </c>
      <c r="C176" t="s">
        <v>74</v>
      </c>
      <c r="D176" t="s">
        <v>74</v>
      </c>
      <c r="E176" t="s">
        <v>74</v>
      </c>
      <c r="F176" t="s">
        <v>1476</v>
      </c>
      <c r="G176" t="s">
        <v>74</v>
      </c>
      <c r="H176" t="s">
        <v>74</v>
      </c>
      <c r="I176" t="s">
        <v>1477</v>
      </c>
      <c r="J176" t="s">
        <v>1478</v>
      </c>
      <c r="K176" t="s">
        <v>74</v>
      </c>
      <c r="L176" t="s">
        <v>74</v>
      </c>
      <c r="M176" t="s">
        <v>74</v>
      </c>
      <c r="N176" t="s">
        <v>74</v>
      </c>
      <c r="O176" t="s">
        <v>74</v>
      </c>
      <c r="P176" t="s">
        <v>74</v>
      </c>
      <c r="Q176" t="s">
        <v>74</v>
      </c>
      <c r="R176" t="s">
        <v>74</v>
      </c>
      <c r="S176" t="s">
        <v>74</v>
      </c>
      <c r="T176" t="s">
        <v>74</v>
      </c>
      <c r="U176" t="s">
        <v>74</v>
      </c>
      <c r="V176" t="s">
        <v>74</v>
      </c>
      <c r="W176" t="s">
        <v>74</v>
      </c>
      <c r="X176" t="s">
        <v>74</v>
      </c>
      <c r="Y176" t="s">
        <v>74</v>
      </c>
      <c r="Z176" t="s">
        <v>74</v>
      </c>
      <c r="AA176" t="s">
        <v>6854</v>
      </c>
      <c r="AB176" t="s">
        <v>1479</v>
      </c>
      <c r="AC176" t="s">
        <v>74</v>
      </c>
      <c r="AD176" t="s">
        <v>74</v>
      </c>
      <c r="AE176" t="s">
        <v>74</v>
      </c>
      <c r="AF176" t="s">
        <v>74</v>
      </c>
      <c r="AG176" t="s">
        <v>74</v>
      </c>
      <c r="AH176" t="s">
        <v>74</v>
      </c>
      <c r="AI176" t="s">
        <v>74</v>
      </c>
      <c r="AJ176" t="s">
        <v>74</v>
      </c>
      <c r="AK176" t="s">
        <v>74</v>
      </c>
      <c r="AL176" t="s">
        <v>74</v>
      </c>
      <c r="AM176" t="s">
        <v>74</v>
      </c>
      <c r="AN176" t="s">
        <v>74</v>
      </c>
      <c r="AO176" t="s">
        <v>1480</v>
      </c>
      <c r="AP176" t="s">
        <v>1481</v>
      </c>
      <c r="AQ176" t="s">
        <v>74</v>
      </c>
      <c r="AR176" t="s">
        <v>74</v>
      </c>
      <c r="AS176" t="s">
        <v>74</v>
      </c>
      <c r="AT176" t="s">
        <v>82</v>
      </c>
      <c r="AU176">
        <v>2021</v>
      </c>
      <c r="AV176">
        <v>48</v>
      </c>
      <c r="AW176">
        <v>10</v>
      </c>
      <c r="AX176" t="s">
        <v>74</v>
      </c>
      <c r="AY176" t="s">
        <v>74</v>
      </c>
      <c r="AZ176" t="s">
        <v>74</v>
      </c>
      <c r="BA176" t="s">
        <v>74</v>
      </c>
      <c r="BB176">
        <v>1849</v>
      </c>
      <c r="BC176">
        <v>1856</v>
      </c>
      <c r="BD176" t="s">
        <v>74</v>
      </c>
      <c r="BE176" t="s">
        <v>1482</v>
      </c>
      <c r="BF176" t="str">
        <f>HYPERLINK("http://dx.doi.org/10.1134/S1062359021100095","http://dx.doi.org/10.1134/S1062359021100095")</f>
        <v>http://dx.doi.org/10.1134/S1062359021100095</v>
      </c>
      <c r="BG176" t="s">
        <v>74</v>
      </c>
      <c r="BH176" t="s">
        <v>74</v>
      </c>
      <c r="BI176" t="s">
        <v>74</v>
      </c>
      <c r="BJ176" t="s">
        <v>74</v>
      </c>
      <c r="BK176" t="s">
        <v>74</v>
      </c>
      <c r="BL176" t="s">
        <v>74</v>
      </c>
      <c r="BM176" t="s">
        <v>74</v>
      </c>
      <c r="BN176" t="s">
        <v>74</v>
      </c>
      <c r="BO176" t="s">
        <v>74</v>
      </c>
      <c r="BP176" t="s">
        <v>74</v>
      </c>
      <c r="BQ176" t="s">
        <v>74</v>
      </c>
      <c r="BR176" t="s">
        <v>74</v>
      </c>
      <c r="BS176" t="s">
        <v>1483</v>
      </c>
      <c r="BT176" t="str">
        <f>HYPERLINK("https%3A%2F%2Fwww.webofscience.com%2Fwos%2Fwoscc%2Ffull-record%2FWOS:000743033700017","View Full Record in Web of Science")</f>
        <v>View Full Record in Web of Science</v>
      </c>
    </row>
    <row r="177" spans="1:72" x14ac:dyDescent="0.2">
      <c r="A177" t="s">
        <v>72</v>
      </c>
      <c r="B177" t="s">
        <v>1484</v>
      </c>
      <c r="C177" t="s">
        <v>74</v>
      </c>
      <c r="D177" t="s">
        <v>74</v>
      </c>
      <c r="E177" t="s">
        <v>74</v>
      </c>
      <c r="F177" t="s">
        <v>1485</v>
      </c>
      <c r="G177" t="s">
        <v>74</v>
      </c>
      <c r="H177" t="s">
        <v>74</v>
      </c>
      <c r="I177" t="s">
        <v>1486</v>
      </c>
      <c r="J177" t="s">
        <v>331</v>
      </c>
      <c r="K177" t="s">
        <v>74</v>
      </c>
      <c r="L177" t="s">
        <v>74</v>
      </c>
      <c r="M177" t="s">
        <v>74</v>
      </c>
      <c r="N177" t="s">
        <v>74</v>
      </c>
      <c r="O177" t="s">
        <v>74</v>
      </c>
      <c r="P177" t="s">
        <v>74</v>
      </c>
      <c r="Q177" t="s">
        <v>74</v>
      </c>
      <c r="R177" t="s">
        <v>74</v>
      </c>
      <c r="S177" t="s">
        <v>74</v>
      </c>
      <c r="T177" t="s">
        <v>74</v>
      </c>
      <c r="U177" t="s">
        <v>74</v>
      </c>
      <c r="V177" t="s">
        <v>74</v>
      </c>
      <c r="W177" t="s">
        <v>74</v>
      </c>
      <c r="X177" t="s">
        <v>74</v>
      </c>
      <c r="Y177" t="s">
        <v>74</v>
      </c>
      <c r="Z177" t="s">
        <v>74</v>
      </c>
      <c r="AA177" t="s">
        <v>6855</v>
      </c>
      <c r="AB177" t="s">
        <v>6856</v>
      </c>
      <c r="AC177" t="s">
        <v>74</v>
      </c>
      <c r="AD177" t="s">
        <v>74</v>
      </c>
      <c r="AE177" t="s">
        <v>74</v>
      </c>
      <c r="AF177" t="s">
        <v>74</v>
      </c>
      <c r="AG177" t="s">
        <v>74</v>
      </c>
      <c r="AH177" t="s">
        <v>74</v>
      </c>
      <c r="AI177" t="s">
        <v>74</v>
      </c>
      <c r="AJ177" t="s">
        <v>74</v>
      </c>
      <c r="AK177" t="s">
        <v>74</v>
      </c>
      <c r="AL177" t="s">
        <v>74</v>
      </c>
      <c r="AM177" t="s">
        <v>74</v>
      </c>
      <c r="AN177" t="s">
        <v>74</v>
      </c>
      <c r="AO177" t="s">
        <v>74</v>
      </c>
      <c r="AP177" t="s">
        <v>334</v>
      </c>
      <c r="AQ177" t="s">
        <v>74</v>
      </c>
      <c r="AR177" t="s">
        <v>74</v>
      </c>
      <c r="AS177" t="s">
        <v>74</v>
      </c>
      <c r="AT177" t="s">
        <v>82</v>
      </c>
      <c r="AU177">
        <v>2021</v>
      </c>
      <c r="AV177">
        <v>13</v>
      </c>
      <c r="AW177">
        <v>24</v>
      </c>
      <c r="AX177" t="s">
        <v>74</v>
      </c>
      <c r="AY177" t="s">
        <v>74</v>
      </c>
      <c r="AZ177" t="s">
        <v>74</v>
      </c>
      <c r="BA177" t="s">
        <v>74</v>
      </c>
      <c r="BB177" t="s">
        <v>74</v>
      </c>
      <c r="BC177" t="s">
        <v>74</v>
      </c>
      <c r="BD177">
        <v>3581</v>
      </c>
      <c r="BE177" t="s">
        <v>1487</v>
      </c>
      <c r="BF177" t="str">
        <f>HYPERLINK("http://dx.doi.org/10.3390/w13243581","http://dx.doi.org/10.3390/w13243581")</f>
        <v>http://dx.doi.org/10.3390/w13243581</v>
      </c>
      <c r="BG177" t="s">
        <v>74</v>
      </c>
      <c r="BH177" t="s">
        <v>74</v>
      </c>
      <c r="BI177" t="s">
        <v>74</v>
      </c>
      <c r="BJ177" t="s">
        <v>74</v>
      </c>
      <c r="BK177" t="s">
        <v>74</v>
      </c>
      <c r="BL177" t="s">
        <v>74</v>
      </c>
      <c r="BM177" t="s">
        <v>74</v>
      </c>
      <c r="BN177" t="s">
        <v>74</v>
      </c>
      <c r="BO177" t="s">
        <v>74</v>
      </c>
      <c r="BP177" t="s">
        <v>74</v>
      </c>
      <c r="BQ177" t="s">
        <v>74</v>
      </c>
      <c r="BR177" t="s">
        <v>74</v>
      </c>
      <c r="BS177" t="s">
        <v>1488</v>
      </c>
      <c r="BT177" t="str">
        <f>HYPERLINK("https%3A%2F%2Fwww.webofscience.com%2Fwos%2Fwoscc%2Ffull-record%2FWOS:000778385700001","View Full Record in Web of Science")</f>
        <v>View Full Record in Web of Science</v>
      </c>
    </row>
    <row r="178" spans="1:72" x14ac:dyDescent="0.2">
      <c r="A178" t="s">
        <v>72</v>
      </c>
      <c r="B178" t="s">
        <v>1489</v>
      </c>
      <c r="C178" t="s">
        <v>74</v>
      </c>
      <c r="D178" t="s">
        <v>74</v>
      </c>
      <c r="E178" t="s">
        <v>74</v>
      </c>
      <c r="F178" t="s">
        <v>1490</v>
      </c>
      <c r="G178" t="s">
        <v>74</v>
      </c>
      <c r="H178" t="s">
        <v>74</v>
      </c>
      <c r="I178" t="s">
        <v>1491</v>
      </c>
      <c r="J178" t="s">
        <v>673</v>
      </c>
      <c r="K178" t="s">
        <v>74</v>
      </c>
      <c r="L178" t="s">
        <v>74</v>
      </c>
      <c r="M178" t="s">
        <v>74</v>
      </c>
      <c r="N178" t="s">
        <v>74</v>
      </c>
      <c r="O178" t="s">
        <v>74</v>
      </c>
      <c r="P178" t="s">
        <v>74</v>
      </c>
      <c r="Q178" t="s">
        <v>74</v>
      </c>
      <c r="R178" t="s">
        <v>74</v>
      </c>
      <c r="S178" t="s">
        <v>74</v>
      </c>
      <c r="T178" t="s">
        <v>74</v>
      </c>
      <c r="U178" t="s">
        <v>74</v>
      </c>
      <c r="V178" t="s">
        <v>74</v>
      </c>
      <c r="W178" t="s">
        <v>74</v>
      </c>
      <c r="X178" t="s">
        <v>74</v>
      </c>
      <c r="Y178" t="s">
        <v>74</v>
      </c>
      <c r="Z178" t="s">
        <v>74</v>
      </c>
      <c r="AA178" t="s">
        <v>1492</v>
      </c>
      <c r="AB178" t="s">
        <v>1493</v>
      </c>
      <c r="AC178" t="s">
        <v>74</v>
      </c>
      <c r="AD178" t="s">
        <v>74</v>
      </c>
      <c r="AE178" t="s">
        <v>74</v>
      </c>
      <c r="AF178" t="s">
        <v>74</v>
      </c>
      <c r="AG178" t="s">
        <v>74</v>
      </c>
      <c r="AH178" t="s">
        <v>74</v>
      </c>
      <c r="AI178" t="s">
        <v>74</v>
      </c>
      <c r="AJ178" t="s">
        <v>74</v>
      </c>
      <c r="AK178" t="s">
        <v>74</v>
      </c>
      <c r="AL178" t="s">
        <v>74</v>
      </c>
      <c r="AM178" t="s">
        <v>74</v>
      </c>
      <c r="AN178" t="s">
        <v>74</v>
      </c>
      <c r="AO178" t="s">
        <v>674</v>
      </c>
      <c r="AP178" t="s">
        <v>675</v>
      </c>
      <c r="AQ178" t="s">
        <v>74</v>
      </c>
      <c r="AR178" t="s">
        <v>74</v>
      </c>
      <c r="AS178" t="s">
        <v>74</v>
      </c>
      <c r="AT178" t="s">
        <v>1494</v>
      </c>
      <c r="AU178">
        <v>2021</v>
      </c>
      <c r="AV178">
        <v>228</v>
      </c>
      <c r="AW178" t="s">
        <v>74</v>
      </c>
      <c r="AX178" t="s">
        <v>74</v>
      </c>
      <c r="AY178" t="s">
        <v>74</v>
      </c>
      <c r="AZ178" t="s">
        <v>74</v>
      </c>
      <c r="BA178" t="s">
        <v>74</v>
      </c>
      <c r="BB178" t="s">
        <v>74</v>
      </c>
      <c r="BC178" t="s">
        <v>74</v>
      </c>
      <c r="BD178">
        <v>113036</v>
      </c>
      <c r="BE178" t="s">
        <v>1495</v>
      </c>
      <c r="BF178" t="str">
        <f>HYPERLINK("http://dx.doi.org/10.1016/j.ecoenv.2021.113036","http://dx.doi.org/10.1016/j.ecoenv.2021.113036")</f>
        <v>http://dx.doi.org/10.1016/j.ecoenv.2021.113036</v>
      </c>
      <c r="BG178" t="s">
        <v>74</v>
      </c>
      <c r="BH178" t="s">
        <v>1496</v>
      </c>
      <c r="BI178" t="s">
        <v>74</v>
      </c>
      <c r="BJ178" t="s">
        <v>74</v>
      </c>
      <c r="BK178" t="s">
        <v>74</v>
      </c>
      <c r="BL178" t="s">
        <v>74</v>
      </c>
      <c r="BM178" t="s">
        <v>74</v>
      </c>
      <c r="BN178">
        <v>34861440</v>
      </c>
      <c r="BO178" t="s">
        <v>74</v>
      </c>
      <c r="BP178" t="s">
        <v>74</v>
      </c>
      <c r="BQ178" t="s">
        <v>74</v>
      </c>
      <c r="BR178" t="s">
        <v>74</v>
      </c>
      <c r="BS178" t="s">
        <v>1497</v>
      </c>
      <c r="BT178" t="str">
        <f>HYPERLINK("https%3A%2F%2Fwww.webofscience.com%2Fwos%2Fwoscc%2Ffull-record%2FWOS:000740121400005","View Full Record in Web of Science")</f>
        <v>View Full Record in Web of Science</v>
      </c>
    </row>
    <row r="179" spans="1:72" x14ac:dyDescent="0.2">
      <c r="A179" t="s">
        <v>72</v>
      </c>
      <c r="B179" t="s">
        <v>1498</v>
      </c>
      <c r="C179" t="s">
        <v>74</v>
      </c>
      <c r="D179" t="s">
        <v>74</v>
      </c>
      <c r="E179" t="s">
        <v>74</v>
      </c>
      <c r="F179" t="s">
        <v>1499</v>
      </c>
      <c r="G179" t="s">
        <v>74</v>
      </c>
      <c r="H179" t="s">
        <v>74</v>
      </c>
      <c r="I179" t="s">
        <v>1500</v>
      </c>
      <c r="J179" t="s">
        <v>423</v>
      </c>
      <c r="K179" t="s">
        <v>74</v>
      </c>
      <c r="L179" t="s">
        <v>74</v>
      </c>
      <c r="M179" t="s">
        <v>74</v>
      </c>
      <c r="N179" t="s">
        <v>74</v>
      </c>
      <c r="O179" t="s">
        <v>74</v>
      </c>
      <c r="P179" t="s">
        <v>74</v>
      </c>
      <c r="Q179" t="s">
        <v>74</v>
      </c>
      <c r="R179" t="s">
        <v>74</v>
      </c>
      <c r="S179" t="s">
        <v>74</v>
      </c>
      <c r="T179" t="s">
        <v>74</v>
      </c>
      <c r="U179" t="s">
        <v>74</v>
      </c>
      <c r="V179" t="s">
        <v>74</v>
      </c>
      <c r="W179" t="s">
        <v>74</v>
      </c>
      <c r="X179" t="s">
        <v>74</v>
      </c>
      <c r="Y179" t="s">
        <v>74</v>
      </c>
      <c r="Z179" t="s">
        <v>74</v>
      </c>
      <c r="AA179" t="s">
        <v>74</v>
      </c>
      <c r="AB179" t="s">
        <v>6857</v>
      </c>
      <c r="AC179" t="s">
        <v>74</v>
      </c>
      <c r="AD179" t="s">
        <v>74</v>
      </c>
      <c r="AE179" t="s">
        <v>74</v>
      </c>
      <c r="AF179" t="s">
        <v>74</v>
      </c>
      <c r="AG179" t="s">
        <v>74</v>
      </c>
      <c r="AH179" t="s">
        <v>74</v>
      </c>
      <c r="AI179" t="s">
        <v>74</v>
      </c>
      <c r="AJ179" t="s">
        <v>74</v>
      </c>
      <c r="AK179" t="s">
        <v>74</v>
      </c>
      <c r="AL179" t="s">
        <v>74</v>
      </c>
      <c r="AM179" t="s">
        <v>74</v>
      </c>
      <c r="AN179" t="s">
        <v>74</v>
      </c>
      <c r="AO179" t="s">
        <v>425</v>
      </c>
      <c r="AP179" t="s">
        <v>426</v>
      </c>
      <c r="AQ179" t="s">
        <v>74</v>
      </c>
      <c r="AR179" t="s">
        <v>74</v>
      </c>
      <c r="AS179" t="s">
        <v>74</v>
      </c>
      <c r="AT179" t="s">
        <v>416</v>
      </c>
      <c r="AU179">
        <v>2022</v>
      </c>
      <c r="AV179">
        <v>67</v>
      </c>
      <c r="AW179">
        <v>2</v>
      </c>
      <c r="AX179" t="s">
        <v>74</v>
      </c>
      <c r="AY179" t="s">
        <v>74</v>
      </c>
      <c r="AZ179" t="s">
        <v>74</v>
      </c>
      <c r="BA179" t="s">
        <v>74</v>
      </c>
      <c r="BB179">
        <v>353</v>
      </c>
      <c r="BC179">
        <v>364</v>
      </c>
      <c r="BD179" t="s">
        <v>74</v>
      </c>
      <c r="BE179" t="s">
        <v>1501</v>
      </c>
      <c r="BF179" t="str">
        <f>HYPERLINK("http://dx.doi.org/10.1111/fwb.13845","http://dx.doi.org/10.1111/fwb.13845")</f>
        <v>http://dx.doi.org/10.1111/fwb.13845</v>
      </c>
      <c r="BG179" t="s">
        <v>74</v>
      </c>
      <c r="BH179" t="s">
        <v>1496</v>
      </c>
      <c r="BI179" t="s">
        <v>74</v>
      </c>
      <c r="BJ179" t="s">
        <v>74</v>
      </c>
      <c r="BK179" t="s">
        <v>74</v>
      </c>
      <c r="BL179" t="s">
        <v>74</v>
      </c>
      <c r="BM179" t="s">
        <v>74</v>
      </c>
      <c r="BN179" t="s">
        <v>74</v>
      </c>
      <c r="BO179" t="s">
        <v>74</v>
      </c>
      <c r="BP179" t="s">
        <v>74</v>
      </c>
      <c r="BQ179" t="s">
        <v>74</v>
      </c>
      <c r="BR179" t="s">
        <v>74</v>
      </c>
      <c r="BS179" t="s">
        <v>1502</v>
      </c>
      <c r="BT179" t="str">
        <f>HYPERLINK("https%3A%2F%2Fwww.webofscience.com%2Fwos%2Fwoscc%2Ffull-record%2FWOS:000719862300001","View Full Record in Web of Science")</f>
        <v>View Full Record in Web of Science</v>
      </c>
    </row>
    <row r="180" spans="1:72" x14ac:dyDescent="0.2">
      <c r="A180" t="s">
        <v>72</v>
      </c>
      <c r="B180" t="s">
        <v>1503</v>
      </c>
      <c r="C180" t="s">
        <v>74</v>
      </c>
      <c r="D180" t="s">
        <v>74</v>
      </c>
      <c r="E180" t="s">
        <v>74</v>
      </c>
      <c r="F180" t="s">
        <v>1504</v>
      </c>
      <c r="G180" t="s">
        <v>74</v>
      </c>
      <c r="H180" t="s">
        <v>74</v>
      </c>
      <c r="I180" t="s">
        <v>1505</v>
      </c>
      <c r="J180" t="s">
        <v>310</v>
      </c>
      <c r="K180" t="s">
        <v>74</v>
      </c>
      <c r="L180" t="s">
        <v>74</v>
      </c>
      <c r="M180" t="s">
        <v>74</v>
      </c>
      <c r="N180" t="s">
        <v>74</v>
      </c>
      <c r="O180" t="s">
        <v>74</v>
      </c>
      <c r="P180" t="s">
        <v>74</v>
      </c>
      <c r="Q180" t="s">
        <v>74</v>
      </c>
      <c r="R180" t="s">
        <v>74</v>
      </c>
      <c r="S180" t="s">
        <v>74</v>
      </c>
      <c r="T180" t="s">
        <v>74</v>
      </c>
      <c r="U180" t="s">
        <v>74</v>
      </c>
      <c r="V180" t="s">
        <v>74</v>
      </c>
      <c r="W180" t="s">
        <v>74</v>
      </c>
      <c r="X180" t="s">
        <v>74</v>
      </c>
      <c r="Y180" t="s">
        <v>74</v>
      </c>
      <c r="Z180" t="s">
        <v>74</v>
      </c>
      <c r="AA180" t="s">
        <v>1506</v>
      </c>
      <c r="AB180" t="s">
        <v>6858</v>
      </c>
      <c r="AC180" t="s">
        <v>74</v>
      </c>
      <c r="AD180" t="s">
        <v>74</v>
      </c>
      <c r="AE180" t="s">
        <v>74</v>
      </c>
      <c r="AF180" t="s">
        <v>74</v>
      </c>
      <c r="AG180" t="s">
        <v>74</v>
      </c>
      <c r="AH180" t="s">
        <v>74</v>
      </c>
      <c r="AI180" t="s">
        <v>74</v>
      </c>
      <c r="AJ180" t="s">
        <v>74</v>
      </c>
      <c r="AK180" t="s">
        <v>74</v>
      </c>
      <c r="AL180" t="s">
        <v>74</v>
      </c>
      <c r="AM180" t="s">
        <v>74</v>
      </c>
      <c r="AN180" t="s">
        <v>74</v>
      </c>
      <c r="AO180" t="s">
        <v>313</v>
      </c>
      <c r="AP180" t="s">
        <v>314</v>
      </c>
      <c r="AQ180" t="s">
        <v>74</v>
      </c>
      <c r="AR180" t="s">
        <v>74</v>
      </c>
      <c r="AS180" t="s">
        <v>74</v>
      </c>
      <c r="AT180" t="s">
        <v>416</v>
      </c>
      <c r="AU180">
        <v>2022</v>
      </c>
      <c r="AV180">
        <v>28</v>
      </c>
      <c r="AW180">
        <v>4</v>
      </c>
      <c r="AX180" t="s">
        <v>74</v>
      </c>
      <c r="AY180" t="s">
        <v>74</v>
      </c>
      <c r="AZ180" t="s">
        <v>74</v>
      </c>
      <c r="BA180" t="s">
        <v>74</v>
      </c>
      <c r="BB180">
        <v>1248</v>
      </c>
      <c r="BC180">
        <v>1267</v>
      </c>
      <c r="BD180" t="s">
        <v>74</v>
      </c>
      <c r="BE180" t="s">
        <v>1507</v>
      </c>
      <c r="BF180" t="str">
        <f>HYPERLINK("http://dx.doi.org/10.1111/gcb.15971","http://dx.doi.org/10.1111/gcb.15971")</f>
        <v>http://dx.doi.org/10.1111/gcb.15971</v>
      </c>
      <c r="BG180" t="s">
        <v>74</v>
      </c>
      <c r="BH180" t="s">
        <v>1496</v>
      </c>
      <c r="BI180" t="s">
        <v>74</v>
      </c>
      <c r="BJ180" t="s">
        <v>74</v>
      </c>
      <c r="BK180" t="s">
        <v>74</v>
      </c>
      <c r="BL180" t="s">
        <v>74</v>
      </c>
      <c r="BM180" t="s">
        <v>74</v>
      </c>
      <c r="BN180">
        <v>34735747</v>
      </c>
      <c r="BO180" t="s">
        <v>74</v>
      </c>
      <c r="BP180" t="s">
        <v>74</v>
      </c>
      <c r="BQ180" t="s">
        <v>74</v>
      </c>
      <c r="BR180" t="s">
        <v>74</v>
      </c>
      <c r="BS180" t="s">
        <v>1508</v>
      </c>
      <c r="BT180" t="str">
        <f>HYPERLINK("https%3A%2F%2Fwww.webofscience.com%2Fwos%2Fwoscc%2Ffull-record%2FWOS:000719064200001","View Full Record in Web of Science")</f>
        <v>View Full Record in Web of Science</v>
      </c>
    </row>
    <row r="181" spans="1:72" x14ac:dyDescent="0.2">
      <c r="A181" t="s">
        <v>72</v>
      </c>
      <c r="B181" t="s">
        <v>1509</v>
      </c>
      <c r="C181" t="s">
        <v>74</v>
      </c>
      <c r="D181" t="s">
        <v>74</v>
      </c>
      <c r="E181" t="s">
        <v>74</v>
      </c>
      <c r="F181" t="s">
        <v>1510</v>
      </c>
      <c r="G181" t="s">
        <v>74</v>
      </c>
      <c r="H181" t="s">
        <v>74</v>
      </c>
      <c r="I181" t="s">
        <v>1511</v>
      </c>
      <c r="J181" t="s">
        <v>350</v>
      </c>
      <c r="K181" t="s">
        <v>74</v>
      </c>
      <c r="L181" t="s">
        <v>74</v>
      </c>
      <c r="M181" t="s">
        <v>74</v>
      </c>
      <c r="N181" t="s">
        <v>74</v>
      </c>
      <c r="O181" t="s">
        <v>74</v>
      </c>
      <c r="P181" t="s">
        <v>74</v>
      </c>
      <c r="Q181" t="s">
        <v>74</v>
      </c>
      <c r="R181" t="s">
        <v>74</v>
      </c>
      <c r="S181" t="s">
        <v>74</v>
      </c>
      <c r="T181" t="s">
        <v>74</v>
      </c>
      <c r="U181" t="s">
        <v>74</v>
      </c>
      <c r="V181" t="s">
        <v>74</v>
      </c>
      <c r="W181" t="s">
        <v>74</v>
      </c>
      <c r="X181" t="s">
        <v>74</v>
      </c>
      <c r="Y181" t="s">
        <v>74</v>
      </c>
      <c r="Z181" t="s">
        <v>74</v>
      </c>
      <c r="AA181" t="s">
        <v>6859</v>
      </c>
      <c r="AB181" t="s">
        <v>6860</v>
      </c>
      <c r="AC181" t="s">
        <v>74</v>
      </c>
      <c r="AD181" t="s">
        <v>74</v>
      </c>
      <c r="AE181" t="s">
        <v>74</v>
      </c>
      <c r="AF181" t="s">
        <v>74</v>
      </c>
      <c r="AG181" t="s">
        <v>74</v>
      </c>
      <c r="AH181" t="s">
        <v>74</v>
      </c>
      <c r="AI181" t="s">
        <v>74</v>
      </c>
      <c r="AJ181" t="s">
        <v>74</v>
      </c>
      <c r="AK181" t="s">
        <v>74</v>
      </c>
      <c r="AL181" t="s">
        <v>74</v>
      </c>
      <c r="AM181" t="s">
        <v>74</v>
      </c>
      <c r="AN181" t="s">
        <v>74</v>
      </c>
      <c r="AO181" t="s">
        <v>352</v>
      </c>
      <c r="AP181" t="s">
        <v>353</v>
      </c>
      <c r="AQ181" t="s">
        <v>74</v>
      </c>
      <c r="AR181" t="s">
        <v>74</v>
      </c>
      <c r="AS181" t="s">
        <v>74</v>
      </c>
      <c r="AT181" t="s">
        <v>157</v>
      </c>
      <c r="AU181">
        <v>2022</v>
      </c>
      <c r="AV181">
        <v>29</v>
      </c>
      <c r="AW181">
        <v>13</v>
      </c>
      <c r="AX181" t="s">
        <v>74</v>
      </c>
      <c r="AY181" t="s">
        <v>74</v>
      </c>
      <c r="AZ181" t="s">
        <v>74</v>
      </c>
      <c r="BA181" t="s">
        <v>74</v>
      </c>
      <c r="BB181">
        <v>18653</v>
      </c>
      <c r="BC181">
        <v>18664</v>
      </c>
      <c r="BD181" t="s">
        <v>74</v>
      </c>
      <c r="BE181" t="s">
        <v>1512</v>
      </c>
      <c r="BF181" t="str">
        <f>HYPERLINK("http://dx.doi.org/10.1007/s11356-021-16994-6","http://dx.doi.org/10.1007/s11356-021-16994-6")</f>
        <v>http://dx.doi.org/10.1007/s11356-021-16994-6</v>
      </c>
      <c r="BG181" t="s">
        <v>74</v>
      </c>
      <c r="BH181" t="s">
        <v>1513</v>
      </c>
      <c r="BI181" t="s">
        <v>74</v>
      </c>
      <c r="BJ181" t="s">
        <v>74</v>
      </c>
      <c r="BK181" t="s">
        <v>74</v>
      </c>
      <c r="BL181" t="s">
        <v>74</v>
      </c>
      <c r="BM181" t="s">
        <v>74</v>
      </c>
      <c r="BN181">
        <v>34697712</v>
      </c>
      <c r="BO181" t="s">
        <v>74</v>
      </c>
      <c r="BP181" t="s">
        <v>74</v>
      </c>
      <c r="BQ181" t="s">
        <v>74</v>
      </c>
      <c r="BR181" t="s">
        <v>74</v>
      </c>
      <c r="BS181" t="s">
        <v>1514</v>
      </c>
      <c r="BT181" t="str">
        <f>HYPERLINK("https%3A%2F%2Fwww.webofscience.com%2Fwos%2Fwoscc%2Ffull-record%2FWOS:000710859800009","View Full Record in Web of Science")</f>
        <v>View Full Record in Web of Science</v>
      </c>
    </row>
    <row r="182" spans="1:72" x14ac:dyDescent="0.2">
      <c r="A182" t="s">
        <v>72</v>
      </c>
      <c r="B182" t="s">
        <v>1515</v>
      </c>
      <c r="C182" t="s">
        <v>74</v>
      </c>
      <c r="D182" t="s">
        <v>74</v>
      </c>
      <c r="E182" t="s">
        <v>74</v>
      </c>
      <c r="F182" t="s">
        <v>1516</v>
      </c>
      <c r="G182" t="s">
        <v>74</v>
      </c>
      <c r="H182" t="s">
        <v>74</v>
      </c>
      <c r="I182" t="s">
        <v>1517</v>
      </c>
      <c r="J182" t="s">
        <v>423</v>
      </c>
      <c r="K182" t="s">
        <v>74</v>
      </c>
      <c r="L182" t="s">
        <v>74</v>
      </c>
      <c r="M182" t="s">
        <v>74</v>
      </c>
      <c r="N182" t="s">
        <v>74</v>
      </c>
      <c r="O182" t="s">
        <v>74</v>
      </c>
      <c r="P182" t="s">
        <v>74</v>
      </c>
      <c r="Q182" t="s">
        <v>74</v>
      </c>
      <c r="R182" t="s">
        <v>74</v>
      </c>
      <c r="S182" t="s">
        <v>74</v>
      </c>
      <c r="T182" t="s">
        <v>74</v>
      </c>
      <c r="U182" t="s">
        <v>74</v>
      </c>
      <c r="V182" t="s">
        <v>74</v>
      </c>
      <c r="W182" t="s">
        <v>74</v>
      </c>
      <c r="X182" t="s">
        <v>74</v>
      </c>
      <c r="Y182" t="s">
        <v>74</v>
      </c>
      <c r="Z182" t="s">
        <v>74</v>
      </c>
      <c r="AA182" t="s">
        <v>6861</v>
      </c>
      <c r="AB182" t="s">
        <v>6862</v>
      </c>
      <c r="AC182" t="s">
        <v>74</v>
      </c>
      <c r="AD182" t="s">
        <v>74</v>
      </c>
      <c r="AE182" t="s">
        <v>74</v>
      </c>
      <c r="AF182" t="s">
        <v>74</v>
      </c>
      <c r="AG182" t="s">
        <v>74</v>
      </c>
      <c r="AH182" t="s">
        <v>74</v>
      </c>
      <c r="AI182" t="s">
        <v>74</v>
      </c>
      <c r="AJ182" t="s">
        <v>74</v>
      </c>
      <c r="AK182" t="s">
        <v>74</v>
      </c>
      <c r="AL182" t="s">
        <v>74</v>
      </c>
      <c r="AM182" t="s">
        <v>74</v>
      </c>
      <c r="AN182" t="s">
        <v>74</v>
      </c>
      <c r="AO182" t="s">
        <v>425</v>
      </c>
      <c r="AP182" t="s">
        <v>426</v>
      </c>
      <c r="AQ182" t="s">
        <v>74</v>
      </c>
      <c r="AR182" t="s">
        <v>74</v>
      </c>
      <c r="AS182" t="s">
        <v>74</v>
      </c>
      <c r="AT182" t="s">
        <v>82</v>
      </c>
      <c r="AU182">
        <v>2021</v>
      </c>
      <c r="AV182">
        <v>66</v>
      </c>
      <c r="AW182">
        <v>12</v>
      </c>
      <c r="AX182" t="s">
        <v>74</v>
      </c>
      <c r="AY182" t="s">
        <v>74</v>
      </c>
      <c r="AZ182" t="s">
        <v>74</v>
      </c>
      <c r="BA182" t="s">
        <v>74</v>
      </c>
      <c r="BB182">
        <v>2322</v>
      </c>
      <c r="BC182">
        <v>2337</v>
      </c>
      <c r="BD182" t="s">
        <v>74</v>
      </c>
      <c r="BE182" t="s">
        <v>1518</v>
      </c>
      <c r="BF182" t="str">
        <f>HYPERLINK("http://dx.doi.org/10.1111/fwb.13835","http://dx.doi.org/10.1111/fwb.13835")</f>
        <v>http://dx.doi.org/10.1111/fwb.13835</v>
      </c>
      <c r="BG182" t="s">
        <v>74</v>
      </c>
      <c r="BH182" t="s">
        <v>1513</v>
      </c>
      <c r="BI182" t="s">
        <v>74</v>
      </c>
      <c r="BJ182" t="s">
        <v>74</v>
      </c>
      <c r="BK182" t="s">
        <v>74</v>
      </c>
      <c r="BL182" t="s">
        <v>74</v>
      </c>
      <c r="BM182" t="s">
        <v>74</v>
      </c>
      <c r="BN182" t="s">
        <v>74</v>
      </c>
      <c r="BO182" t="s">
        <v>74</v>
      </c>
      <c r="BP182" t="s">
        <v>74</v>
      </c>
      <c r="BQ182" t="s">
        <v>74</v>
      </c>
      <c r="BR182" t="s">
        <v>74</v>
      </c>
      <c r="BS182" t="s">
        <v>1519</v>
      </c>
      <c r="BT182" t="str">
        <f>HYPERLINK("https%3A%2F%2Fwww.webofscience.com%2Fwos%2Fwoscc%2Ffull-record%2FWOS:000706416100001","View Full Record in Web of Science")</f>
        <v>View Full Record in Web of Science</v>
      </c>
    </row>
    <row r="183" spans="1:72" x14ac:dyDescent="0.2">
      <c r="A183" t="s">
        <v>72</v>
      </c>
      <c r="B183" t="s">
        <v>1520</v>
      </c>
      <c r="C183" t="s">
        <v>74</v>
      </c>
      <c r="D183" t="s">
        <v>74</v>
      </c>
      <c r="E183" t="s">
        <v>74</v>
      </c>
      <c r="F183" t="s">
        <v>1521</v>
      </c>
      <c r="G183" t="s">
        <v>74</v>
      </c>
      <c r="H183" t="s">
        <v>74</v>
      </c>
      <c r="I183" t="s">
        <v>1522</v>
      </c>
      <c r="J183" t="s">
        <v>1523</v>
      </c>
      <c r="K183" t="s">
        <v>74</v>
      </c>
      <c r="L183" t="s">
        <v>74</v>
      </c>
      <c r="M183" t="s">
        <v>74</v>
      </c>
      <c r="N183" t="s">
        <v>74</v>
      </c>
      <c r="O183" t="s">
        <v>74</v>
      </c>
      <c r="P183" t="s">
        <v>74</v>
      </c>
      <c r="Q183" t="s">
        <v>74</v>
      </c>
      <c r="R183" t="s">
        <v>74</v>
      </c>
      <c r="S183" t="s">
        <v>74</v>
      </c>
      <c r="T183" t="s">
        <v>74</v>
      </c>
      <c r="U183" t="s">
        <v>74</v>
      </c>
      <c r="V183" t="s">
        <v>74</v>
      </c>
      <c r="W183" t="s">
        <v>74</v>
      </c>
      <c r="X183" t="s">
        <v>74</v>
      </c>
      <c r="Y183" t="s">
        <v>74</v>
      </c>
      <c r="Z183" t="s">
        <v>74</v>
      </c>
      <c r="AA183" t="s">
        <v>74</v>
      </c>
      <c r="AB183" t="s">
        <v>74</v>
      </c>
      <c r="AC183" t="s">
        <v>74</v>
      </c>
      <c r="AD183" t="s">
        <v>74</v>
      </c>
      <c r="AE183" t="s">
        <v>74</v>
      </c>
      <c r="AF183" t="s">
        <v>74</v>
      </c>
      <c r="AG183" t="s">
        <v>74</v>
      </c>
      <c r="AH183" t="s">
        <v>74</v>
      </c>
      <c r="AI183" t="s">
        <v>74</v>
      </c>
      <c r="AJ183" t="s">
        <v>74</v>
      </c>
      <c r="AK183" t="s">
        <v>74</v>
      </c>
      <c r="AL183" t="s">
        <v>74</v>
      </c>
      <c r="AM183" t="s">
        <v>74</v>
      </c>
      <c r="AN183" t="s">
        <v>74</v>
      </c>
      <c r="AO183" t="s">
        <v>1524</v>
      </c>
      <c r="AP183" t="s">
        <v>1525</v>
      </c>
      <c r="AQ183" t="s">
        <v>74</v>
      </c>
      <c r="AR183" t="s">
        <v>74</v>
      </c>
      <c r="AS183" t="s">
        <v>74</v>
      </c>
      <c r="AT183" t="s">
        <v>82</v>
      </c>
      <c r="AU183">
        <v>2021</v>
      </c>
      <c r="AV183">
        <v>102</v>
      </c>
      <c r="AW183">
        <v>12</v>
      </c>
      <c r="AX183" t="s">
        <v>74</v>
      </c>
      <c r="AY183" t="s">
        <v>74</v>
      </c>
      <c r="AZ183" t="s">
        <v>74</v>
      </c>
      <c r="BA183" t="s">
        <v>74</v>
      </c>
      <c r="BB183" t="s">
        <v>74</v>
      </c>
      <c r="BC183" t="s">
        <v>74</v>
      </c>
      <c r="BD183" t="s">
        <v>1526</v>
      </c>
      <c r="BE183" t="s">
        <v>1527</v>
      </c>
      <c r="BF183" t="str">
        <f>HYPERLINK("http://dx.doi.org/10.1002/ecy.3533","http://dx.doi.org/10.1002/ecy.3533")</f>
        <v>http://dx.doi.org/10.1002/ecy.3533</v>
      </c>
      <c r="BG183" t="s">
        <v>74</v>
      </c>
      <c r="BH183" t="s">
        <v>1513</v>
      </c>
      <c r="BI183" t="s">
        <v>74</v>
      </c>
      <c r="BJ183" t="s">
        <v>74</v>
      </c>
      <c r="BK183" t="s">
        <v>74</v>
      </c>
      <c r="BL183" t="s">
        <v>74</v>
      </c>
      <c r="BM183" t="s">
        <v>74</v>
      </c>
      <c r="BN183">
        <v>34496056</v>
      </c>
      <c r="BO183" t="s">
        <v>74</v>
      </c>
      <c r="BP183" t="s">
        <v>74</v>
      </c>
      <c r="BQ183" t="s">
        <v>74</v>
      </c>
      <c r="BR183" t="s">
        <v>74</v>
      </c>
      <c r="BS183" t="s">
        <v>1528</v>
      </c>
      <c r="BT183" t="str">
        <f>HYPERLINK("https%3A%2F%2Fwww.webofscience.com%2Fwos%2Fwoscc%2Ffull-record%2FWOS:000705989700001","View Full Record in Web of Science")</f>
        <v>View Full Record in Web of Science</v>
      </c>
    </row>
    <row r="184" spans="1:72" x14ac:dyDescent="0.2">
      <c r="A184" t="s">
        <v>72</v>
      </c>
      <c r="B184" t="s">
        <v>1529</v>
      </c>
      <c r="C184" t="s">
        <v>74</v>
      </c>
      <c r="D184" t="s">
        <v>74</v>
      </c>
      <c r="E184" t="s">
        <v>74</v>
      </c>
      <c r="F184" t="s">
        <v>1530</v>
      </c>
      <c r="G184" t="s">
        <v>74</v>
      </c>
      <c r="H184" t="s">
        <v>74</v>
      </c>
      <c r="I184" t="s">
        <v>1531</v>
      </c>
      <c r="J184" t="s">
        <v>1532</v>
      </c>
      <c r="K184" t="s">
        <v>74</v>
      </c>
      <c r="L184" t="s">
        <v>74</v>
      </c>
      <c r="M184" t="s">
        <v>74</v>
      </c>
      <c r="N184" t="s">
        <v>74</v>
      </c>
      <c r="O184" t="s">
        <v>74</v>
      </c>
      <c r="P184" t="s">
        <v>74</v>
      </c>
      <c r="Q184" t="s">
        <v>74</v>
      </c>
      <c r="R184" t="s">
        <v>74</v>
      </c>
      <c r="S184" t="s">
        <v>74</v>
      </c>
      <c r="T184" t="s">
        <v>74</v>
      </c>
      <c r="U184" t="s">
        <v>74</v>
      </c>
      <c r="V184" t="s">
        <v>74</v>
      </c>
      <c r="W184" t="s">
        <v>74</v>
      </c>
      <c r="X184" t="s">
        <v>74</v>
      </c>
      <c r="Y184" t="s">
        <v>74</v>
      </c>
      <c r="Z184" t="s">
        <v>74</v>
      </c>
      <c r="AA184" t="s">
        <v>1533</v>
      </c>
      <c r="AB184" t="s">
        <v>1534</v>
      </c>
      <c r="AC184" t="s">
        <v>74</v>
      </c>
      <c r="AD184" t="s">
        <v>74</v>
      </c>
      <c r="AE184" t="s">
        <v>74</v>
      </c>
      <c r="AF184" t="s">
        <v>74</v>
      </c>
      <c r="AG184" t="s">
        <v>74</v>
      </c>
      <c r="AH184" t="s">
        <v>74</v>
      </c>
      <c r="AI184" t="s">
        <v>74</v>
      </c>
      <c r="AJ184" t="s">
        <v>74</v>
      </c>
      <c r="AK184" t="s">
        <v>74</v>
      </c>
      <c r="AL184" t="s">
        <v>74</v>
      </c>
      <c r="AM184" t="s">
        <v>74</v>
      </c>
      <c r="AN184" t="s">
        <v>74</v>
      </c>
      <c r="AO184" t="s">
        <v>1535</v>
      </c>
      <c r="AP184" t="s">
        <v>1536</v>
      </c>
      <c r="AQ184" t="s">
        <v>74</v>
      </c>
      <c r="AR184" t="s">
        <v>74</v>
      </c>
      <c r="AS184" t="s">
        <v>74</v>
      </c>
      <c r="AT184" t="s">
        <v>335</v>
      </c>
      <c r="AU184">
        <v>2021</v>
      </c>
      <c r="AV184">
        <v>106</v>
      </c>
      <c r="AW184" t="s">
        <v>1537</v>
      </c>
      <c r="AX184" t="s">
        <v>74</v>
      </c>
      <c r="AY184" t="s">
        <v>74</v>
      </c>
      <c r="AZ184" t="s">
        <v>74</v>
      </c>
      <c r="BA184" t="s">
        <v>74</v>
      </c>
      <c r="BB184">
        <v>226</v>
      </c>
      <c r="BC184">
        <v>238</v>
      </c>
      <c r="BD184" t="s">
        <v>74</v>
      </c>
      <c r="BE184" t="s">
        <v>1538</v>
      </c>
      <c r="BF184" t="str">
        <f>HYPERLINK("http://dx.doi.org/10.1002/iroh.202102105","http://dx.doi.org/10.1002/iroh.202102105")</f>
        <v>http://dx.doi.org/10.1002/iroh.202102105</v>
      </c>
      <c r="BG184" t="s">
        <v>74</v>
      </c>
      <c r="BH184" t="s">
        <v>1513</v>
      </c>
      <c r="BI184" t="s">
        <v>74</v>
      </c>
      <c r="BJ184" t="s">
        <v>74</v>
      </c>
      <c r="BK184" t="s">
        <v>74</v>
      </c>
      <c r="BL184" t="s">
        <v>74</v>
      </c>
      <c r="BM184" t="s">
        <v>74</v>
      </c>
      <c r="BN184" t="s">
        <v>74</v>
      </c>
      <c r="BO184" t="s">
        <v>74</v>
      </c>
      <c r="BP184" t="s">
        <v>74</v>
      </c>
      <c r="BQ184" t="s">
        <v>74</v>
      </c>
      <c r="BR184" t="s">
        <v>74</v>
      </c>
      <c r="BS184" t="s">
        <v>1539</v>
      </c>
      <c r="BT184" t="str">
        <f>HYPERLINK("https%3A%2F%2Fwww.webofscience.com%2Fwos%2Fwoscc%2Ffull-record%2FWOS:000703186600001","View Full Record in Web of Science")</f>
        <v>View Full Record in Web of Science</v>
      </c>
    </row>
    <row r="185" spans="1:72" x14ac:dyDescent="0.2">
      <c r="A185" t="s">
        <v>72</v>
      </c>
      <c r="B185" t="s">
        <v>1540</v>
      </c>
      <c r="C185" t="s">
        <v>74</v>
      </c>
      <c r="D185" t="s">
        <v>74</v>
      </c>
      <c r="E185" t="s">
        <v>74</v>
      </c>
      <c r="F185" t="s">
        <v>1541</v>
      </c>
      <c r="G185" t="s">
        <v>74</v>
      </c>
      <c r="H185" t="s">
        <v>74</v>
      </c>
      <c r="I185" t="s">
        <v>1542</v>
      </c>
      <c r="J185" t="s">
        <v>1543</v>
      </c>
      <c r="K185" t="s">
        <v>74</v>
      </c>
      <c r="L185" t="s">
        <v>74</v>
      </c>
      <c r="M185" t="s">
        <v>74</v>
      </c>
      <c r="N185" t="s">
        <v>74</v>
      </c>
      <c r="O185" t="s">
        <v>74</v>
      </c>
      <c r="P185" t="s">
        <v>74</v>
      </c>
      <c r="Q185" t="s">
        <v>74</v>
      </c>
      <c r="R185" t="s">
        <v>74</v>
      </c>
      <c r="S185" t="s">
        <v>74</v>
      </c>
      <c r="T185" t="s">
        <v>74</v>
      </c>
      <c r="U185" t="s">
        <v>74</v>
      </c>
      <c r="V185" t="s">
        <v>74</v>
      </c>
      <c r="W185" t="s">
        <v>74</v>
      </c>
      <c r="X185" t="s">
        <v>74</v>
      </c>
      <c r="Y185" t="s">
        <v>74</v>
      </c>
      <c r="Z185" t="s">
        <v>74</v>
      </c>
      <c r="AA185" t="s">
        <v>74</v>
      </c>
      <c r="AB185" t="s">
        <v>1544</v>
      </c>
      <c r="AC185" t="s">
        <v>74</v>
      </c>
      <c r="AD185" t="s">
        <v>74</v>
      </c>
      <c r="AE185" t="s">
        <v>74</v>
      </c>
      <c r="AF185" t="s">
        <v>74</v>
      </c>
      <c r="AG185" t="s">
        <v>74</v>
      </c>
      <c r="AH185" t="s">
        <v>74</v>
      </c>
      <c r="AI185" t="s">
        <v>74</v>
      </c>
      <c r="AJ185" t="s">
        <v>74</v>
      </c>
      <c r="AK185" t="s">
        <v>74</v>
      </c>
      <c r="AL185" t="s">
        <v>74</v>
      </c>
      <c r="AM185" t="s">
        <v>74</v>
      </c>
      <c r="AN185" t="s">
        <v>74</v>
      </c>
      <c r="AO185" t="s">
        <v>1545</v>
      </c>
      <c r="AP185" t="s">
        <v>1546</v>
      </c>
      <c r="AQ185" t="s">
        <v>74</v>
      </c>
      <c r="AR185" t="s">
        <v>74</v>
      </c>
      <c r="AS185" t="s">
        <v>74</v>
      </c>
      <c r="AT185" t="s">
        <v>1547</v>
      </c>
      <c r="AU185">
        <v>2021</v>
      </c>
      <c r="AV185">
        <v>11</v>
      </c>
      <c r="AW185">
        <v>4</v>
      </c>
      <c r="AX185" t="s">
        <v>74</v>
      </c>
      <c r="AY185" t="s">
        <v>74</v>
      </c>
      <c r="AZ185" t="s">
        <v>632</v>
      </c>
      <c r="BA185" t="s">
        <v>74</v>
      </c>
      <c r="BB185">
        <v>508</v>
      </c>
      <c r="BC185">
        <v>521</v>
      </c>
      <c r="BD185" t="s">
        <v>74</v>
      </c>
      <c r="BE185" t="s">
        <v>1548</v>
      </c>
      <c r="BF185" t="str">
        <f>HYPERLINK("http://dx.doi.org/10.1080/20442041.2021.1935612","http://dx.doi.org/10.1080/20442041.2021.1935612")</f>
        <v>http://dx.doi.org/10.1080/20442041.2021.1935612</v>
      </c>
      <c r="BG185" t="s">
        <v>74</v>
      </c>
      <c r="BH185" t="s">
        <v>1549</v>
      </c>
      <c r="BI185" t="s">
        <v>74</v>
      </c>
      <c r="BJ185" t="s">
        <v>74</v>
      </c>
      <c r="BK185" t="s">
        <v>74</v>
      </c>
      <c r="BL185" t="s">
        <v>74</v>
      </c>
      <c r="BM185" t="s">
        <v>74</v>
      </c>
      <c r="BN185" t="s">
        <v>74</v>
      </c>
      <c r="BO185" t="s">
        <v>74</v>
      </c>
      <c r="BP185" t="s">
        <v>74</v>
      </c>
      <c r="BQ185" t="s">
        <v>74</v>
      </c>
      <c r="BR185" t="s">
        <v>74</v>
      </c>
      <c r="BS185" t="s">
        <v>1550</v>
      </c>
      <c r="BT185" t="str">
        <f>HYPERLINK("https%3A%2F%2Fwww.webofscience.com%2Fwos%2Fwoscc%2Ffull-record%2FWOS:000698285100001","View Full Record in Web of Science")</f>
        <v>View Full Record in Web of Science</v>
      </c>
    </row>
    <row r="186" spans="1:72" x14ac:dyDescent="0.2">
      <c r="A186" t="s">
        <v>72</v>
      </c>
      <c r="B186" t="s">
        <v>1551</v>
      </c>
      <c r="C186" t="s">
        <v>74</v>
      </c>
      <c r="D186" t="s">
        <v>74</v>
      </c>
      <c r="E186" t="s">
        <v>74</v>
      </c>
      <c r="F186" t="s">
        <v>1552</v>
      </c>
      <c r="G186" t="s">
        <v>74</v>
      </c>
      <c r="H186" t="s">
        <v>74</v>
      </c>
      <c r="I186" t="s">
        <v>1553</v>
      </c>
      <c r="J186" t="s">
        <v>1554</v>
      </c>
      <c r="K186" t="s">
        <v>74</v>
      </c>
      <c r="L186" t="s">
        <v>74</v>
      </c>
      <c r="M186" t="s">
        <v>74</v>
      </c>
      <c r="N186" t="s">
        <v>74</v>
      </c>
      <c r="O186" t="s">
        <v>74</v>
      </c>
      <c r="P186" t="s">
        <v>74</v>
      </c>
      <c r="Q186" t="s">
        <v>74</v>
      </c>
      <c r="R186" t="s">
        <v>74</v>
      </c>
      <c r="S186" t="s">
        <v>74</v>
      </c>
      <c r="T186" t="s">
        <v>74</v>
      </c>
      <c r="U186" t="s">
        <v>74</v>
      </c>
      <c r="V186" t="s">
        <v>74</v>
      </c>
      <c r="W186" t="s">
        <v>74</v>
      </c>
      <c r="X186" t="s">
        <v>74</v>
      </c>
      <c r="Y186" t="s">
        <v>74</v>
      </c>
      <c r="Z186" t="s">
        <v>74</v>
      </c>
      <c r="AA186" t="s">
        <v>6863</v>
      </c>
      <c r="AB186" t="s">
        <v>6864</v>
      </c>
      <c r="AC186" t="s">
        <v>74</v>
      </c>
      <c r="AD186" t="s">
        <v>74</v>
      </c>
      <c r="AE186" t="s">
        <v>74</v>
      </c>
      <c r="AF186" t="s">
        <v>74</v>
      </c>
      <c r="AG186" t="s">
        <v>74</v>
      </c>
      <c r="AH186" t="s">
        <v>74</v>
      </c>
      <c r="AI186" t="s">
        <v>74</v>
      </c>
      <c r="AJ186" t="s">
        <v>74</v>
      </c>
      <c r="AK186" t="s">
        <v>74</v>
      </c>
      <c r="AL186" t="s">
        <v>74</v>
      </c>
      <c r="AM186" t="s">
        <v>74</v>
      </c>
      <c r="AN186" t="s">
        <v>74</v>
      </c>
      <c r="AO186" t="s">
        <v>1555</v>
      </c>
      <c r="AP186" t="s">
        <v>1556</v>
      </c>
      <c r="AQ186" t="s">
        <v>74</v>
      </c>
      <c r="AR186" t="s">
        <v>74</v>
      </c>
      <c r="AS186" t="s">
        <v>74</v>
      </c>
      <c r="AT186" t="s">
        <v>203</v>
      </c>
      <c r="AU186">
        <v>2022</v>
      </c>
      <c r="AV186">
        <v>47</v>
      </c>
      <c r="AW186">
        <v>2</v>
      </c>
      <c r="AX186" t="s">
        <v>74</v>
      </c>
      <c r="AY186" t="s">
        <v>74</v>
      </c>
      <c r="AZ186" t="s">
        <v>74</v>
      </c>
      <c r="BA186" t="s">
        <v>74</v>
      </c>
      <c r="BB186">
        <v>291</v>
      </c>
      <c r="BC186">
        <v>305</v>
      </c>
      <c r="BD186" t="s">
        <v>74</v>
      </c>
      <c r="BE186" t="s">
        <v>1557</v>
      </c>
      <c r="BF186" t="str">
        <f>HYPERLINK("http://dx.doi.org/10.1111/aec.13110","http://dx.doi.org/10.1111/aec.13110")</f>
        <v>http://dx.doi.org/10.1111/aec.13110</v>
      </c>
      <c r="BG186" t="s">
        <v>74</v>
      </c>
      <c r="BH186" t="s">
        <v>1549</v>
      </c>
      <c r="BI186" t="s">
        <v>74</v>
      </c>
      <c r="BJ186" t="s">
        <v>74</v>
      </c>
      <c r="BK186" t="s">
        <v>74</v>
      </c>
      <c r="BL186" t="s">
        <v>74</v>
      </c>
      <c r="BM186" t="s">
        <v>74</v>
      </c>
      <c r="BN186" t="s">
        <v>74</v>
      </c>
      <c r="BO186" t="s">
        <v>74</v>
      </c>
      <c r="BP186" t="s">
        <v>74</v>
      </c>
      <c r="BQ186" t="s">
        <v>74</v>
      </c>
      <c r="BR186" t="s">
        <v>74</v>
      </c>
      <c r="BS186" t="s">
        <v>1558</v>
      </c>
      <c r="BT186" t="str">
        <f>HYPERLINK("https%3A%2F%2Fwww.webofscience.com%2Fwos%2Fwoscc%2Ffull-record%2FWOS:000695558200001","View Full Record in Web of Science")</f>
        <v>View Full Record in Web of Science</v>
      </c>
    </row>
    <row r="187" spans="1:72" x14ac:dyDescent="0.2">
      <c r="A187" t="s">
        <v>72</v>
      </c>
      <c r="B187" t="s">
        <v>1559</v>
      </c>
      <c r="C187" t="s">
        <v>74</v>
      </c>
      <c r="D187" t="s">
        <v>74</v>
      </c>
      <c r="E187" t="s">
        <v>74</v>
      </c>
      <c r="F187" t="s">
        <v>1560</v>
      </c>
      <c r="G187" t="s">
        <v>74</v>
      </c>
      <c r="H187" t="s">
        <v>74</v>
      </c>
      <c r="I187" t="s">
        <v>1561</v>
      </c>
      <c r="J187" t="s">
        <v>423</v>
      </c>
      <c r="K187" t="s">
        <v>74</v>
      </c>
      <c r="L187" t="s">
        <v>74</v>
      </c>
      <c r="M187" t="s">
        <v>74</v>
      </c>
      <c r="N187" t="s">
        <v>74</v>
      </c>
      <c r="O187" t="s">
        <v>74</v>
      </c>
      <c r="P187" t="s">
        <v>74</v>
      </c>
      <c r="Q187" t="s">
        <v>74</v>
      </c>
      <c r="R187" t="s">
        <v>74</v>
      </c>
      <c r="S187" t="s">
        <v>74</v>
      </c>
      <c r="T187" t="s">
        <v>74</v>
      </c>
      <c r="U187" t="s">
        <v>74</v>
      </c>
      <c r="V187" t="s">
        <v>74</v>
      </c>
      <c r="W187" t="s">
        <v>74</v>
      </c>
      <c r="X187" t="s">
        <v>74</v>
      </c>
      <c r="Y187" t="s">
        <v>74</v>
      </c>
      <c r="Z187" t="s">
        <v>74</v>
      </c>
      <c r="AA187" t="s">
        <v>1562</v>
      </c>
      <c r="AB187" t="s">
        <v>1563</v>
      </c>
      <c r="AC187" t="s">
        <v>74</v>
      </c>
      <c r="AD187" t="s">
        <v>74</v>
      </c>
      <c r="AE187" t="s">
        <v>74</v>
      </c>
      <c r="AF187" t="s">
        <v>74</v>
      </c>
      <c r="AG187" t="s">
        <v>74</v>
      </c>
      <c r="AH187" t="s">
        <v>74</v>
      </c>
      <c r="AI187" t="s">
        <v>74</v>
      </c>
      <c r="AJ187" t="s">
        <v>74</v>
      </c>
      <c r="AK187" t="s">
        <v>74</v>
      </c>
      <c r="AL187" t="s">
        <v>74</v>
      </c>
      <c r="AM187" t="s">
        <v>74</v>
      </c>
      <c r="AN187" t="s">
        <v>74</v>
      </c>
      <c r="AO187" t="s">
        <v>425</v>
      </c>
      <c r="AP187" t="s">
        <v>426</v>
      </c>
      <c r="AQ187" t="s">
        <v>74</v>
      </c>
      <c r="AR187" t="s">
        <v>74</v>
      </c>
      <c r="AS187" t="s">
        <v>74</v>
      </c>
      <c r="AT187" t="s">
        <v>335</v>
      </c>
      <c r="AU187">
        <v>2021</v>
      </c>
      <c r="AV187">
        <v>66</v>
      </c>
      <c r="AW187">
        <v>11</v>
      </c>
      <c r="AX187" t="s">
        <v>74</v>
      </c>
      <c r="AY187" t="s">
        <v>74</v>
      </c>
      <c r="AZ187" t="s">
        <v>74</v>
      </c>
      <c r="BA187" t="s">
        <v>74</v>
      </c>
      <c r="BB187">
        <v>2145</v>
      </c>
      <c r="BC187">
        <v>2157</v>
      </c>
      <c r="BD187" t="s">
        <v>74</v>
      </c>
      <c r="BE187" t="s">
        <v>1564</v>
      </c>
      <c r="BF187" t="str">
        <f>HYPERLINK("http://dx.doi.org/10.1111/fwb.13822","http://dx.doi.org/10.1111/fwb.13822")</f>
        <v>http://dx.doi.org/10.1111/fwb.13822</v>
      </c>
      <c r="BG187" t="s">
        <v>74</v>
      </c>
      <c r="BH187" t="s">
        <v>1549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 t="s">
        <v>74</v>
      </c>
      <c r="BR187" t="s">
        <v>74</v>
      </c>
      <c r="BS187" t="s">
        <v>1565</v>
      </c>
      <c r="BT187" t="str">
        <f>HYPERLINK("https%3A%2F%2Fwww.webofscience.com%2Fwos%2Fwoscc%2Ffull-record%2FWOS:000695725100001","View Full Record in Web of Science")</f>
        <v>View Full Record in Web of Science</v>
      </c>
    </row>
    <row r="188" spans="1:72" x14ac:dyDescent="0.2">
      <c r="A188" t="s">
        <v>72</v>
      </c>
      <c r="B188" t="s">
        <v>1566</v>
      </c>
      <c r="C188" t="s">
        <v>74</v>
      </c>
      <c r="D188" t="s">
        <v>74</v>
      </c>
      <c r="E188" t="s">
        <v>74</v>
      </c>
      <c r="F188" t="s">
        <v>1567</v>
      </c>
      <c r="G188" t="s">
        <v>74</v>
      </c>
      <c r="H188" t="s">
        <v>74</v>
      </c>
      <c r="I188" t="s">
        <v>1568</v>
      </c>
      <c r="J188" t="s">
        <v>1569</v>
      </c>
      <c r="K188" t="s">
        <v>74</v>
      </c>
      <c r="L188" t="s">
        <v>74</v>
      </c>
      <c r="M188" t="s">
        <v>74</v>
      </c>
      <c r="N188" t="s">
        <v>74</v>
      </c>
      <c r="O188" t="s">
        <v>74</v>
      </c>
      <c r="P188" t="s">
        <v>74</v>
      </c>
      <c r="Q188" t="s">
        <v>74</v>
      </c>
      <c r="R188" t="s">
        <v>74</v>
      </c>
      <c r="S188" t="s">
        <v>74</v>
      </c>
      <c r="T188" t="s">
        <v>74</v>
      </c>
      <c r="U188" t="s">
        <v>74</v>
      </c>
      <c r="V188" t="s">
        <v>74</v>
      </c>
      <c r="W188" t="s">
        <v>74</v>
      </c>
      <c r="X188" t="s">
        <v>74</v>
      </c>
      <c r="Y188" t="s">
        <v>74</v>
      </c>
      <c r="Z188" t="s">
        <v>74</v>
      </c>
      <c r="AA188" t="s">
        <v>1570</v>
      </c>
      <c r="AB188" t="s">
        <v>74</v>
      </c>
      <c r="AC188" t="s">
        <v>74</v>
      </c>
      <c r="AD188" t="s">
        <v>74</v>
      </c>
      <c r="AE188" t="s">
        <v>74</v>
      </c>
      <c r="AF188" t="s">
        <v>74</v>
      </c>
      <c r="AG188" t="s">
        <v>74</v>
      </c>
      <c r="AH188" t="s">
        <v>74</v>
      </c>
      <c r="AI188" t="s">
        <v>74</v>
      </c>
      <c r="AJ188" t="s">
        <v>74</v>
      </c>
      <c r="AK188" t="s">
        <v>74</v>
      </c>
      <c r="AL188" t="s">
        <v>74</v>
      </c>
      <c r="AM188" t="s">
        <v>74</v>
      </c>
      <c r="AN188" t="s">
        <v>74</v>
      </c>
      <c r="AO188" t="s">
        <v>1571</v>
      </c>
      <c r="AP188" t="s">
        <v>1572</v>
      </c>
      <c r="AQ188" t="s">
        <v>74</v>
      </c>
      <c r="AR188" t="s">
        <v>74</v>
      </c>
      <c r="AS188" t="s">
        <v>74</v>
      </c>
      <c r="AT188" t="s">
        <v>1573</v>
      </c>
      <c r="AU188">
        <v>2021</v>
      </c>
      <c r="AV188">
        <v>40</v>
      </c>
      <c r="AW188">
        <v>3</v>
      </c>
      <c r="AX188" t="s">
        <v>74</v>
      </c>
      <c r="AY188" t="s">
        <v>74</v>
      </c>
      <c r="AZ188" t="s">
        <v>74</v>
      </c>
      <c r="BA188" t="s">
        <v>74</v>
      </c>
      <c r="BB188">
        <v>463</v>
      </c>
      <c r="BC188">
        <v>477</v>
      </c>
      <c r="BD188" t="s">
        <v>74</v>
      </c>
      <c r="BE188" t="s">
        <v>1574</v>
      </c>
      <c r="BF188" t="str">
        <f>HYPERLINK("http://dx.doi.org/10.1086/716236","http://dx.doi.org/10.1086/716236")</f>
        <v>http://dx.doi.org/10.1086/716236</v>
      </c>
      <c r="BG188" t="s">
        <v>74</v>
      </c>
      <c r="BH188" t="s">
        <v>1549</v>
      </c>
      <c r="BI188" t="s">
        <v>74</v>
      </c>
      <c r="BJ188" t="s">
        <v>74</v>
      </c>
      <c r="BK188" t="s">
        <v>74</v>
      </c>
      <c r="BL188" t="s">
        <v>74</v>
      </c>
      <c r="BM188" t="s">
        <v>74</v>
      </c>
      <c r="BN188" t="s">
        <v>74</v>
      </c>
      <c r="BO188" t="s">
        <v>74</v>
      </c>
      <c r="BP188" t="s">
        <v>74</v>
      </c>
      <c r="BQ188" t="s">
        <v>74</v>
      </c>
      <c r="BR188" t="s">
        <v>74</v>
      </c>
      <c r="BS188" t="s">
        <v>1575</v>
      </c>
      <c r="BT188" t="str">
        <f>HYPERLINK("https%3A%2F%2Fwww.webofscience.com%2Fwos%2Fwoscc%2Ffull-record%2FWOS:000685515500001","View Full Record in Web of Science")</f>
        <v>View Full Record in Web of Science</v>
      </c>
    </row>
    <row r="189" spans="1:72" x14ac:dyDescent="0.2">
      <c r="A189" t="s">
        <v>72</v>
      </c>
      <c r="B189" t="s">
        <v>1576</v>
      </c>
      <c r="C189" t="s">
        <v>74</v>
      </c>
      <c r="D189" t="s">
        <v>74</v>
      </c>
      <c r="E189" t="s">
        <v>74</v>
      </c>
      <c r="F189" t="s">
        <v>1577</v>
      </c>
      <c r="G189" t="s">
        <v>74</v>
      </c>
      <c r="H189" t="s">
        <v>74</v>
      </c>
      <c r="I189" t="s">
        <v>1578</v>
      </c>
      <c r="J189" t="s">
        <v>1579</v>
      </c>
      <c r="K189" t="s">
        <v>74</v>
      </c>
      <c r="L189" t="s">
        <v>74</v>
      </c>
      <c r="M189" t="s">
        <v>74</v>
      </c>
      <c r="N189" t="s">
        <v>74</v>
      </c>
      <c r="O189" t="s">
        <v>74</v>
      </c>
      <c r="P189" t="s">
        <v>74</v>
      </c>
      <c r="Q189" t="s">
        <v>74</v>
      </c>
      <c r="R189" t="s">
        <v>74</v>
      </c>
      <c r="S189" t="s">
        <v>74</v>
      </c>
      <c r="T189" t="s">
        <v>74</v>
      </c>
      <c r="U189" t="s">
        <v>74</v>
      </c>
      <c r="V189" t="s">
        <v>74</v>
      </c>
      <c r="W189" t="s">
        <v>74</v>
      </c>
      <c r="X189" t="s">
        <v>74</v>
      </c>
      <c r="Y189" t="s">
        <v>74</v>
      </c>
      <c r="Z189" t="s">
        <v>74</v>
      </c>
      <c r="AA189" t="s">
        <v>74</v>
      </c>
      <c r="AB189" t="s">
        <v>1580</v>
      </c>
      <c r="AC189" t="s">
        <v>74</v>
      </c>
      <c r="AD189" t="s">
        <v>74</v>
      </c>
      <c r="AE189" t="s">
        <v>74</v>
      </c>
      <c r="AF189" t="s">
        <v>74</v>
      </c>
      <c r="AG189" t="s">
        <v>74</v>
      </c>
      <c r="AH189" t="s">
        <v>74</v>
      </c>
      <c r="AI189" t="s">
        <v>74</v>
      </c>
      <c r="AJ189" t="s">
        <v>74</v>
      </c>
      <c r="AK189" t="s">
        <v>74</v>
      </c>
      <c r="AL189" t="s">
        <v>74</v>
      </c>
      <c r="AM189" t="s">
        <v>74</v>
      </c>
      <c r="AN189" t="s">
        <v>74</v>
      </c>
      <c r="AO189" t="s">
        <v>1581</v>
      </c>
      <c r="AP189" t="s">
        <v>74</v>
      </c>
      <c r="AQ189" t="s">
        <v>74</v>
      </c>
      <c r="AR189" t="s">
        <v>74</v>
      </c>
      <c r="AS189" t="s">
        <v>74</v>
      </c>
      <c r="AT189" t="s">
        <v>1271</v>
      </c>
      <c r="AU189">
        <v>2021</v>
      </c>
      <c r="AV189">
        <v>12</v>
      </c>
      <c r="AW189" t="s">
        <v>74</v>
      </c>
      <c r="AX189" t="s">
        <v>74</v>
      </c>
      <c r="AY189" t="s">
        <v>74</v>
      </c>
      <c r="AZ189" t="s">
        <v>74</v>
      </c>
      <c r="BA189" t="s">
        <v>74</v>
      </c>
      <c r="BB189" t="s">
        <v>74</v>
      </c>
      <c r="BC189" t="s">
        <v>74</v>
      </c>
      <c r="BD189">
        <v>707541</v>
      </c>
      <c r="BE189" t="s">
        <v>1582</v>
      </c>
      <c r="BF189" t="str">
        <f>HYPERLINK("http://dx.doi.org/10.3389/fpls.2021.707541","http://dx.doi.org/10.3389/fpls.2021.707541")</f>
        <v>http://dx.doi.org/10.3389/fpls.2021.707541</v>
      </c>
      <c r="BG189" t="s">
        <v>74</v>
      </c>
      <c r="BH189" t="s">
        <v>74</v>
      </c>
      <c r="BI189" t="s">
        <v>74</v>
      </c>
      <c r="BJ189" t="s">
        <v>74</v>
      </c>
      <c r="BK189" t="s">
        <v>74</v>
      </c>
      <c r="BL189" t="s">
        <v>74</v>
      </c>
      <c r="BM189" t="s">
        <v>74</v>
      </c>
      <c r="BN189">
        <v>34512692</v>
      </c>
      <c r="BO189" t="s">
        <v>74</v>
      </c>
      <c r="BP189" t="s">
        <v>74</v>
      </c>
      <c r="BQ189" t="s">
        <v>74</v>
      </c>
      <c r="BR189" t="s">
        <v>74</v>
      </c>
      <c r="BS189" t="s">
        <v>1583</v>
      </c>
      <c r="BT189" t="str">
        <f>HYPERLINK("https%3A%2F%2Fwww.webofscience.com%2Fwos%2Fwoscc%2Ffull-record%2FWOS:000698018800001","View Full Record in Web of Science")</f>
        <v>View Full Record in Web of Science</v>
      </c>
    </row>
    <row r="190" spans="1:72" x14ac:dyDescent="0.2">
      <c r="A190" t="s">
        <v>72</v>
      </c>
      <c r="B190" t="s">
        <v>1584</v>
      </c>
      <c r="C190" t="s">
        <v>74</v>
      </c>
      <c r="D190" t="s">
        <v>74</v>
      </c>
      <c r="E190" t="s">
        <v>74</v>
      </c>
      <c r="F190" t="s">
        <v>1585</v>
      </c>
      <c r="G190" t="s">
        <v>74</v>
      </c>
      <c r="H190" t="s">
        <v>74</v>
      </c>
      <c r="I190" t="s">
        <v>1586</v>
      </c>
      <c r="J190" t="s">
        <v>180</v>
      </c>
      <c r="K190" t="s">
        <v>74</v>
      </c>
      <c r="L190" t="s">
        <v>74</v>
      </c>
      <c r="M190" t="s">
        <v>74</v>
      </c>
      <c r="N190" t="s">
        <v>74</v>
      </c>
      <c r="O190" t="s">
        <v>74</v>
      </c>
      <c r="P190" t="s">
        <v>74</v>
      </c>
      <c r="Q190" t="s">
        <v>74</v>
      </c>
      <c r="R190" t="s">
        <v>74</v>
      </c>
      <c r="S190" t="s">
        <v>74</v>
      </c>
      <c r="T190" t="s">
        <v>74</v>
      </c>
      <c r="U190" t="s">
        <v>74</v>
      </c>
      <c r="V190" t="s">
        <v>74</v>
      </c>
      <c r="W190" t="s">
        <v>74</v>
      </c>
      <c r="X190" t="s">
        <v>74</v>
      </c>
      <c r="Y190" t="s">
        <v>74</v>
      </c>
      <c r="Z190" t="s">
        <v>74</v>
      </c>
      <c r="AA190" t="s">
        <v>1587</v>
      </c>
      <c r="AB190" t="s">
        <v>1588</v>
      </c>
      <c r="AC190" t="s">
        <v>74</v>
      </c>
      <c r="AD190" t="s">
        <v>74</v>
      </c>
      <c r="AE190" t="s">
        <v>74</v>
      </c>
      <c r="AF190" t="s">
        <v>74</v>
      </c>
      <c r="AG190" t="s">
        <v>74</v>
      </c>
      <c r="AH190" t="s">
        <v>74</v>
      </c>
      <c r="AI190" t="s">
        <v>74</v>
      </c>
      <c r="AJ190" t="s">
        <v>74</v>
      </c>
      <c r="AK190" t="s">
        <v>74</v>
      </c>
      <c r="AL190" t="s">
        <v>74</v>
      </c>
      <c r="AM190" t="s">
        <v>74</v>
      </c>
      <c r="AN190" t="s">
        <v>74</v>
      </c>
      <c r="AO190" t="s">
        <v>182</v>
      </c>
      <c r="AP190" t="s">
        <v>183</v>
      </c>
      <c r="AQ190" t="s">
        <v>74</v>
      </c>
      <c r="AR190" t="s">
        <v>74</v>
      </c>
      <c r="AS190" t="s">
        <v>74</v>
      </c>
      <c r="AT190" t="s">
        <v>406</v>
      </c>
      <c r="AU190">
        <v>2021</v>
      </c>
      <c r="AV190">
        <v>130</v>
      </c>
      <c r="AW190">
        <v>10</v>
      </c>
      <c r="AX190" t="s">
        <v>74</v>
      </c>
      <c r="AY190" t="s">
        <v>74</v>
      </c>
      <c r="AZ190" t="s">
        <v>74</v>
      </c>
      <c r="BA190" t="s">
        <v>74</v>
      </c>
      <c r="BB190">
        <v>1773</v>
      </c>
      <c r="BC190">
        <v>1787</v>
      </c>
      <c r="BD190" t="s">
        <v>74</v>
      </c>
      <c r="BE190" t="s">
        <v>1589</v>
      </c>
      <c r="BF190" t="str">
        <f>HYPERLINK("http://dx.doi.org/10.1111/oik.07885","http://dx.doi.org/10.1111/oik.07885")</f>
        <v>http://dx.doi.org/10.1111/oik.07885</v>
      </c>
      <c r="BG190" t="s">
        <v>74</v>
      </c>
      <c r="BH190" t="s">
        <v>1590</v>
      </c>
      <c r="BI190" t="s">
        <v>74</v>
      </c>
      <c r="BJ190" t="s">
        <v>74</v>
      </c>
      <c r="BK190" t="s">
        <v>74</v>
      </c>
      <c r="BL190" t="s">
        <v>74</v>
      </c>
      <c r="BM190" t="s">
        <v>74</v>
      </c>
      <c r="BN190" t="s">
        <v>74</v>
      </c>
      <c r="BO190" t="s">
        <v>74</v>
      </c>
      <c r="BP190" t="s">
        <v>74</v>
      </c>
      <c r="BQ190" t="s">
        <v>74</v>
      </c>
      <c r="BR190" t="s">
        <v>74</v>
      </c>
      <c r="BS190" t="s">
        <v>1591</v>
      </c>
      <c r="BT190" t="str">
        <f>HYPERLINK("https%3A%2F%2Fwww.webofscience.com%2Fwos%2Fwoscc%2Ffull-record%2FWOS:000687345900001","View Full Record in Web of Science")</f>
        <v>View Full Record in Web of Science</v>
      </c>
    </row>
    <row r="191" spans="1:72" x14ac:dyDescent="0.2">
      <c r="A191" t="s">
        <v>72</v>
      </c>
      <c r="B191" t="s">
        <v>1592</v>
      </c>
      <c r="C191" t="s">
        <v>74</v>
      </c>
      <c r="D191" t="s">
        <v>74</v>
      </c>
      <c r="E191" t="s">
        <v>74</v>
      </c>
      <c r="F191" t="s">
        <v>1593</v>
      </c>
      <c r="G191" t="s">
        <v>74</v>
      </c>
      <c r="H191" t="s">
        <v>74</v>
      </c>
      <c r="I191" t="s">
        <v>1594</v>
      </c>
      <c r="J191" t="s">
        <v>695</v>
      </c>
      <c r="K191" t="s">
        <v>74</v>
      </c>
      <c r="L191" t="s">
        <v>74</v>
      </c>
      <c r="M191" t="s">
        <v>74</v>
      </c>
      <c r="N191" t="s">
        <v>74</v>
      </c>
      <c r="O191" t="s">
        <v>74</v>
      </c>
      <c r="P191" t="s">
        <v>74</v>
      </c>
      <c r="Q191" t="s">
        <v>74</v>
      </c>
      <c r="R191" t="s">
        <v>74</v>
      </c>
      <c r="S191" t="s">
        <v>74</v>
      </c>
      <c r="T191" t="s">
        <v>74</v>
      </c>
      <c r="U191" t="s">
        <v>74</v>
      </c>
      <c r="V191" t="s">
        <v>74</v>
      </c>
      <c r="W191" t="s">
        <v>74</v>
      </c>
      <c r="X191" t="s">
        <v>74</v>
      </c>
      <c r="Y191" t="s">
        <v>74</v>
      </c>
      <c r="Z191" t="s">
        <v>74</v>
      </c>
      <c r="AA191" t="s">
        <v>74</v>
      </c>
      <c r="AB191" t="s">
        <v>1595</v>
      </c>
      <c r="AC191" t="s">
        <v>74</v>
      </c>
      <c r="AD191" t="s">
        <v>74</v>
      </c>
      <c r="AE191" t="s">
        <v>74</v>
      </c>
      <c r="AF191" t="s">
        <v>74</v>
      </c>
      <c r="AG191" t="s">
        <v>74</v>
      </c>
      <c r="AH191" t="s">
        <v>74</v>
      </c>
      <c r="AI191" t="s">
        <v>74</v>
      </c>
      <c r="AJ191" t="s">
        <v>74</v>
      </c>
      <c r="AK191" t="s">
        <v>74</v>
      </c>
      <c r="AL191" t="s">
        <v>74</v>
      </c>
      <c r="AM191" t="s">
        <v>74</v>
      </c>
      <c r="AN191" t="s">
        <v>74</v>
      </c>
      <c r="AO191" t="s">
        <v>697</v>
      </c>
      <c r="AP191" t="s">
        <v>698</v>
      </c>
      <c r="AQ191" t="s">
        <v>74</v>
      </c>
      <c r="AR191" t="s">
        <v>74</v>
      </c>
      <c r="AS191" t="s">
        <v>74</v>
      </c>
      <c r="AT191" t="s">
        <v>335</v>
      </c>
      <c r="AU191">
        <v>2021</v>
      </c>
      <c r="AV191">
        <v>91</v>
      </c>
      <c r="AW191">
        <v>4</v>
      </c>
      <c r="AX191" t="s">
        <v>74</v>
      </c>
      <c r="AY191" t="s">
        <v>74</v>
      </c>
      <c r="AZ191" t="s">
        <v>74</v>
      </c>
      <c r="BA191" t="s">
        <v>74</v>
      </c>
      <c r="BB191" t="s">
        <v>74</v>
      </c>
      <c r="BC191" t="s">
        <v>74</v>
      </c>
      <c r="BD191" t="s">
        <v>1596</v>
      </c>
      <c r="BE191" t="s">
        <v>1597</v>
      </c>
      <c r="BF191" t="str">
        <f>HYPERLINK("http://dx.doi.org/10.1002/ecm.1478","http://dx.doi.org/10.1002/ecm.1478")</f>
        <v>http://dx.doi.org/10.1002/ecm.1478</v>
      </c>
      <c r="BG191" t="s">
        <v>74</v>
      </c>
      <c r="BH191" t="s">
        <v>1590</v>
      </c>
      <c r="BI191" t="s">
        <v>74</v>
      </c>
      <c r="BJ191" t="s">
        <v>74</v>
      </c>
      <c r="BK191" t="s">
        <v>74</v>
      </c>
      <c r="BL191" t="s">
        <v>74</v>
      </c>
      <c r="BM191" t="s">
        <v>74</v>
      </c>
      <c r="BN191" t="s">
        <v>74</v>
      </c>
      <c r="BO191" t="s">
        <v>74</v>
      </c>
      <c r="BP191" t="s">
        <v>74</v>
      </c>
      <c r="BQ191" t="s">
        <v>74</v>
      </c>
      <c r="BR191" t="s">
        <v>74</v>
      </c>
      <c r="BS191" t="s">
        <v>1598</v>
      </c>
      <c r="BT191" t="str">
        <f>HYPERLINK("https%3A%2F%2Fwww.webofscience.com%2Fwos%2Fwoscc%2Ffull-record%2FWOS:000686533300001","View Full Record in Web of Science")</f>
        <v>View Full Record in Web of Science</v>
      </c>
    </row>
    <row r="192" spans="1:72" x14ac:dyDescent="0.2">
      <c r="A192" t="s">
        <v>72</v>
      </c>
      <c r="B192" t="s">
        <v>1599</v>
      </c>
      <c r="C192" t="s">
        <v>74</v>
      </c>
      <c r="D192" t="s">
        <v>74</v>
      </c>
      <c r="E192" t="s">
        <v>74</v>
      </c>
      <c r="F192" t="s">
        <v>1600</v>
      </c>
      <c r="G192" t="s">
        <v>74</v>
      </c>
      <c r="H192" t="s">
        <v>74</v>
      </c>
      <c r="I192" t="s">
        <v>1601</v>
      </c>
      <c r="J192" t="s">
        <v>350</v>
      </c>
      <c r="K192" t="s">
        <v>74</v>
      </c>
      <c r="L192" t="s">
        <v>74</v>
      </c>
      <c r="M192" t="s">
        <v>74</v>
      </c>
      <c r="N192" t="s">
        <v>74</v>
      </c>
      <c r="O192" t="s">
        <v>74</v>
      </c>
      <c r="P192" t="s">
        <v>74</v>
      </c>
      <c r="Q192" t="s">
        <v>74</v>
      </c>
      <c r="R192" t="s">
        <v>74</v>
      </c>
      <c r="S192" t="s">
        <v>74</v>
      </c>
      <c r="T192" t="s">
        <v>74</v>
      </c>
      <c r="U192" t="s">
        <v>74</v>
      </c>
      <c r="V192" t="s">
        <v>74</v>
      </c>
      <c r="W192" t="s">
        <v>74</v>
      </c>
      <c r="X192" t="s">
        <v>74</v>
      </c>
      <c r="Y192" t="s">
        <v>74</v>
      </c>
      <c r="Z192" t="s">
        <v>74</v>
      </c>
      <c r="AA192" t="s">
        <v>1602</v>
      </c>
      <c r="AB192" t="s">
        <v>74</v>
      </c>
      <c r="AC192" t="s">
        <v>74</v>
      </c>
      <c r="AD192" t="s">
        <v>74</v>
      </c>
      <c r="AE192" t="s">
        <v>74</v>
      </c>
      <c r="AF192" t="s">
        <v>74</v>
      </c>
      <c r="AG192" t="s">
        <v>74</v>
      </c>
      <c r="AH192" t="s">
        <v>74</v>
      </c>
      <c r="AI192" t="s">
        <v>74</v>
      </c>
      <c r="AJ192" t="s">
        <v>74</v>
      </c>
      <c r="AK192" t="s">
        <v>74</v>
      </c>
      <c r="AL192" t="s">
        <v>74</v>
      </c>
      <c r="AM192" t="s">
        <v>74</v>
      </c>
      <c r="AN192" t="s">
        <v>74</v>
      </c>
      <c r="AO192" t="s">
        <v>352</v>
      </c>
      <c r="AP192" t="s">
        <v>353</v>
      </c>
      <c r="AQ192" t="s">
        <v>74</v>
      </c>
      <c r="AR192" t="s">
        <v>74</v>
      </c>
      <c r="AS192" t="s">
        <v>74</v>
      </c>
      <c r="AT192" t="s">
        <v>315</v>
      </c>
      <c r="AU192">
        <v>2022</v>
      </c>
      <c r="AV192">
        <v>29</v>
      </c>
      <c r="AW192">
        <v>2</v>
      </c>
      <c r="AX192" t="s">
        <v>74</v>
      </c>
      <c r="AY192" t="s">
        <v>74</v>
      </c>
      <c r="AZ192" t="s">
        <v>74</v>
      </c>
      <c r="BA192" t="s">
        <v>74</v>
      </c>
      <c r="BB192">
        <v>2783</v>
      </c>
      <c r="BC192">
        <v>2791</v>
      </c>
      <c r="BD192" t="s">
        <v>74</v>
      </c>
      <c r="BE192" t="s">
        <v>1603</v>
      </c>
      <c r="BF192" t="str">
        <f>HYPERLINK("http://dx.doi.org/10.1007/s11356-021-15802-5","http://dx.doi.org/10.1007/s11356-021-15802-5")</f>
        <v>http://dx.doi.org/10.1007/s11356-021-15802-5</v>
      </c>
      <c r="BG192" t="s">
        <v>74</v>
      </c>
      <c r="BH192" t="s">
        <v>1590</v>
      </c>
      <c r="BI192" t="s">
        <v>74</v>
      </c>
      <c r="BJ192" t="s">
        <v>74</v>
      </c>
      <c r="BK192" t="s">
        <v>74</v>
      </c>
      <c r="BL192" t="s">
        <v>74</v>
      </c>
      <c r="BM192" t="s">
        <v>74</v>
      </c>
      <c r="BN192">
        <v>34378129</v>
      </c>
      <c r="BO192" t="s">
        <v>74</v>
      </c>
      <c r="BP192" t="s">
        <v>74</v>
      </c>
      <c r="BQ192" t="s">
        <v>74</v>
      </c>
      <c r="BR192" t="s">
        <v>74</v>
      </c>
      <c r="BS192" t="s">
        <v>1604</v>
      </c>
      <c r="BT192" t="str">
        <f>HYPERLINK("https%3A%2F%2Fwww.webofscience.com%2Fwos%2Fwoscc%2Ffull-record%2FWOS:000683692400011","View Full Record in Web of Science")</f>
        <v>View Full Record in Web of Science</v>
      </c>
    </row>
    <row r="193" spans="1:72" x14ac:dyDescent="0.2">
      <c r="A193" t="s">
        <v>72</v>
      </c>
      <c r="B193" t="s">
        <v>1605</v>
      </c>
      <c r="C193" t="s">
        <v>74</v>
      </c>
      <c r="D193" t="s">
        <v>74</v>
      </c>
      <c r="E193" t="s">
        <v>74</v>
      </c>
      <c r="F193" t="s">
        <v>1606</v>
      </c>
      <c r="G193" t="s">
        <v>74</v>
      </c>
      <c r="H193" t="s">
        <v>74</v>
      </c>
      <c r="I193" t="s">
        <v>1607</v>
      </c>
      <c r="J193" t="s">
        <v>218</v>
      </c>
      <c r="K193" t="s">
        <v>74</v>
      </c>
      <c r="L193" t="s">
        <v>74</v>
      </c>
      <c r="M193" t="s">
        <v>74</v>
      </c>
      <c r="N193" t="s">
        <v>74</v>
      </c>
      <c r="O193" t="s">
        <v>74</v>
      </c>
      <c r="P193" t="s">
        <v>74</v>
      </c>
      <c r="Q193" t="s">
        <v>74</v>
      </c>
      <c r="R193" t="s">
        <v>74</v>
      </c>
      <c r="S193" t="s">
        <v>74</v>
      </c>
      <c r="T193" t="s">
        <v>74</v>
      </c>
      <c r="U193" t="s">
        <v>74</v>
      </c>
      <c r="V193" t="s">
        <v>74</v>
      </c>
      <c r="W193" t="s">
        <v>74</v>
      </c>
      <c r="X193" t="s">
        <v>74</v>
      </c>
      <c r="Y193" t="s">
        <v>74</v>
      </c>
      <c r="Z193" t="s">
        <v>74</v>
      </c>
      <c r="AA193" t="s">
        <v>6865</v>
      </c>
      <c r="AB193" t="s">
        <v>1608</v>
      </c>
      <c r="AC193" t="s">
        <v>74</v>
      </c>
      <c r="AD193" t="s">
        <v>74</v>
      </c>
      <c r="AE193" t="s">
        <v>74</v>
      </c>
      <c r="AF193" t="s">
        <v>74</v>
      </c>
      <c r="AG193" t="s">
        <v>74</v>
      </c>
      <c r="AH193" t="s">
        <v>74</v>
      </c>
      <c r="AI193" t="s">
        <v>74</v>
      </c>
      <c r="AJ193" t="s">
        <v>74</v>
      </c>
      <c r="AK193" t="s">
        <v>74</v>
      </c>
      <c r="AL193" t="s">
        <v>74</v>
      </c>
      <c r="AM193" t="s">
        <v>74</v>
      </c>
      <c r="AN193" t="s">
        <v>74</v>
      </c>
      <c r="AO193" t="s">
        <v>220</v>
      </c>
      <c r="AP193" t="s">
        <v>74</v>
      </c>
      <c r="AQ193" t="s">
        <v>74</v>
      </c>
      <c r="AR193" t="s">
        <v>74</v>
      </c>
      <c r="AS193" t="s">
        <v>74</v>
      </c>
      <c r="AT193" t="s">
        <v>1609</v>
      </c>
      <c r="AU193">
        <v>2021</v>
      </c>
      <c r="AV193">
        <v>11</v>
      </c>
      <c r="AW193">
        <v>1</v>
      </c>
      <c r="AX193" t="s">
        <v>74</v>
      </c>
      <c r="AY193" t="s">
        <v>74</v>
      </c>
      <c r="AZ193" t="s">
        <v>74</v>
      </c>
      <c r="BA193" t="s">
        <v>74</v>
      </c>
      <c r="BB193" t="s">
        <v>74</v>
      </c>
      <c r="BC193" t="s">
        <v>74</v>
      </c>
      <c r="BD193">
        <v>16130</v>
      </c>
      <c r="BE193" t="s">
        <v>1610</v>
      </c>
      <c r="BF193" t="str">
        <f>HYPERLINK("http://dx.doi.org/10.1038/s41598-021-95223-z","http://dx.doi.org/10.1038/s41598-021-95223-z")</f>
        <v>http://dx.doi.org/10.1038/s41598-021-95223-z</v>
      </c>
      <c r="BG193" t="s">
        <v>74</v>
      </c>
      <c r="BH193" t="s">
        <v>74</v>
      </c>
      <c r="BI193" t="s">
        <v>74</v>
      </c>
      <c r="BJ193" t="s">
        <v>74</v>
      </c>
      <c r="BK193" t="s">
        <v>74</v>
      </c>
      <c r="BL193" t="s">
        <v>74</v>
      </c>
      <c r="BM193" t="s">
        <v>74</v>
      </c>
      <c r="BN193">
        <v>34373491</v>
      </c>
      <c r="BO193" t="s">
        <v>74</v>
      </c>
      <c r="BP193" t="s">
        <v>74</v>
      </c>
      <c r="BQ193" t="s">
        <v>74</v>
      </c>
      <c r="BR193" t="s">
        <v>74</v>
      </c>
      <c r="BS193" t="s">
        <v>1611</v>
      </c>
      <c r="BT193" t="str">
        <f>HYPERLINK("https%3A%2F%2Fwww.webofscience.com%2Fwos%2Fwoscc%2Ffull-record%2FWOS:000683506200040","View Full Record in Web of Science")</f>
        <v>View Full Record in Web of Science</v>
      </c>
    </row>
    <row r="194" spans="1:72" x14ac:dyDescent="0.2">
      <c r="A194" t="s">
        <v>72</v>
      </c>
      <c r="B194" t="s">
        <v>1612</v>
      </c>
      <c r="C194" t="s">
        <v>74</v>
      </c>
      <c r="D194" t="s">
        <v>74</v>
      </c>
      <c r="E194" t="s">
        <v>74</v>
      </c>
      <c r="F194" t="s">
        <v>1613</v>
      </c>
      <c r="G194" t="s">
        <v>74</v>
      </c>
      <c r="H194" t="s">
        <v>74</v>
      </c>
      <c r="I194" t="s">
        <v>1614</v>
      </c>
      <c r="J194" t="s">
        <v>1615</v>
      </c>
      <c r="K194" t="s">
        <v>74</v>
      </c>
      <c r="L194" t="s">
        <v>74</v>
      </c>
      <c r="M194" t="s">
        <v>74</v>
      </c>
      <c r="N194" t="s">
        <v>74</v>
      </c>
      <c r="O194" t="s">
        <v>74</v>
      </c>
      <c r="P194" t="s">
        <v>74</v>
      </c>
      <c r="Q194" t="s">
        <v>74</v>
      </c>
      <c r="R194" t="s">
        <v>74</v>
      </c>
      <c r="S194" t="s">
        <v>74</v>
      </c>
      <c r="T194" t="s">
        <v>74</v>
      </c>
      <c r="U194" t="s">
        <v>74</v>
      </c>
      <c r="V194" t="s">
        <v>74</v>
      </c>
      <c r="W194" t="s">
        <v>74</v>
      </c>
      <c r="X194" t="s">
        <v>74</v>
      </c>
      <c r="Y194" t="s">
        <v>74</v>
      </c>
      <c r="Z194" t="s">
        <v>74</v>
      </c>
      <c r="AA194" t="s">
        <v>74</v>
      </c>
      <c r="AB194" t="s">
        <v>74</v>
      </c>
      <c r="AC194" t="s">
        <v>74</v>
      </c>
      <c r="AD194" t="s">
        <v>74</v>
      </c>
      <c r="AE194" t="s">
        <v>74</v>
      </c>
      <c r="AF194" t="s">
        <v>74</v>
      </c>
      <c r="AG194" t="s">
        <v>74</v>
      </c>
      <c r="AH194" t="s">
        <v>74</v>
      </c>
      <c r="AI194" t="s">
        <v>74</v>
      </c>
      <c r="AJ194" t="s">
        <v>74</v>
      </c>
      <c r="AK194" t="s">
        <v>74</v>
      </c>
      <c r="AL194" t="s">
        <v>74</v>
      </c>
      <c r="AM194" t="s">
        <v>74</v>
      </c>
      <c r="AN194" t="s">
        <v>74</v>
      </c>
      <c r="AO194" t="s">
        <v>1616</v>
      </c>
      <c r="AP194" t="s">
        <v>1617</v>
      </c>
      <c r="AQ194" t="s">
        <v>74</v>
      </c>
      <c r="AR194" t="s">
        <v>74</v>
      </c>
      <c r="AS194" t="s">
        <v>74</v>
      </c>
      <c r="AT194" t="s">
        <v>1618</v>
      </c>
      <c r="AU194">
        <v>2021</v>
      </c>
      <c r="AV194">
        <v>60</v>
      </c>
      <c r="AW194" t="s">
        <v>74</v>
      </c>
      <c r="AX194" t="s">
        <v>74</v>
      </c>
      <c r="AY194" t="s">
        <v>74</v>
      </c>
      <c r="AZ194" t="s">
        <v>74</v>
      </c>
      <c r="BA194" t="s">
        <v>74</v>
      </c>
      <c r="BB194" t="s">
        <v>74</v>
      </c>
      <c r="BC194" t="s">
        <v>74</v>
      </c>
      <c r="BD194">
        <v>45</v>
      </c>
      <c r="BE194" t="s">
        <v>1619</v>
      </c>
      <c r="BF194" t="str">
        <f>HYPERLINK("http://dx.doi.org/10.6620/ZS.2021.60-45","http://dx.doi.org/10.6620/ZS.2021.60-45")</f>
        <v>http://dx.doi.org/10.6620/ZS.2021.60-45</v>
      </c>
      <c r="BG194" t="s">
        <v>74</v>
      </c>
      <c r="BH194" t="s">
        <v>74</v>
      </c>
      <c r="BI194" t="s">
        <v>74</v>
      </c>
      <c r="BJ194" t="s">
        <v>74</v>
      </c>
      <c r="BK194" t="s">
        <v>74</v>
      </c>
      <c r="BL194" t="s">
        <v>74</v>
      </c>
      <c r="BM194" t="s">
        <v>74</v>
      </c>
      <c r="BN194">
        <v>35003339</v>
      </c>
      <c r="BO194" t="s">
        <v>74</v>
      </c>
      <c r="BP194" t="s">
        <v>74</v>
      </c>
      <c r="BQ194" t="s">
        <v>74</v>
      </c>
      <c r="BR194" t="s">
        <v>74</v>
      </c>
      <c r="BS194" t="s">
        <v>1620</v>
      </c>
      <c r="BT194" t="str">
        <f>HYPERLINK("https%3A%2F%2Fwww.webofscience.com%2Fwos%2Fwoscc%2Ffull-record%2FWOS:000682917500001","View Full Record in Web of Science")</f>
        <v>View Full Record in Web of Science</v>
      </c>
    </row>
    <row r="195" spans="1:72" x14ac:dyDescent="0.2">
      <c r="A195" t="s">
        <v>72</v>
      </c>
      <c r="B195" t="s">
        <v>1621</v>
      </c>
      <c r="C195" t="s">
        <v>74</v>
      </c>
      <c r="D195" t="s">
        <v>74</v>
      </c>
      <c r="E195" t="s">
        <v>74</v>
      </c>
      <c r="F195" t="s">
        <v>1622</v>
      </c>
      <c r="G195" t="s">
        <v>74</v>
      </c>
      <c r="H195" t="s">
        <v>74</v>
      </c>
      <c r="I195" t="s">
        <v>1623</v>
      </c>
      <c r="J195" t="s">
        <v>1624</v>
      </c>
      <c r="K195" t="s">
        <v>74</v>
      </c>
      <c r="L195" t="s">
        <v>74</v>
      </c>
      <c r="M195" t="s">
        <v>74</v>
      </c>
      <c r="N195" t="s">
        <v>74</v>
      </c>
      <c r="O195" t="s">
        <v>74</v>
      </c>
      <c r="P195" t="s">
        <v>74</v>
      </c>
      <c r="Q195" t="s">
        <v>74</v>
      </c>
      <c r="R195" t="s">
        <v>74</v>
      </c>
      <c r="S195" t="s">
        <v>74</v>
      </c>
      <c r="T195" t="s">
        <v>74</v>
      </c>
      <c r="U195" t="s">
        <v>74</v>
      </c>
      <c r="V195" t="s">
        <v>74</v>
      </c>
      <c r="W195" t="s">
        <v>74</v>
      </c>
      <c r="X195" t="s">
        <v>74</v>
      </c>
      <c r="Y195" t="s">
        <v>74</v>
      </c>
      <c r="Z195" t="s">
        <v>74</v>
      </c>
      <c r="AA195" t="s">
        <v>1625</v>
      </c>
      <c r="AB195" t="s">
        <v>1626</v>
      </c>
      <c r="AC195" t="s">
        <v>74</v>
      </c>
      <c r="AD195" t="s">
        <v>74</v>
      </c>
      <c r="AE195" t="s">
        <v>74</v>
      </c>
      <c r="AF195" t="s">
        <v>74</v>
      </c>
      <c r="AG195" t="s">
        <v>74</v>
      </c>
      <c r="AH195" t="s">
        <v>74</v>
      </c>
      <c r="AI195" t="s">
        <v>74</v>
      </c>
      <c r="AJ195" t="s">
        <v>74</v>
      </c>
      <c r="AK195" t="s">
        <v>74</v>
      </c>
      <c r="AL195" t="s">
        <v>74</v>
      </c>
      <c r="AM195" t="s">
        <v>74</v>
      </c>
      <c r="AN195" t="s">
        <v>74</v>
      </c>
      <c r="AO195" t="s">
        <v>74</v>
      </c>
      <c r="AP195" t="s">
        <v>1627</v>
      </c>
      <c r="AQ195" t="s">
        <v>74</v>
      </c>
      <c r="AR195" t="s">
        <v>74</v>
      </c>
      <c r="AS195" t="s">
        <v>74</v>
      </c>
      <c r="AT195" t="s">
        <v>520</v>
      </c>
      <c r="AU195">
        <v>2021</v>
      </c>
      <c r="AV195">
        <v>11</v>
      </c>
      <c r="AW195">
        <v>15</v>
      </c>
      <c r="AX195" t="s">
        <v>74</v>
      </c>
      <c r="AY195" t="s">
        <v>74</v>
      </c>
      <c r="AZ195" t="s">
        <v>74</v>
      </c>
      <c r="BA195" t="s">
        <v>74</v>
      </c>
      <c r="BB195" t="s">
        <v>74</v>
      </c>
      <c r="BC195" t="s">
        <v>74</v>
      </c>
      <c r="BD195">
        <v>6921</v>
      </c>
      <c r="BE195" t="s">
        <v>1628</v>
      </c>
      <c r="BF195" t="str">
        <f>HYPERLINK("http://dx.doi.org/10.3390/app11156921","http://dx.doi.org/10.3390/app11156921")</f>
        <v>http://dx.doi.org/10.3390/app11156921</v>
      </c>
      <c r="BG195" t="s">
        <v>74</v>
      </c>
      <c r="BH195" t="s">
        <v>74</v>
      </c>
      <c r="BI195" t="s">
        <v>74</v>
      </c>
      <c r="BJ195" t="s">
        <v>74</v>
      </c>
      <c r="BK195" t="s">
        <v>74</v>
      </c>
      <c r="BL195" t="s">
        <v>74</v>
      </c>
      <c r="BM195" t="s">
        <v>74</v>
      </c>
      <c r="BN195" t="s">
        <v>74</v>
      </c>
      <c r="BO195" t="s">
        <v>74</v>
      </c>
      <c r="BP195" t="s">
        <v>74</v>
      </c>
      <c r="BQ195" t="s">
        <v>74</v>
      </c>
      <c r="BR195" t="s">
        <v>74</v>
      </c>
      <c r="BS195" t="s">
        <v>1629</v>
      </c>
      <c r="BT195" t="str">
        <f>HYPERLINK("https%3A%2F%2Fwww.webofscience.com%2Fwos%2Fwoscc%2Ffull-record%2FWOS:000681812100001","View Full Record in Web of Science")</f>
        <v>View Full Record in Web of Science</v>
      </c>
    </row>
    <row r="196" spans="1:72" x14ac:dyDescent="0.2">
      <c r="A196" t="s">
        <v>72</v>
      </c>
      <c r="B196" t="s">
        <v>1630</v>
      </c>
      <c r="C196" t="s">
        <v>74</v>
      </c>
      <c r="D196" t="s">
        <v>74</v>
      </c>
      <c r="E196" t="s">
        <v>74</v>
      </c>
      <c r="F196" t="s">
        <v>1631</v>
      </c>
      <c r="G196" t="s">
        <v>74</v>
      </c>
      <c r="H196" t="s">
        <v>74</v>
      </c>
      <c r="I196" t="s">
        <v>1632</v>
      </c>
      <c r="J196" t="s">
        <v>1554</v>
      </c>
      <c r="K196" t="s">
        <v>74</v>
      </c>
      <c r="L196" t="s">
        <v>74</v>
      </c>
      <c r="M196" t="s">
        <v>74</v>
      </c>
      <c r="N196" t="s">
        <v>74</v>
      </c>
      <c r="O196" t="s">
        <v>74</v>
      </c>
      <c r="P196" t="s">
        <v>74</v>
      </c>
      <c r="Q196" t="s">
        <v>74</v>
      </c>
      <c r="R196" t="s">
        <v>74</v>
      </c>
      <c r="S196" t="s">
        <v>74</v>
      </c>
      <c r="T196" t="s">
        <v>74</v>
      </c>
      <c r="U196" t="s">
        <v>74</v>
      </c>
      <c r="V196" t="s">
        <v>74</v>
      </c>
      <c r="W196" t="s">
        <v>74</v>
      </c>
      <c r="X196" t="s">
        <v>74</v>
      </c>
      <c r="Y196" t="s">
        <v>74</v>
      </c>
      <c r="Z196" t="s">
        <v>74</v>
      </c>
      <c r="AA196" t="s">
        <v>1633</v>
      </c>
      <c r="AB196" t="s">
        <v>1634</v>
      </c>
      <c r="AC196" t="s">
        <v>74</v>
      </c>
      <c r="AD196" t="s">
        <v>74</v>
      </c>
      <c r="AE196" t="s">
        <v>74</v>
      </c>
      <c r="AF196" t="s">
        <v>74</v>
      </c>
      <c r="AG196" t="s">
        <v>74</v>
      </c>
      <c r="AH196" t="s">
        <v>74</v>
      </c>
      <c r="AI196" t="s">
        <v>74</v>
      </c>
      <c r="AJ196" t="s">
        <v>74</v>
      </c>
      <c r="AK196" t="s">
        <v>74</v>
      </c>
      <c r="AL196" t="s">
        <v>74</v>
      </c>
      <c r="AM196" t="s">
        <v>74</v>
      </c>
      <c r="AN196" t="s">
        <v>74</v>
      </c>
      <c r="AO196" t="s">
        <v>1555</v>
      </c>
      <c r="AP196" t="s">
        <v>1556</v>
      </c>
      <c r="AQ196" t="s">
        <v>74</v>
      </c>
      <c r="AR196" t="s">
        <v>74</v>
      </c>
      <c r="AS196" t="s">
        <v>74</v>
      </c>
      <c r="AT196" t="s">
        <v>82</v>
      </c>
      <c r="AU196">
        <v>2021</v>
      </c>
      <c r="AV196">
        <v>46</v>
      </c>
      <c r="AW196">
        <v>8</v>
      </c>
      <c r="AX196" t="s">
        <v>74</v>
      </c>
      <c r="AY196" t="s">
        <v>74</v>
      </c>
      <c r="AZ196" t="s">
        <v>74</v>
      </c>
      <c r="BA196" t="s">
        <v>74</v>
      </c>
      <c r="BB196">
        <v>1192</v>
      </c>
      <c r="BC196">
        <v>1197</v>
      </c>
      <c r="BD196" t="s">
        <v>74</v>
      </c>
      <c r="BE196" t="s">
        <v>1635</v>
      </c>
      <c r="BF196" t="str">
        <f>HYPERLINK("http://dx.doi.org/10.1111/aec.13087","http://dx.doi.org/10.1111/aec.13087")</f>
        <v>http://dx.doi.org/10.1111/aec.13087</v>
      </c>
      <c r="BG196" t="s">
        <v>74</v>
      </c>
      <c r="BH196" t="s">
        <v>1636</v>
      </c>
      <c r="BI196" t="s">
        <v>74</v>
      </c>
      <c r="BJ196" t="s">
        <v>74</v>
      </c>
      <c r="BK196" t="s">
        <v>74</v>
      </c>
      <c r="BL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R196" t="s">
        <v>74</v>
      </c>
      <c r="BS196" t="s">
        <v>1637</v>
      </c>
      <c r="BT196" t="str">
        <f>HYPERLINK("https%3A%2F%2Fwww.webofscience.com%2Fwos%2Fwoscc%2Ffull-record%2FWOS:000675245800001","View Full Record in Web of Science")</f>
        <v>View Full Record in Web of Science</v>
      </c>
    </row>
    <row r="197" spans="1:72" x14ac:dyDescent="0.2">
      <c r="A197" t="s">
        <v>72</v>
      </c>
      <c r="B197" t="s">
        <v>1638</v>
      </c>
      <c r="C197" t="s">
        <v>74</v>
      </c>
      <c r="D197" t="s">
        <v>74</v>
      </c>
      <c r="E197" t="s">
        <v>74</v>
      </c>
      <c r="F197" t="s">
        <v>1639</v>
      </c>
      <c r="G197" t="s">
        <v>74</v>
      </c>
      <c r="H197" t="s">
        <v>74</v>
      </c>
      <c r="I197" t="s">
        <v>1640</v>
      </c>
      <c r="J197" t="s">
        <v>381</v>
      </c>
      <c r="K197" t="s">
        <v>74</v>
      </c>
      <c r="L197" t="s">
        <v>74</v>
      </c>
      <c r="M197" t="s">
        <v>74</v>
      </c>
      <c r="N197" t="s">
        <v>74</v>
      </c>
      <c r="O197" t="s">
        <v>74</v>
      </c>
      <c r="P197" t="s">
        <v>74</v>
      </c>
      <c r="Q197" t="s">
        <v>74</v>
      </c>
      <c r="R197" t="s">
        <v>74</v>
      </c>
      <c r="S197" t="s">
        <v>74</v>
      </c>
      <c r="T197" t="s">
        <v>74</v>
      </c>
      <c r="U197" t="s">
        <v>74</v>
      </c>
      <c r="V197" t="s">
        <v>74</v>
      </c>
      <c r="W197" t="s">
        <v>74</v>
      </c>
      <c r="X197" t="s">
        <v>74</v>
      </c>
      <c r="Y197" t="s">
        <v>74</v>
      </c>
      <c r="Z197" t="s">
        <v>74</v>
      </c>
      <c r="AA197" t="s">
        <v>1641</v>
      </c>
      <c r="AB197" t="s">
        <v>74</v>
      </c>
      <c r="AC197" t="s">
        <v>74</v>
      </c>
      <c r="AD197" t="s">
        <v>74</v>
      </c>
      <c r="AE197" t="s">
        <v>74</v>
      </c>
      <c r="AF197" t="s">
        <v>74</v>
      </c>
      <c r="AG197" t="s">
        <v>74</v>
      </c>
      <c r="AH197" t="s">
        <v>74</v>
      </c>
      <c r="AI197" t="s">
        <v>74</v>
      </c>
      <c r="AJ197" t="s">
        <v>74</v>
      </c>
      <c r="AK197" t="s">
        <v>74</v>
      </c>
      <c r="AL197" t="s">
        <v>74</v>
      </c>
      <c r="AM197" t="s">
        <v>74</v>
      </c>
      <c r="AN197" t="s">
        <v>74</v>
      </c>
      <c r="AO197" t="s">
        <v>383</v>
      </c>
      <c r="AP197" t="s">
        <v>384</v>
      </c>
      <c r="AQ197" t="s">
        <v>74</v>
      </c>
      <c r="AR197" t="s">
        <v>74</v>
      </c>
      <c r="AS197" t="s">
        <v>74</v>
      </c>
      <c r="AT197" t="s">
        <v>474</v>
      </c>
      <c r="AU197">
        <v>2021</v>
      </c>
      <c r="AV197">
        <v>288</v>
      </c>
      <c r="AW197" t="s">
        <v>74</v>
      </c>
      <c r="AX197" t="s">
        <v>74</v>
      </c>
      <c r="AY197" t="s">
        <v>74</v>
      </c>
      <c r="AZ197" t="s">
        <v>74</v>
      </c>
      <c r="BA197" t="s">
        <v>74</v>
      </c>
      <c r="BB197" t="s">
        <v>74</v>
      </c>
      <c r="BC197" t="s">
        <v>74</v>
      </c>
      <c r="BD197">
        <v>117682</v>
      </c>
      <c r="BE197" t="s">
        <v>1642</v>
      </c>
      <c r="BF197" t="str">
        <f>HYPERLINK("http://dx.doi.org/10.1016/j.envpol.2021.117682","http://dx.doi.org/10.1016/j.envpol.2021.117682")</f>
        <v>http://dx.doi.org/10.1016/j.envpol.2021.117682</v>
      </c>
      <c r="BG197" t="s">
        <v>74</v>
      </c>
      <c r="BH197" t="s">
        <v>1636</v>
      </c>
      <c r="BI197" t="s">
        <v>74</v>
      </c>
      <c r="BJ197" t="s">
        <v>74</v>
      </c>
      <c r="BK197" t="s">
        <v>74</v>
      </c>
      <c r="BL197" t="s">
        <v>74</v>
      </c>
      <c r="BM197" t="s">
        <v>74</v>
      </c>
      <c r="BN197">
        <v>34271516</v>
      </c>
      <c r="BO197" t="s">
        <v>74</v>
      </c>
      <c r="BP197" t="s">
        <v>74</v>
      </c>
      <c r="BQ197" t="s">
        <v>74</v>
      </c>
      <c r="BR197" t="s">
        <v>74</v>
      </c>
      <c r="BS197" t="s">
        <v>1643</v>
      </c>
      <c r="BT197" t="str">
        <f>HYPERLINK("https%3A%2F%2Fwww.webofscience.com%2Fwos%2Fwoscc%2Ffull-record%2FWOS:000696824200007","View Full Record in Web of Science")</f>
        <v>View Full Record in Web of Science</v>
      </c>
    </row>
    <row r="198" spans="1:72" x14ac:dyDescent="0.2">
      <c r="A198" t="s">
        <v>72</v>
      </c>
      <c r="B198" t="s">
        <v>1644</v>
      </c>
      <c r="C198" t="s">
        <v>74</v>
      </c>
      <c r="D198" t="s">
        <v>74</v>
      </c>
      <c r="E198" t="s">
        <v>74</v>
      </c>
      <c r="F198" t="s">
        <v>1645</v>
      </c>
      <c r="G198" t="s">
        <v>74</v>
      </c>
      <c r="H198" t="s">
        <v>74</v>
      </c>
      <c r="I198" t="s">
        <v>1646</v>
      </c>
      <c r="J198" t="s">
        <v>457</v>
      </c>
      <c r="K198" t="s">
        <v>74</v>
      </c>
      <c r="L198" t="s">
        <v>74</v>
      </c>
      <c r="M198" t="s">
        <v>74</v>
      </c>
      <c r="N198" t="s">
        <v>74</v>
      </c>
      <c r="O198" t="s">
        <v>74</v>
      </c>
      <c r="P198" t="s">
        <v>74</v>
      </c>
      <c r="Q198" t="s">
        <v>74</v>
      </c>
      <c r="R198" t="s">
        <v>74</v>
      </c>
      <c r="S198" t="s">
        <v>74</v>
      </c>
      <c r="T198" t="s">
        <v>74</v>
      </c>
      <c r="U198" t="s">
        <v>74</v>
      </c>
      <c r="V198" t="s">
        <v>74</v>
      </c>
      <c r="W198" t="s">
        <v>74</v>
      </c>
      <c r="X198" t="s">
        <v>74</v>
      </c>
      <c r="Y198" t="s">
        <v>74</v>
      </c>
      <c r="Z198" t="s">
        <v>74</v>
      </c>
      <c r="AA198" t="s">
        <v>1647</v>
      </c>
      <c r="AB198" t="s">
        <v>1648</v>
      </c>
      <c r="AC198" t="s">
        <v>74</v>
      </c>
      <c r="AD198" t="s">
        <v>74</v>
      </c>
      <c r="AE198" t="s">
        <v>74</v>
      </c>
      <c r="AF198" t="s">
        <v>74</v>
      </c>
      <c r="AG198" t="s">
        <v>74</v>
      </c>
      <c r="AH198" t="s">
        <v>74</v>
      </c>
      <c r="AI198" t="s">
        <v>74</v>
      </c>
      <c r="AJ198" t="s">
        <v>74</v>
      </c>
      <c r="AK198" t="s">
        <v>74</v>
      </c>
      <c r="AL198" t="s">
        <v>74</v>
      </c>
      <c r="AM198" t="s">
        <v>74</v>
      </c>
      <c r="AN198" t="s">
        <v>74</v>
      </c>
      <c r="AO198" t="s">
        <v>458</v>
      </c>
      <c r="AP198" t="s">
        <v>74</v>
      </c>
      <c r="AQ198" t="s">
        <v>74</v>
      </c>
      <c r="AR198" t="s">
        <v>74</v>
      </c>
      <c r="AS198" t="s">
        <v>74</v>
      </c>
      <c r="AT198" t="s">
        <v>520</v>
      </c>
      <c r="AU198">
        <v>2021</v>
      </c>
      <c r="AV198">
        <v>11</v>
      </c>
      <c r="AW198">
        <v>15</v>
      </c>
      <c r="AX198" t="s">
        <v>74</v>
      </c>
      <c r="AY198" t="s">
        <v>74</v>
      </c>
      <c r="AZ198" t="s">
        <v>74</v>
      </c>
      <c r="BA198" t="s">
        <v>74</v>
      </c>
      <c r="BB198">
        <v>10225</v>
      </c>
      <c r="BC198">
        <v>10243</v>
      </c>
      <c r="BD198" t="s">
        <v>74</v>
      </c>
      <c r="BE198" t="s">
        <v>1649</v>
      </c>
      <c r="BF198" t="str">
        <f>HYPERLINK("http://dx.doi.org/10.1002/ece3.7828","http://dx.doi.org/10.1002/ece3.7828")</f>
        <v>http://dx.doi.org/10.1002/ece3.7828</v>
      </c>
      <c r="BG198" t="s">
        <v>74</v>
      </c>
      <c r="BH198" t="s">
        <v>1650</v>
      </c>
      <c r="BI198" t="s">
        <v>74</v>
      </c>
      <c r="BJ198" t="s">
        <v>74</v>
      </c>
      <c r="BK198" t="s">
        <v>74</v>
      </c>
      <c r="BL198" t="s">
        <v>74</v>
      </c>
      <c r="BM198" t="s">
        <v>74</v>
      </c>
      <c r="BN198">
        <v>34367571</v>
      </c>
      <c r="BO198" t="s">
        <v>74</v>
      </c>
      <c r="BP198" t="s">
        <v>74</v>
      </c>
      <c r="BQ198" t="s">
        <v>74</v>
      </c>
      <c r="BR198" t="s">
        <v>74</v>
      </c>
      <c r="BS198" t="s">
        <v>1651</v>
      </c>
      <c r="BT198" t="str">
        <f>HYPERLINK("https%3A%2F%2Fwww.webofscience.com%2Fwos%2Fwoscc%2Ffull-record%2FWOS:000667626100001","View Full Record in Web of Science")</f>
        <v>View Full Record in Web of Science</v>
      </c>
    </row>
    <row r="199" spans="1:72" x14ac:dyDescent="0.2">
      <c r="A199" t="s">
        <v>72</v>
      </c>
      <c r="B199" t="s">
        <v>1652</v>
      </c>
      <c r="C199" t="s">
        <v>74</v>
      </c>
      <c r="D199" t="s">
        <v>74</v>
      </c>
      <c r="E199" t="s">
        <v>74</v>
      </c>
      <c r="F199" t="s">
        <v>1653</v>
      </c>
      <c r="G199" t="s">
        <v>74</v>
      </c>
      <c r="H199" t="s">
        <v>74</v>
      </c>
      <c r="I199" t="s">
        <v>1654</v>
      </c>
      <c r="J199" t="s">
        <v>350</v>
      </c>
      <c r="K199" t="s">
        <v>74</v>
      </c>
      <c r="L199" t="s">
        <v>74</v>
      </c>
      <c r="M199" t="s">
        <v>74</v>
      </c>
      <c r="N199" t="s">
        <v>74</v>
      </c>
      <c r="O199" t="s">
        <v>74</v>
      </c>
      <c r="P199" t="s">
        <v>74</v>
      </c>
      <c r="Q199" t="s">
        <v>74</v>
      </c>
      <c r="R199" t="s">
        <v>74</v>
      </c>
      <c r="S199" t="s">
        <v>74</v>
      </c>
      <c r="T199" t="s">
        <v>74</v>
      </c>
      <c r="U199" t="s">
        <v>74</v>
      </c>
      <c r="V199" t="s">
        <v>74</v>
      </c>
      <c r="W199" t="s">
        <v>74</v>
      </c>
      <c r="X199" t="s">
        <v>74</v>
      </c>
      <c r="Y199" t="s">
        <v>74</v>
      </c>
      <c r="Z199" t="s">
        <v>74</v>
      </c>
      <c r="AA199" t="s">
        <v>1655</v>
      </c>
      <c r="AB199" t="s">
        <v>1656</v>
      </c>
      <c r="AC199" t="s">
        <v>74</v>
      </c>
      <c r="AD199" t="s">
        <v>74</v>
      </c>
      <c r="AE199" t="s">
        <v>74</v>
      </c>
      <c r="AF199" t="s">
        <v>74</v>
      </c>
      <c r="AG199" t="s">
        <v>74</v>
      </c>
      <c r="AH199" t="s">
        <v>74</v>
      </c>
      <c r="AI199" t="s">
        <v>74</v>
      </c>
      <c r="AJ199" t="s">
        <v>74</v>
      </c>
      <c r="AK199" t="s">
        <v>74</v>
      </c>
      <c r="AL199" t="s">
        <v>74</v>
      </c>
      <c r="AM199" t="s">
        <v>74</v>
      </c>
      <c r="AN199" t="s">
        <v>74</v>
      </c>
      <c r="AO199" t="s">
        <v>352</v>
      </c>
      <c r="AP199" t="s">
        <v>353</v>
      </c>
      <c r="AQ199" t="s">
        <v>74</v>
      </c>
      <c r="AR199" t="s">
        <v>74</v>
      </c>
      <c r="AS199" t="s">
        <v>74</v>
      </c>
      <c r="AT199" t="s">
        <v>335</v>
      </c>
      <c r="AU199">
        <v>2021</v>
      </c>
      <c r="AV199">
        <v>28</v>
      </c>
      <c r="AW199">
        <v>43</v>
      </c>
      <c r="AX199" t="s">
        <v>74</v>
      </c>
      <c r="AY199" t="s">
        <v>74</v>
      </c>
      <c r="AZ199" t="s">
        <v>74</v>
      </c>
      <c r="BA199" t="s">
        <v>74</v>
      </c>
      <c r="BB199">
        <v>61497</v>
      </c>
      <c r="BC199">
        <v>61512</v>
      </c>
      <c r="BD199" t="s">
        <v>74</v>
      </c>
      <c r="BE199" t="s">
        <v>1657</v>
      </c>
      <c r="BF199" t="str">
        <f>HYPERLINK("http://dx.doi.org/10.1007/s11356-021-15086-9","http://dx.doi.org/10.1007/s11356-021-15086-9")</f>
        <v>http://dx.doi.org/10.1007/s11356-021-15086-9</v>
      </c>
      <c r="BG199" t="s">
        <v>74</v>
      </c>
      <c r="BH199" t="s">
        <v>1650</v>
      </c>
      <c r="BI199" t="s">
        <v>74</v>
      </c>
      <c r="BJ199" t="s">
        <v>74</v>
      </c>
      <c r="BK199" t="s">
        <v>74</v>
      </c>
      <c r="BL199" t="s">
        <v>74</v>
      </c>
      <c r="BM199" t="s">
        <v>74</v>
      </c>
      <c r="BN199">
        <v>34176045</v>
      </c>
      <c r="BO199" t="s">
        <v>74</v>
      </c>
      <c r="BP199" t="s">
        <v>74</v>
      </c>
      <c r="BQ199" t="s">
        <v>74</v>
      </c>
      <c r="BR199" t="s">
        <v>74</v>
      </c>
      <c r="BS199" t="s">
        <v>1658</v>
      </c>
      <c r="BT199" t="str">
        <f>HYPERLINK("https%3A%2F%2Fwww.webofscience.com%2Fwos%2Fwoscc%2Ffull-record%2FWOS:000666841800003","View Full Record in Web of Science")</f>
        <v>View Full Record in Web of Science</v>
      </c>
    </row>
    <row r="200" spans="1:72" x14ac:dyDescent="0.2">
      <c r="A200" t="s">
        <v>72</v>
      </c>
      <c r="B200" t="s">
        <v>1659</v>
      </c>
      <c r="C200" t="s">
        <v>74</v>
      </c>
      <c r="D200" t="s">
        <v>74</v>
      </c>
      <c r="E200" t="s">
        <v>74</v>
      </c>
      <c r="F200" t="s">
        <v>1660</v>
      </c>
      <c r="G200" t="s">
        <v>74</v>
      </c>
      <c r="H200" t="s">
        <v>74</v>
      </c>
      <c r="I200" t="s">
        <v>1661</v>
      </c>
      <c r="J200" t="s">
        <v>423</v>
      </c>
      <c r="K200" t="s">
        <v>74</v>
      </c>
      <c r="L200" t="s">
        <v>74</v>
      </c>
      <c r="M200" t="s">
        <v>74</v>
      </c>
      <c r="N200" t="s">
        <v>74</v>
      </c>
      <c r="O200" t="s">
        <v>74</v>
      </c>
      <c r="P200" t="s">
        <v>74</v>
      </c>
      <c r="Q200" t="s">
        <v>74</v>
      </c>
      <c r="R200" t="s">
        <v>74</v>
      </c>
      <c r="S200" t="s">
        <v>74</v>
      </c>
      <c r="T200" t="s">
        <v>74</v>
      </c>
      <c r="U200" t="s">
        <v>74</v>
      </c>
      <c r="V200" t="s">
        <v>74</v>
      </c>
      <c r="W200" t="s">
        <v>74</v>
      </c>
      <c r="X200" t="s">
        <v>74</v>
      </c>
      <c r="Y200" t="s">
        <v>74</v>
      </c>
      <c r="Z200" t="s">
        <v>74</v>
      </c>
      <c r="AA200" t="s">
        <v>6866</v>
      </c>
      <c r="AB200" t="s">
        <v>6867</v>
      </c>
      <c r="AC200" t="s">
        <v>74</v>
      </c>
      <c r="AD200" t="s">
        <v>74</v>
      </c>
      <c r="AE200" t="s">
        <v>74</v>
      </c>
      <c r="AF200" t="s">
        <v>74</v>
      </c>
      <c r="AG200" t="s">
        <v>74</v>
      </c>
      <c r="AH200" t="s">
        <v>74</v>
      </c>
      <c r="AI200" t="s">
        <v>74</v>
      </c>
      <c r="AJ200" t="s">
        <v>74</v>
      </c>
      <c r="AK200" t="s">
        <v>74</v>
      </c>
      <c r="AL200" t="s">
        <v>74</v>
      </c>
      <c r="AM200" t="s">
        <v>74</v>
      </c>
      <c r="AN200" t="s">
        <v>74</v>
      </c>
      <c r="AO200" t="s">
        <v>425</v>
      </c>
      <c r="AP200" t="s">
        <v>426</v>
      </c>
      <c r="AQ200" t="s">
        <v>74</v>
      </c>
      <c r="AR200" t="s">
        <v>74</v>
      </c>
      <c r="AS200" t="s">
        <v>74</v>
      </c>
      <c r="AT200" t="s">
        <v>451</v>
      </c>
      <c r="AU200">
        <v>2021</v>
      </c>
      <c r="AV200">
        <v>66</v>
      </c>
      <c r="AW200">
        <v>9</v>
      </c>
      <c r="AX200" t="s">
        <v>74</v>
      </c>
      <c r="AY200" t="s">
        <v>74</v>
      </c>
      <c r="AZ200" t="s">
        <v>74</v>
      </c>
      <c r="BA200" t="s">
        <v>74</v>
      </c>
      <c r="BB200">
        <v>1680</v>
      </c>
      <c r="BC200">
        <v>1697</v>
      </c>
      <c r="BD200" t="s">
        <v>74</v>
      </c>
      <c r="BE200" t="s">
        <v>1662</v>
      </c>
      <c r="BF200" t="str">
        <f>HYPERLINK("http://dx.doi.org/10.1111/fwb.13782","http://dx.doi.org/10.1111/fwb.13782")</f>
        <v>http://dx.doi.org/10.1111/fwb.13782</v>
      </c>
      <c r="BG200" t="s">
        <v>74</v>
      </c>
      <c r="BH200" t="s">
        <v>1650</v>
      </c>
      <c r="BI200" t="s">
        <v>74</v>
      </c>
      <c r="BJ200" t="s">
        <v>74</v>
      </c>
      <c r="BK200" t="s">
        <v>74</v>
      </c>
      <c r="BL200" t="s">
        <v>74</v>
      </c>
      <c r="BM200" t="s">
        <v>74</v>
      </c>
      <c r="BN200" t="s">
        <v>74</v>
      </c>
      <c r="BO200" t="s">
        <v>74</v>
      </c>
      <c r="BP200" t="s">
        <v>74</v>
      </c>
      <c r="BQ200" t="s">
        <v>74</v>
      </c>
      <c r="BR200" t="s">
        <v>74</v>
      </c>
      <c r="BS200" t="s">
        <v>1663</v>
      </c>
      <c r="BT200" t="str">
        <f>HYPERLINK("https%3A%2F%2Fwww.webofscience.com%2Fwos%2Fwoscc%2Ffull-record%2FWOS:000663066600001","View Full Record in Web of Science")</f>
        <v>View Full Record in Web of Science</v>
      </c>
    </row>
    <row r="201" spans="1:72" x14ac:dyDescent="0.2">
      <c r="A201" t="s">
        <v>72</v>
      </c>
      <c r="B201" t="s">
        <v>1664</v>
      </c>
      <c r="C201" t="s">
        <v>74</v>
      </c>
      <c r="D201" t="s">
        <v>74</v>
      </c>
      <c r="E201" t="s">
        <v>74</v>
      </c>
      <c r="F201" t="s">
        <v>1665</v>
      </c>
      <c r="G201" t="s">
        <v>74</v>
      </c>
      <c r="H201" t="s">
        <v>74</v>
      </c>
      <c r="I201" t="s">
        <v>1666</v>
      </c>
      <c r="J201" t="s">
        <v>227</v>
      </c>
      <c r="K201" t="s">
        <v>74</v>
      </c>
      <c r="L201" t="s">
        <v>74</v>
      </c>
      <c r="M201" t="s">
        <v>74</v>
      </c>
      <c r="N201" t="s">
        <v>74</v>
      </c>
      <c r="O201" t="s">
        <v>74</v>
      </c>
      <c r="P201" t="s">
        <v>74</v>
      </c>
      <c r="Q201" t="s">
        <v>74</v>
      </c>
      <c r="R201" t="s">
        <v>74</v>
      </c>
      <c r="S201" t="s">
        <v>74</v>
      </c>
      <c r="T201" t="s">
        <v>74</v>
      </c>
      <c r="U201" t="s">
        <v>74</v>
      </c>
      <c r="V201" t="s">
        <v>74</v>
      </c>
      <c r="W201" t="s">
        <v>74</v>
      </c>
      <c r="X201" t="s">
        <v>74</v>
      </c>
      <c r="Y201" t="s">
        <v>74</v>
      </c>
      <c r="Z201" t="s">
        <v>74</v>
      </c>
      <c r="AA201" t="s">
        <v>6868</v>
      </c>
      <c r="AB201" t="s">
        <v>382</v>
      </c>
      <c r="AC201" t="s">
        <v>74</v>
      </c>
      <c r="AD201" t="s">
        <v>74</v>
      </c>
      <c r="AE201" t="s">
        <v>74</v>
      </c>
      <c r="AF201" t="s">
        <v>74</v>
      </c>
      <c r="AG201" t="s">
        <v>74</v>
      </c>
      <c r="AH201" t="s">
        <v>74</v>
      </c>
      <c r="AI201" t="s">
        <v>74</v>
      </c>
      <c r="AJ201" t="s">
        <v>74</v>
      </c>
      <c r="AK201" t="s">
        <v>74</v>
      </c>
      <c r="AL201" t="s">
        <v>74</v>
      </c>
      <c r="AM201" t="s">
        <v>74</v>
      </c>
      <c r="AN201" t="s">
        <v>74</v>
      </c>
      <c r="AO201" t="s">
        <v>230</v>
      </c>
      <c r="AP201" t="s">
        <v>231</v>
      </c>
      <c r="AQ201" t="s">
        <v>74</v>
      </c>
      <c r="AR201" t="s">
        <v>74</v>
      </c>
      <c r="AS201" t="s">
        <v>74</v>
      </c>
      <c r="AT201" t="s">
        <v>520</v>
      </c>
      <c r="AU201">
        <v>2021</v>
      </c>
      <c r="AV201">
        <v>66</v>
      </c>
      <c r="AW201">
        <v>8</v>
      </c>
      <c r="AX201" t="s">
        <v>74</v>
      </c>
      <c r="AY201" t="s">
        <v>74</v>
      </c>
      <c r="AZ201" t="s">
        <v>74</v>
      </c>
      <c r="BA201" t="s">
        <v>74</v>
      </c>
      <c r="BB201">
        <v>3237</v>
      </c>
      <c r="BC201">
        <v>3252</v>
      </c>
      <c r="BD201" t="s">
        <v>74</v>
      </c>
      <c r="BE201" t="s">
        <v>1667</v>
      </c>
      <c r="BF201" t="str">
        <f>HYPERLINK("http://dx.doi.org/10.1002/lno.11876","http://dx.doi.org/10.1002/lno.11876")</f>
        <v>http://dx.doi.org/10.1002/lno.11876</v>
      </c>
      <c r="BG201" t="s">
        <v>74</v>
      </c>
      <c r="BH201" t="s">
        <v>1650</v>
      </c>
      <c r="BI201" t="s">
        <v>74</v>
      </c>
      <c r="BJ201" t="s">
        <v>74</v>
      </c>
      <c r="BK201" t="s">
        <v>74</v>
      </c>
      <c r="BL201" t="s">
        <v>74</v>
      </c>
      <c r="BM201" t="s">
        <v>74</v>
      </c>
      <c r="BN201" t="s">
        <v>74</v>
      </c>
      <c r="BO201" t="s">
        <v>74</v>
      </c>
      <c r="BP201" t="s">
        <v>74</v>
      </c>
      <c r="BQ201" t="s">
        <v>74</v>
      </c>
      <c r="BR201" t="s">
        <v>74</v>
      </c>
      <c r="BS201" t="s">
        <v>1668</v>
      </c>
      <c r="BT201" t="str">
        <f>HYPERLINK("https%3A%2F%2Fwww.webofscience.com%2Fwos%2Fwoscc%2Ffull-record%2FWOS:000662728000001","View Full Record in Web of Science")</f>
        <v>View Full Record in Web of Science</v>
      </c>
    </row>
    <row r="202" spans="1:72" x14ac:dyDescent="0.2">
      <c r="A202" t="s">
        <v>72</v>
      </c>
      <c r="B202" t="s">
        <v>1669</v>
      </c>
      <c r="C202" t="s">
        <v>74</v>
      </c>
      <c r="D202" t="s">
        <v>74</v>
      </c>
      <c r="E202" t="s">
        <v>74</v>
      </c>
      <c r="F202" t="s">
        <v>1670</v>
      </c>
      <c r="G202" t="s">
        <v>74</v>
      </c>
      <c r="H202" t="s">
        <v>74</v>
      </c>
      <c r="I202" t="s">
        <v>1671</v>
      </c>
      <c r="J202" t="s">
        <v>502</v>
      </c>
      <c r="K202" t="s">
        <v>74</v>
      </c>
      <c r="L202" t="s">
        <v>74</v>
      </c>
      <c r="M202" t="s">
        <v>74</v>
      </c>
      <c r="N202" t="s">
        <v>74</v>
      </c>
      <c r="O202" t="s">
        <v>74</v>
      </c>
      <c r="P202" t="s">
        <v>74</v>
      </c>
      <c r="Q202" t="s">
        <v>74</v>
      </c>
      <c r="R202" t="s">
        <v>74</v>
      </c>
      <c r="S202" t="s">
        <v>74</v>
      </c>
      <c r="T202" t="s">
        <v>74</v>
      </c>
      <c r="U202" t="s">
        <v>74</v>
      </c>
      <c r="V202" t="s">
        <v>74</v>
      </c>
      <c r="W202" t="s">
        <v>74</v>
      </c>
      <c r="X202" t="s">
        <v>74</v>
      </c>
      <c r="Y202" t="s">
        <v>74</v>
      </c>
      <c r="Z202" t="s">
        <v>74</v>
      </c>
      <c r="AA202" t="s">
        <v>6869</v>
      </c>
      <c r="AB202" t="s">
        <v>6870</v>
      </c>
      <c r="AC202" t="s">
        <v>74</v>
      </c>
      <c r="AD202" t="s">
        <v>74</v>
      </c>
      <c r="AE202" t="s">
        <v>74</v>
      </c>
      <c r="AF202" t="s">
        <v>74</v>
      </c>
      <c r="AG202" t="s">
        <v>74</v>
      </c>
      <c r="AH202" t="s">
        <v>74</v>
      </c>
      <c r="AI202" t="s">
        <v>74</v>
      </c>
      <c r="AJ202" t="s">
        <v>74</v>
      </c>
      <c r="AK202" t="s">
        <v>74</v>
      </c>
      <c r="AL202" t="s">
        <v>74</v>
      </c>
      <c r="AM202" t="s">
        <v>74</v>
      </c>
      <c r="AN202" t="s">
        <v>74</v>
      </c>
      <c r="AO202" t="s">
        <v>503</v>
      </c>
      <c r="AP202" t="s">
        <v>504</v>
      </c>
      <c r="AQ202" t="s">
        <v>74</v>
      </c>
      <c r="AR202" t="s">
        <v>74</v>
      </c>
      <c r="AS202" t="s">
        <v>74</v>
      </c>
      <c r="AT202" t="s">
        <v>406</v>
      </c>
      <c r="AU202">
        <v>2021</v>
      </c>
      <c r="AV202">
        <v>129</v>
      </c>
      <c r="AW202" t="s">
        <v>74</v>
      </c>
      <c r="AX202" t="s">
        <v>74</v>
      </c>
      <c r="AY202" t="s">
        <v>74</v>
      </c>
      <c r="AZ202" t="s">
        <v>74</v>
      </c>
      <c r="BA202" t="s">
        <v>74</v>
      </c>
      <c r="BB202" t="s">
        <v>74</v>
      </c>
      <c r="BC202" t="s">
        <v>74</v>
      </c>
      <c r="BD202">
        <v>107891</v>
      </c>
      <c r="BE202" t="s">
        <v>1672</v>
      </c>
      <c r="BF202" t="str">
        <f>HYPERLINK("http://dx.doi.org/10.1016/j.ecolind.2021.107891","http://dx.doi.org/10.1016/j.ecolind.2021.107891")</f>
        <v>http://dx.doi.org/10.1016/j.ecolind.2021.107891</v>
      </c>
      <c r="BG202" t="s">
        <v>74</v>
      </c>
      <c r="BH202" t="s">
        <v>1650</v>
      </c>
      <c r="BI202" t="s">
        <v>74</v>
      </c>
      <c r="BJ202" t="s">
        <v>74</v>
      </c>
      <c r="BK202" t="s">
        <v>74</v>
      </c>
      <c r="BL202" t="s">
        <v>74</v>
      </c>
      <c r="BM202" t="s">
        <v>74</v>
      </c>
      <c r="BN202" t="s">
        <v>74</v>
      </c>
      <c r="BO202" t="s">
        <v>74</v>
      </c>
      <c r="BP202" t="s">
        <v>74</v>
      </c>
      <c r="BQ202" t="s">
        <v>74</v>
      </c>
      <c r="BR202" t="s">
        <v>74</v>
      </c>
      <c r="BS202" t="s">
        <v>1673</v>
      </c>
      <c r="BT202" t="str">
        <f>HYPERLINK("https%3A%2F%2Fwww.webofscience.com%2Fwos%2Fwoscc%2Ffull-record%2FWOS:000685000000004","View Full Record in Web of Science")</f>
        <v>View Full Record in Web of Science</v>
      </c>
    </row>
    <row r="203" spans="1:72" x14ac:dyDescent="0.2">
      <c r="A203" t="s">
        <v>72</v>
      </c>
      <c r="B203" t="s">
        <v>1674</v>
      </c>
      <c r="C203" t="s">
        <v>74</v>
      </c>
      <c r="D203" t="s">
        <v>74</v>
      </c>
      <c r="E203" t="s">
        <v>74</v>
      </c>
      <c r="F203" t="s">
        <v>1675</v>
      </c>
      <c r="G203" t="s">
        <v>74</v>
      </c>
      <c r="H203" t="s">
        <v>74</v>
      </c>
      <c r="I203" t="s">
        <v>1676</v>
      </c>
      <c r="J203" t="s">
        <v>1677</v>
      </c>
      <c r="K203" t="s">
        <v>74</v>
      </c>
      <c r="L203" t="s">
        <v>74</v>
      </c>
      <c r="M203" t="s">
        <v>74</v>
      </c>
      <c r="N203" t="s">
        <v>74</v>
      </c>
      <c r="O203" t="s">
        <v>74</v>
      </c>
      <c r="P203" t="s">
        <v>74</v>
      </c>
      <c r="Q203" t="s">
        <v>74</v>
      </c>
      <c r="R203" t="s">
        <v>74</v>
      </c>
      <c r="S203" t="s">
        <v>74</v>
      </c>
      <c r="T203" t="s">
        <v>74</v>
      </c>
      <c r="U203" t="s">
        <v>74</v>
      </c>
      <c r="V203" t="s">
        <v>74</v>
      </c>
      <c r="W203" t="s">
        <v>74</v>
      </c>
      <c r="X203" t="s">
        <v>74</v>
      </c>
      <c r="Y203" t="s">
        <v>74</v>
      </c>
      <c r="Z203" t="s">
        <v>74</v>
      </c>
      <c r="AA203" t="s">
        <v>6757</v>
      </c>
      <c r="AB203" t="s">
        <v>6758</v>
      </c>
      <c r="AC203" t="s">
        <v>74</v>
      </c>
      <c r="AD203" t="s">
        <v>74</v>
      </c>
      <c r="AE203" t="s">
        <v>74</v>
      </c>
      <c r="AF203" t="s">
        <v>74</v>
      </c>
      <c r="AG203" t="s">
        <v>74</v>
      </c>
      <c r="AH203" t="s">
        <v>74</v>
      </c>
      <c r="AI203" t="s">
        <v>74</v>
      </c>
      <c r="AJ203" t="s">
        <v>74</v>
      </c>
      <c r="AK203" t="s">
        <v>74</v>
      </c>
      <c r="AL203" t="s">
        <v>74</v>
      </c>
      <c r="AM203" t="s">
        <v>74</v>
      </c>
      <c r="AN203" t="s">
        <v>74</v>
      </c>
      <c r="AO203" t="s">
        <v>1678</v>
      </c>
      <c r="AP203" t="s">
        <v>1679</v>
      </c>
      <c r="AQ203" t="s">
        <v>74</v>
      </c>
      <c r="AR203" t="s">
        <v>74</v>
      </c>
      <c r="AS203" t="s">
        <v>74</v>
      </c>
      <c r="AT203" t="s">
        <v>520</v>
      </c>
      <c r="AU203">
        <v>2021</v>
      </c>
      <c r="AV203">
        <v>35</v>
      </c>
      <c r="AW203">
        <v>4</v>
      </c>
      <c r="AX203" t="s">
        <v>74</v>
      </c>
      <c r="AY203" t="s">
        <v>74</v>
      </c>
      <c r="AZ203" t="s">
        <v>74</v>
      </c>
      <c r="BA203" t="s">
        <v>74</v>
      </c>
      <c r="BB203">
        <v>595</v>
      </c>
      <c r="BC203">
        <v>607</v>
      </c>
      <c r="BD203" t="s">
        <v>74</v>
      </c>
      <c r="BE203" t="s">
        <v>1680</v>
      </c>
      <c r="BF203" t="str">
        <f>HYPERLINK("http://dx.doi.org/10.1007/s10682-021-10119-8","http://dx.doi.org/10.1007/s10682-021-10119-8")</f>
        <v>http://dx.doi.org/10.1007/s10682-021-10119-8</v>
      </c>
      <c r="BG203" t="s">
        <v>74</v>
      </c>
      <c r="BH203" t="s">
        <v>1650</v>
      </c>
      <c r="BI203" t="s">
        <v>74</v>
      </c>
      <c r="BJ203" t="s">
        <v>74</v>
      </c>
      <c r="BK203" t="s">
        <v>74</v>
      </c>
      <c r="BL203" t="s">
        <v>74</v>
      </c>
      <c r="BM203" t="s">
        <v>74</v>
      </c>
      <c r="BN203" t="s">
        <v>74</v>
      </c>
      <c r="BO203" t="s">
        <v>74</v>
      </c>
      <c r="BP203" t="s">
        <v>74</v>
      </c>
      <c r="BQ203" t="s">
        <v>74</v>
      </c>
      <c r="BR203" t="s">
        <v>74</v>
      </c>
      <c r="BS203" t="s">
        <v>1681</v>
      </c>
      <c r="BT203" t="str">
        <f>HYPERLINK("https%3A%2F%2Fwww.webofscience.com%2Fwos%2Fwoscc%2Ffull-record%2FWOS:000658982700001","View Full Record in Web of Science")</f>
        <v>View Full Record in Web of Science</v>
      </c>
    </row>
    <row r="204" spans="1:72" x14ac:dyDescent="0.2">
      <c r="A204" t="s">
        <v>72</v>
      </c>
      <c r="B204" t="s">
        <v>1682</v>
      </c>
      <c r="C204" t="s">
        <v>74</v>
      </c>
      <c r="D204" t="s">
        <v>74</v>
      </c>
      <c r="E204" t="s">
        <v>74</v>
      </c>
      <c r="F204" t="s">
        <v>1683</v>
      </c>
      <c r="G204" t="s">
        <v>74</v>
      </c>
      <c r="H204" t="s">
        <v>74</v>
      </c>
      <c r="I204" t="s">
        <v>1684</v>
      </c>
      <c r="J204" t="s">
        <v>1685</v>
      </c>
      <c r="K204" t="s">
        <v>74</v>
      </c>
      <c r="L204" t="s">
        <v>74</v>
      </c>
      <c r="M204" t="s">
        <v>74</v>
      </c>
      <c r="N204" t="s">
        <v>74</v>
      </c>
      <c r="O204" t="s">
        <v>74</v>
      </c>
      <c r="P204" t="s">
        <v>74</v>
      </c>
      <c r="Q204" t="s">
        <v>74</v>
      </c>
      <c r="R204" t="s">
        <v>74</v>
      </c>
      <c r="S204" t="s">
        <v>74</v>
      </c>
      <c r="T204" t="s">
        <v>74</v>
      </c>
      <c r="U204" t="s">
        <v>74</v>
      </c>
      <c r="V204" t="s">
        <v>74</v>
      </c>
      <c r="W204" t="s">
        <v>74</v>
      </c>
      <c r="X204" t="s">
        <v>74</v>
      </c>
      <c r="Y204" t="s">
        <v>74</v>
      </c>
      <c r="Z204" t="s">
        <v>74</v>
      </c>
      <c r="AA204" t="s">
        <v>6871</v>
      </c>
      <c r="AB204" t="s">
        <v>6872</v>
      </c>
      <c r="AC204" t="s">
        <v>74</v>
      </c>
      <c r="AD204" t="s">
        <v>74</v>
      </c>
      <c r="AE204" t="s">
        <v>74</v>
      </c>
      <c r="AF204" t="s">
        <v>74</v>
      </c>
      <c r="AG204" t="s">
        <v>74</v>
      </c>
      <c r="AH204" t="s">
        <v>74</v>
      </c>
      <c r="AI204" t="s">
        <v>74</v>
      </c>
      <c r="AJ204" t="s">
        <v>74</v>
      </c>
      <c r="AK204" t="s">
        <v>74</v>
      </c>
      <c r="AL204" t="s">
        <v>74</v>
      </c>
      <c r="AM204" t="s">
        <v>74</v>
      </c>
      <c r="AN204" t="s">
        <v>74</v>
      </c>
      <c r="AO204" t="s">
        <v>1686</v>
      </c>
      <c r="AP204" t="s">
        <v>74</v>
      </c>
      <c r="AQ204" t="s">
        <v>74</v>
      </c>
      <c r="AR204" t="s">
        <v>74</v>
      </c>
      <c r="AS204" t="s">
        <v>74</v>
      </c>
      <c r="AT204" t="s">
        <v>569</v>
      </c>
      <c r="AU204">
        <v>2021</v>
      </c>
      <c r="AV204">
        <v>6</v>
      </c>
      <c r="AW204">
        <v>3</v>
      </c>
      <c r="AX204" t="s">
        <v>74</v>
      </c>
      <c r="AY204" t="s">
        <v>74</v>
      </c>
      <c r="AZ204" t="s">
        <v>74</v>
      </c>
      <c r="BA204" t="s">
        <v>74</v>
      </c>
      <c r="BB204" t="s">
        <v>74</v>
      </c>
      <c r="BC204" t="s">
        <v>74</v>
      </c>
      <c r="BD204" t="s">
        <v>1687</v>
      </c>
      <c r="BE204" t="s">
        <v>1688</v>
      </c>
      <c r="BF204" t="str">
        <f>HYPERLINK("http://dx.doi.org/10.1128/mSystems.01196-20","http://dx.doi.org/10.1128/mSystems.01196-20")</f>
        <v>http://dx.doi.org/10.1128/mSystems.01196-20</v>
      </c>
      <c r="BG204" t="s">
        <v>74</v>
      </c>
      <c r="BH204" t="s">
        <v>74</v>
      </c>
      <c r="BI204" t="s">
        <v>74</v>
      </c>
      <c r="BJ204" t="s">
        <v>74</v>
      </c>
      <c r="BK204" t="s">
        <v>74</v>
      </c>
      <c r="BL204" t="s">
        <v>74</v>
      </c>
      <c r="BM204" t="s">
        <v>74</v>
      </c>
      <c r="BN204">
        <v>33975970</v>
      </c>
      <c r="BO204" t="s">
        <v>74</v>
      </c>
      <c r="BP204" t="s">
        <v>74</v>
      </c>
      <c r="BQ204" t="s">
        <v>74</v>
      </c>
      <c r="BR204" t="s">
        <v>74</v>
      </c>
      <c r="BS204" t="s">
        <v>1689</v>
      </c>
      <c r="BT204" t="str">
        <f>HYPERLINK("https%3A%2F%2Fwww.webofscience.com%2Fwos%2Fwoscc%2Ffull-record%2FWOS:000709811800011","View Full Record in Web of Science")</f>
        <v>View Full Record in Web of Science</v>
      </c>
    </row>
    <row r="205" spans="1:72" x14ac:dyDescent="0.2">
      <c r="A205" t="s">
        <v>72</v>
      </c>
      <c r="B205" t="s">
        <v>1690</v>
      </c>
      <c r="C205" t="s">
        <v>74</v>
      </c>
      <c r="D205" t="s">
        <v>74</v>
      </c>
      <c r="E205" t="s">
        <v>74</v>
      </c>
      <c r="F205" t="s">
        <v>1691</v>
      </c>
      <c r="G205" t="s">
        <v>74</v>
      </c>
      <c r="H205" t="s">
        <v>74</v>
      </c>
      <c r="I205" t="s">
        <v>1692</v>
      </c>
      <c r="J205" t="s">
        <v>331</v>
      </c>
      <c r="K205" t="s">
        <v>74</v>
      </c>
      <c r="L205" t="s">
        <v>74</v>
      </c>
      <c r="M205" t="s">
        <v>74</v>
      </c>
      <c r="N205" t="s">
        <v>74</v>
      </c>
      <c r="O205" t="s">
        <v>74</v>
      </c>
      <c r="P205" t="s">
        <v>74</v>
      </c>
      <c r="Q205" t="s">
        <v>74</v>
      </c>
      <c r="R205" t="s">
        <v>74</v>
      </c>
      <c r="S205" t="s">
        <v>74</v>
      </c>
      <c r="T205" t="s">
        <v>74</v>
      </c>
      <c r="U205" t="s">
        <v>74</v>
      </c>
      <c r="V205" t="s">
        <v>74</v>
      </c>
      <c r="W205" t="s">
        <v>74</v>
      </c>
      <c r="X205" t="s">
        <v>74</v>
      </c>
      <c r="Y205" t="s">
        <v>74</v>
      </c>
      <c r="Z205" t="s">
        <v>74</v>
      </c>
      <c r="AA205" t="s">
        <v>74</v>
      </c>
      <c r="AB205" t="s">
        <v>1693</v>
      </c>
      <c r="AC205" t="s">
        <v>74</v>
      </c>
      <c r="AD205" t="s">
        <v>74</v>
      </c>
      <c r="AE205" t="s">
        <v>74</v>
      </c>
      <c r="AF205" t="s">
        <v>74</v>
      </c>
      <c r="AG205" t="s">
        <v>74</v>
      </c>
      <c r="AH205" t="s">
        <v>74</v>
      </c>
      <c r="AI205" t="s">
        <v>74</v>
      </c>
      <c r="AJ205" t="s">
        <v>74</v>
      </c>
      <c r="AK205" t="s">
        <v>74</v>
      </c>
      <c r="AL205" t="s">
        <v>74</v>
      </c>
      <c r="AM205" t="s">
        <v>74</v>
      </c>
      <c r="AN205" t="s">
        <v>74</v>
      </c>
      <c r="AO205" t="s">
        <v>74</v>
      </c>
      <c r="AP205" t="s">
        <v>334</v>
      </c>
      <c r="AQ205" t="s">
        <v>74</v>
      </c>
      <c r="AR205" t="s">
        <v>74</v>
      </c>
      <c r="AS205" t="s">
        <v>74</v>
      </c>
      <c r="AT205" t="s">
        <v>569</v>
      </c>
      <c r="AU205">
        <v>2021</v>
      </c>
      <c r="AV205">
        <v>13</v>
      </c>
      <c r="AW205">
        <v>11</v>
      </c>
      <c r="AX205" t="s">
        <v>74</v>
      </c>
      <c r="AY205" t="s">
        <v>74</v>
      </c>
      <c r="AZ205" t="s">
        <v>74</v>
      </c>
      <c r="BA205" t="s">
        <v>74</v>
      </c>
      <c r="BB205" t="s">
        <v>74</v>
      </c>
      <c r="BC205" t="s">
        <v>74</v>
      </c>
      <c r="BD205">
        <v>1591</v>
      </c>
      <c r="BE205" t="s">
        <v>1694</v>
      </c>
      <c r="BF205" t="str">
        <f>HYPERLINK("http://dx.doi.org/10.3390/w13111591","http://dx.doi.org/10.3390/w13111591")</f>
        <v>http://dx.doi.org/10.3390/w13111591</v>
      </c>
      <c r="BG205" t="s">
        <v>74</v>
      </c>
      <c r="BH205" t="s">
        <v>74</v>
      </c>
      <c r="BI205" t="s">
        <v>74</v>
      </c>
      <c r="BJ205" t="s">
        <v>74</v>
      </c>
      <c r="BK205" t="s">
        <v>74</v>
      </c>
      <c r="BL205" t="s">
        <v>74</v>
      </c>
      <c r="BM205" t="s">
        <v>74</v>
      </c>
      <c r="BN205" t="s">
        <v>74</v>
      </c>
      <c r="BO205" t="s">
        <v>74</v>
      </c>
      <c r="BP205" t="s">
        <v>74</v>
      </c>
      <c r="BQ205" t="s">
        <v>74</v>
      </c>
      <c r="BR205" t="s">
        <v>74</v>
      </c>
      <c r="BS205" t="s">
        <v>1695</v>
      </c>
      <c r="BT205" t="str">
        <f>HYPERLINK("https%3A%2F%2Fwww.webofscience.com%2Fwos%2Fwoscc%2Ffull-record%2FWOS:000660816500001","View Full Record in Web of Science")</f>
        <v>View Full Record in Web of Science</v>
      </c>
    </row>
    <row r="206" spans="1:72" x14ac:dyDescent="0.2">
      <c r="A206" t="s">
        <v>72</v>
      </c>
      <c r="B206" t="s">
        <v>1696</v>
      </c>
      <c r="C206" t="s">
        <v>74</v>
      </c>
      <c r="D206" t="s">
        <v>74</v>
      </c>
      <c r="E206" t="s">
        <v>74</v>
      </c>
      <c r="F206" t="s">
        <v>1697</v>
      </c>
      <c r="G206" t="s">
        <v>74</v>
      </c>
      <c r="H206" t="s">
        <v>74</v>
      </c>
      <c r="I206" t="s">
        <v>1698</v>
      </c>
      <c r="J206" t="s">
        <v>331</v>
      </c>
      <c r="K206" t="s">
        <v>74</v>
      </c>
      <c r="L206" t="s">
        <v>74</v>
      </c>
      <c r="M206" t="s">
        <v>74</v>
      </c>
      <c r="N206" t="s">
        <v>74</v>
      </c>
      <c r="O206" t="s">
        <v>74</v>
      </c>
      <c r="P206" t="s">
        <v>74</v>
      </c>
      <c r="Q206" t="s">
        <v>74</v>
      </c>
      <c r="R206" t="s">
        <v>74</v>
      </c>
      <c r="S206" t="s">
        <v>74</v>
      </c>
      <c r="T206" t="s">
        <v>74</v>
      </c>
      <c r="U206" t="s">
        <v>74</v>
      </c>
      <c r="V206" t="s">
        <v>74</v>
      </c>
      <c r="W206" t="s">
        <v>74</v>
      </c>
      <c r="X206" t="s">
        <v>74</v>
      </c>
      <c r="Y206" t="s">
        <v>74</v>
      </c>
      <c r="Z206" t="s">
        <v>74</v>
      </c>
      <c r="AA206" t="s">
        <v>74</v>
      </c>
      <c r="AB206" t="s">
        <v>74</v>
      </c>
      <c r="AC206" t="s">
        <v>74</v>
      </c>
      <c r="AD206" t="s">
        <v>74</v>
      </c>
      <c r="AE206" t="s">
        <v>74</v>
      </c>
      <c r="AF206" t="s">
        <v>74</v>
      </c>
      <c r="AG206" t="s">
        <v>74</v>
      </c>
      <c r="AH206" t="s">
        <v>74</v>
      </c>
      <c r="AI206" t="s">
        <v>74</v>
      </c>
      <c r="AJ206" t="s">
        <v>74</v>
      </c>
      <c r="AK206" t="s">
        <v>74</v>
      </c>
      <c r="AL206" t="s">
        <v>74</v>
      </c>
      <c r="AM206" t="s">
        <v>74</v>
      </c>
      <c r="AN206" t="s">
        <v>74</v>
      </c>
      <c r="AO206" t="s">
        <v>74</v>
      </c>
      <c r="AP206" t="s">
        <v>334</v>
      </c>
      <c r="AQ206" t="s">
        <v>74</v>
      </c>
      <c r="AR206" t="s">
        <v>74</v>
      </c>
      <c r="AS206" t="s">
        <v>74</v>
      </c>
      <c r="AT206" t="s">
        <v>569</v>
      </c>
      <c r="AU206">
        <v>2021</v>
      </c>
      <c r="AV206">
        <v>13</v>
      </c>
      <c r="AW206">
        <v>11</v>
      </c>
      <c r="AX206" t="s">
        <v>74</v>
      </c>
      <c r="AY206" t="s">
        <v>74</v>
      </c>
      <c r="AZ206" t="s">
        <v>74</v>
      </c>
      <c r="BA206" t="s">
        <v>74</v>
      </c>
      <c r="BB206" t="s">
        <v>74</v>
      </c>
      <c r="BC206" t="s">
        <v>74</v>
      </c>
      <c r="BD206">
        <v>1442</v>
      </c>
      <c r="BE206" t="s">
        <v>1699</v>
      </c>
      <c r="BF206" t="str">
        <f>HYPERLINK("http://dx.doi.org/10.3390/w13111442","http://dx.doi.org/10.3390/w13111442")</f>
        <v>http://dx.doi.org/10.3390/w13111442</v>
      </c>
      <c r="BG206" t="s">
        <v>74</v>
      </c>
      <c r="BH206" t="s">
        <v>74</v>
      </c>
      <c r="BI206" t="s">
        <v>74</v>
      </c>
      <c r="BJ206" t="s">
        <v>74</v>
      </c>
      <c r="BK206" t="s">
        <v>74</v>
      </c>
      <c r="BL206" t="s">
        <v>74</v>
      </c>
      <c r="BM206" t="s">
        <v>74</v>
      </c>
      <c r="BN206" t="s">
        <v>74</v>
      </c>
      <c r="BO206" t="s">
        <v>74</v>
      </c>
      <c r="BP206" t="s">
        <v>74</v>
      </c>
      <c r="BQ206" t="s">
        <v>74</v>
      </c>
      <c r="BR206" t="s">
        <v>74</v>
      </c>
      <c r="BS206" t="s">
        <v>1700</v>
      </c>
      <c r="BT206" t="str">
        <f>HYPERLINK("https%3A%2F%2Fwww.webofscience.com%2Fwos%2Fwoscc%2Ffull-record%2FWOS:000660840900001","View Full Record in Web of Science")</f>
        <v>View Full Record in Web of Science</v>
      </c>
    </row>
    <row r="207" spans="1:72" x14ac:dyDescent="0.2">
      <c r="A207" t="s">
        <v>72</v>
      </c>
      <c r="B207" t="s">
        <v>1701</v>
      </c>
      <c r="C207" t="s">
        <v>74</v>
      </c>
      <c r="D207" t="s">
        <v>74</v>
      </c>
      <c r="E207" t="s">
        <v>74</v>
      </c>
      <c r="F207" t="s">
        <v>1702</v>
      </c>
      <c r="G207" t="s">
        <v>74</v>
      </c>
      <c r="H207" t="s">
        <v>74</v>
      </c>
      <c r="I207" t="s">
        <v>1703</v>
      </c>
      <c r="J207" t="s">
        <v>1523</v>
      </c>
      <c r="K207" t="s">
        <v>74</v>
      </c>
      <c r="L207" t="s">
        <v>74</v>
      </c>
      <c r="M207" t="s">
        <v>74</v>
      </c>
      <c r="N207" t="s">
        <v>74</v>
      </c>
      <c r="O207" t="s">
        <v>74</v>
      </c>
      <c r="P207" t="s">
        <v>74</v>
      </c>
      <c r="Q207" t="s">
        <v>74</v>
      </c>
      <c r="R207" t="s">
        <v>74</v>
      </c>
      <c r="S207" t="s">
        <v>74</v>
      </c>
      <c r="T207" t="s">
        <v>74</v>
      </c>
      <c r="U207" t="s">
        <v>74</v>
      </c>
      <c r="V207" t="s">
        <v>74</v>
      </c>
      <c r="W207" t="s">
        <v>74</v>
      </c>
      <c r="X207" t="s">
        <v>74</v>
      </c>
      <c r="Y207" t="s">
        <v>74</v>
      </c>
      <c r="Z207" t="s">
        <v>74</v>
      </c>
      <c r="AA207" t="s">
        <v>6873</v>
      </c>
      <c r="AB207" t="s">
        <v>6874</v>
      </c>
      <c r="AC207" t="s">
        <v>74</v>
      </c>
      <c r="AD207" t="s">
        <v>74</v>
      </c>
      <c r="AE207" t="s">
        <v>74</v>
      </c>
      <c r="AF207" t="s">
        <v>74</v>
      </c>
      <c r="AG207" t="s">
        <v>74</v>
      </c>
      <c r="AH207" t="s">
        <v>74</v>
      </c>
      <c r="AI207" t="s">
        <v>74</v>
      </c>
      <c r="AJ207" t="s">
        <v>74</v>
      </c>
      <c r="AK207" t="s">
        <v>74</v>
      </c>
      <c r="AL207" t="s">
        <v>74</v>
      </c>
      <c r="AM207" t="s">
        <v>74</v>
      </c>
      <c r="AN207" t="s">
        <v>74</v>
      </c>
      <c r="AO207" t="s">
        <v>1524</v>
      </c>
      <c r="AP207" t="s">
        <v>1525</v>
      </c>
      <c r="AQ207" t="s">
        <v>74</v>
      </c>
      <c r="AR207" t="s">
        <v>74</v>
      </c>
      <c r="AS207" t="s">
        <v>74</v>
      </c>
      <c r="AT207" t="s">
        <v>624</v>
      </c>
      <c r="AU207">
        <v>2021</v>
      </c>
      <c r="AV207">
        <v>102</v>
      </c>
      <c r="AW207">
        <v>7</v>
      </c>
      <c r="AX207" t="s">
        <v>74</v>
      </c>
      <c r="AY207" t="s">
        <v>74</v>
      </c>
      <c r="AZ207" t="s">
        <v>74</v>
      </c>
      <c r="BA207" t="s">
        <v>74</v>
      </c>
      <c r="BB207" t="s">
        <v>74</v>
      </c>
      <c r="BC207" t="s">
        <v>74</v>
      </c>
      <c r="BD207" t="s">
        <v>1704</v>
      </c>
      <c r="BE207" t="s">
        <v>1705</v>
      </c>
      <c r="BF207" t="str">
        <f>HYPERLINK("http://dx.doi.org/10.1002/ecy.3370","http://dx.doi.org/10.1002/ecy.3370")</f>
        <v>http://dx.doi.org/10.1002/ecy.3370</v>
      </c>
      <c r="BG207" t="s">
        <v>74</v>
      </c>
      <c r="BH207" t="s">
        <v>1650</v>
      </c>
      <c r="BI207" t="s">
        <v>74</v>
      </c>
      <c r="BJ207" t="s">
        <v>74</v>
      </c>
      <c r="BK207" t="s">
        <v>74</v>
      </c>
      <c r="BL207" t="s">
        <v>74</v>
      </c>
      <c r="BM207" t="s">
        <v>74</v>
      </c>
      <c r="BN207">
        <v>33961286</v>
      </c>
      <c r="BO207" t="s">
        <v>74</v>
      </c>
      <c r="BP207" t="s">
        <v>74</v>
      </c>
      <c r="BQ207" t="s">
        <v>74</v>
      </c>
      <c r="BR207" t="s">
        <v>74</v>
      </c>
      <c r="BS207" t="s">
        <v>1706</v>
      </c>
      <c r="BT207" t="str">
        <f>HYPERLINK("https%3A%2F%2Fwww.webofscience.com%2Fwos%2Fwoscc%2Ffull-record%2FWOS:000656432900001","View Full Record in Web of Science")</f>
        <v>View Full Record in Web of Science</v>
      </c>
    </row>
    <row r="208" spans="1:72" x14ac:dyDescent="0.2">
      <c r="A208" t="s">
        <v>72</v>
      </c>
      <c r="B208" t="s">
        <v>1707</v>
      </c>
      <c r="C208" t="s">
        <v>74</v>
      </c>
      <c r="D208" t="s">
        <v>74</v>
      </c>
      <c r="E208" t="s">
        <v>74</v>
      </c>
      <c r="F208" t="s">
        <v>1708</v>
      </c>
      <c r="G208" t="s">
        <v>74</v>
      </c>
      <c r="H208" t="s">
        <v>74</v>
      </c>
      <c r="I208" t="s">
        <v>1709</v>
      </c>
      <c r="J208" t="s">
        <v>97</v>
      </c>
      <c r="K208" t="s">
        <v>74</v>
      </c>
      <c r="L208" t="s">
        <v>74</v>
      </c>
      <c r="M208" t="s">
        <v>74</v>
      </c>
      <c r="N208" t="s">
        <v>74</v>
      </c>
      <c r="O208" t="s">
        <v>74</v>
      </c>
      <c r="P208" t="s">
        <v>74</v>
      </c>
      <c r="Q208" t="s">
        <v>74</v>
      </c>
      <c r="R208" t="s">
        <v>74</v>
      </c>
      <c r="S208" t="s">
        <v>74</v>
      </c>
      <c r="T208" t="s">
        <v>74</v>
      </c>
      <c r="U208" t="s">
        <v>74</v>
      </c>
      <c r="V208" t="s">
        <v>74</v>
      </c>
      <c r="W208" t="s">
        <v>74</v>
      </c>
      <c r="X208" t="s">
        <v>74</v>
      </c>
      <c r="Y208" t="s">
        <v>74</v>
      </c>
      <c r="Z208" t="s">
        <v>74</v>
      </c>
      <c r="AA208" t="s">
        <v>6875</v>
      </c>
      <c r="AB208" t="s">
        <v>1446</v>
      </c>
      <c r="AC208" t="s">
        <v>74</v>
      </c>
      <c r="AD208" t="s">
        <v>74</v>
      </c>
      <c r="AE208" t="s">
        <v>74</v>
      </c>
      <c r="AF208" t="s">
        <v>74</v>
      </c>
      <c r="AG208" t="s">
        <v>74</v>
      </c>
      <c r="AH208" t="s">
        <v>74</v>
      </c>
      <c r="AI208" t="s">
        <v>74</v>
      </c>
      <c r="AJ208" t="s">
        <v>74</v>
      </c>
      <c r="AK208" t="s">
        <v>74</v>
      </c>
      <c r="AL208" t="s">
        <v>74</v>
      </c>
      <c r="AM208" t="s">
        <v>74</v>
      </c>
      <c r="AN208" t="s">
        <v>74</v>
      </c>
      <c r="AO208" t="s">
        <v>98</v>
      </c>
      <c r="AP208" t="s">
        <v>99</v>
      </c>
      <c r="AQ208" t="s">
        <v>74</v>
      </c>
      <c r="AR208" t="s">
        <v>74</v>
      </c>
      <c r="AS208" t="s">
        <v>74</v>
      </c>
      <c r="AT208" t="s">
        <v>451</v>
      </c>
      <c r="AU208">
        <v>2021</v>
      </c>
      <c r="AV208">
        <v>55</v>
      </c>
      <c r="AW208">
        <v>3</v>
      </c>
      <c r="AX208" t="s">
        <v>74</v>
      </c>
      <c r="AY208" t="s">
        <v>74</v>
      </c>
      <c r="AZ208" t="s">
        <v>74</v>
      </c>
      <c r="BA208" t="s">
        <v>74</v>
      </c>
      <c r="BB208">
        <v>903</v>
      </c>
      <c r="BC208">
        <v>914</v>
      </c>
      <c r="BD208" t="s">
        <v>74</v>
      </c>
      <c r="BE208" t="s">
        <v>1710</v>
      </c>
      <c r="BF208" t="str">
        <f>HYPERLINK("http://dx.doi.org/10.1007/s10452-021-09870-5","http://dx.doi.org/10.1007/s10452-021-09870-5")</f>
        <v>http://dx.doi.org/10.1007/s10452-021-09870-5</v>
      </c>
      <c r="BG208" t="s">
        <v>74</v>
      </c>
      <c r="BH208" t="s">
        <v>1711</v>
      </c>
      <c r="BI208" t="s">
        <v>74</v>
      </c>
      <c r="BJ208" t="s">
        <v>74</v>
      </c>
      <c r="BK208" t="s">
        <v>74</v>
      </c>
      <c r="BL208" t="s">
        <v>74</v>
      </c>
      <c r="BM208" t="s">
        <v>74</v>
      </c>
      <c r="BN208" t="s">
        <v>74</v>
      </c>
      <c r="BO208" t="s">
        <v>74</v>
      </c>
      <c r="BP208" t="s">
        <v>74</v>
      </c>
      <c r="BQ208" t="s">
        <v>74</v>
      </c>
      <c r="BR208" t="s">
        <v>74</v>
      </c>
      <c r="BS208" t="s">
        <v>1712</v>
      </c>
      <c r="BT208" t="str">
        <f>HYPERLINK("https%3A%2F%2Fwww.webofscience.com%2Fwos%2Fwoscc%2Ffull-record%2FWOS:000651664400001","View Full Record in Web of Science")</f>
        <v>View Full Record in Web of Science</v>
      </c>
    </row>
    <row r="209" spans="1:72" x14ac:dyDescent="0.2">
      <c r="A209" t="s">
        <v>72</v>
      </c>
      <c r="B209" t="s">
        <v>1713</v>
      </c>
      <c r="C209" t="s">
        <v>74</v>
      </c>
      <c r="D209" t="s">
        <v>74</v>
      </c>
      <c r="E209" t="s">
        <v>74</v>
      </c>
      <c r="F209" t="s">
        <v>1714</v>
      </c>
      <c r="G209" t="s">
        <v>74</v>
      </c>
      <c r="H209" t="s">
        <v>74</v>
      </c>
      <c r="I209" t="s">
        <v>1715</v>
      </c>
      <c r="J209" t="s">
        <v>1716</v>
      </c>
      <c r="K209" t="s">
        <v>74</v>
      </c>
      <c r="L209" t="s">
        <v>74</v>
      </c>
      <c r="M209" t="s">
        <v>74</v>
      </c>
      <c r="N209" t="s">
        <v>74</v>
      </c>
      <c r="O209" t="s">
        <v>74</v>
      </c>
      <c r="P209" t="s">
        <v>74</v>
      </c>
      <c r="Q209" t="s">
        <v>74</v>
      </c>
      <c r="R209" t="s">
        <v>74</v>
      </c>
      <c r="S209" t="s">
        <v>74</v>
      </c>
      <c r="T209" t="s">
        <v>74</v>
      </c>
      <c r="U209" t="s">
        <v>74</v>
      </c>
      <c r="V209" t="s">
        <v>74</v>
      </c>
      <c r="W209" t="s">
        <v>74</v>
      </c>
      <c r="X209" t="s">
        <v>74</v>
      </c>
      <c r="Y209" t="s">
        <v>74</v>
      </c>
      <c r="Z209" t="s">
        <v>74</v>
      </c>
      <c r="AA209" t="s">
        <v>6876</v>
      </c>
      <c r="AB209" t="s">
        <v>6877</v>
      </c>
      <c r="AC209" t="s">
        <v>74</v>
      </c>
      <c r="AD209" t="s">
        <v>74</v>
      </c>
      <c r="AE209" t="s">
        <v>74</v>
      </c>
      <c r="AF209" t="s">
        <v>74</v>
      </c>
      <c r="AG209" t="s">
        <v>74</v>
      </c>
      <c r="AH209" t="s">
        <v>74</v>
      </c>
      <c r="AI209" t="s">
        <v>74</v>
      </c>
      <c r="AJ209" t="s">
        <v>74</v>
      </c>
      <c r="AK209" t="s">
        <v>74</v>
      </c>
      <c r="AL209" t="s">
        <v>74</v>
      </c>
      <c r="AM209" t="s">
        <v>74</v>
      </c>
      <c r="AN209" t="s">
        <v>74</v>
      </c>
      <c r="AO209" t="s">
        <v>1717</v>
      </c>
      <c r="AP209" t="s">
        <v>1718</v>
      </c>
      <c r="AQ209" t="s">
        <v>74</v>
      </c>
      <c r="AR209" t="s">
        <v>74</v>
      </c>
      <c r="AS209" t="s">
        <v>74</v>
      </c>
      <c r="AT209" t="s">
        <v>520</v>
      </c>
      <c r="AU209">
        <v>2021</v>
      </c>
      <c r="AV209">
        <v>57</v>
      </c>
      <c r="AW209">
        <v>4</v>
      </c>
      <c r="AX209" t="s">
        <v>74</v>
      </c>
      <c r="AY209" t="s">
        <v>74</v>
      </c>
      <c r="AZ209" t="s">
        <v>74</v>
      </c>
      <c r="BA209" t="s">
        <v>74</v>
      </c>
      <c r="BB209">
        <v>1309</v>
      </c>
      <c r="BC209">
        <v>1322</v>
      </c>
      <c r="BD209" t="s">
        <v>74</v>
      </c>
      <c r="BE209" t="s">
        <v>1719</v>
      </c>
      <c r="BF209" t="str">
        <f>HYPERLINK("http://dx.doi.org/10.1111/jpy.13170","http://dx.doi.org/10.1111/jpy.13170")</f>
        <v>http://dx.doi.org/10.1111/jpy.13170</v>
      </c>
      <c r="BG209" t="s">
        <v>74</v>
      </c>
      <c r="BH209" t="s">
        <v>1711</v>
      </c>
      <c r="BI209" t="s">
        <v>74</v>
      </c>
      <c r="BJ209" t="s">
        <v>74</v>
      </c>
      <c r="BK209" t="s">
        <v>74</v>
      </c>
      <c r="BL209" t="s">
        <v>74</v>
      </c>
      <c r="BM209" t="s">
        <v>74</v>
      </c>
      <c r="BN209">
        <v>33749827</v>
      </c>
      <c r="BO209" t="s">
        <v>74</v>
      </c>
      <c r="BP209" t="s">
        <v>74</v>
      </c>
      <c r="BQ209" t="s">
        <v>74</v>
      </c>
      <c r="BR209" t="s">
        <v>74</v>
      </c>
      <c r="BS209" t="s">
        <v>1720</v>
      </c>
      <c r="BT209" t="str">
        <f>HYPERLINK("https%3A%2F%2Fwww.webofscience.com%2Fwos%2Fwoscc%2Ffull-record%2FWOS:000650458000001","View Full Record in Web of Science")</f>
        <v>View Full Record in Web of Science</v>
      </c>
    </row>
    <row r="210" spans="1:72" x14ac:dyDescent="0.2">
      <c r="A210" t="s">
        <v>72</v>
      </c>
      <c r="B210" t="s">
        <v>1721</v>
      </c>
      <c r="C210" t="s">
        <v>74</v>
      </c>
      <c r="D210" t="s">
        <v>74</v>
      </c>
      <c r="E210" t="s">
        <v>74</v>
      </c>
      <c r="F210" t="s">
        <v>1722</v>
      </c>
      <c r="G210" t="s">
        <v>74</v>
      </c>
      <c r="H210" t="s">
        <v>74</v>
      </c>
      <c r="I210" t="s">
        <v>1723</v>
      </c>
      <c r="J210" t="s">
        <v>124</v>
      </c>
      <c r="K210" t="s">
        <v>74</v>
      </c>
      <c r="L210" t="s">
        <v>74</v>
      </c>
      <c r="M210" t="s">
        <v>74</v>
      </c>
      <c r="N210" t="s">
        <v>74</v>
      </c>
      <c r="O210" t="s">
        <v>74</v>
      </c>
      <c r="P210" t="s">
        <v>74</v>
      </c>
      <c r="Q210" t="s">
        <v>74</v>
      </c>
      <c r="R210" t="s">
        <v>74</v>
      </c>
      <c r="S210" t="s">
        <v>74</v>
      </c>
      <c r="T210" t="s">
        <v>74</v>
      </c>
      <c r="U210" t="s">
        <v>74</v>
      </c>
      <c r="V210" t="s">
        <v>74</v>
      </c>
      <c r="W210" t="s">
        <v>74</v>
      </c>
      <c r="X210" t="s">
        <v>74</v>
      </c>
      <c r="Y210" t="s">
        <v>74</v>
      </c>
      <c r="Z210" t="s">
        <v>74</v>
      </c>
      <c r="AA210" t="s">
        <v>1724</v>
      </c>
      <c r="AB210" t="s">
        <v>1725</v>
      </c>
      <c r="AC210" t="s">
        <v>74</v>
      </c>
      <c r="AD210" t="s">
        <v>74</v>
      </c>
      <c r="AE210" t="s">
        <v>74</v>
      </c>
      <c r="AF210" t="s">
        <v>74</v>
      </c>
      <c r="AG210" t="s">
        <v>74</v>
      </c>
      <c r="AH210" t="s">
        <v>74</v>
      </c>
      <c r="AI210" t="s">
        <v>74</v>
      </c>
      <c r="AJ210" t="s">
        <v>74</v>
      </c>
      <c r="AK210" t="s">
        <v>74</v>
      </c>
      <c r="AL210" t="s">
        <v>74</v>
      </c>
      <c r="AM210" t="s">
        <v>74</v>
      </c>
      <c r="AN210" t="s">
        <v>74</v>
      </c>
      <c r="AO210" t="s">
        <v>127</v>
      </c>
      <c r="AP210" t="s">
        <v>128</v>
      </c>
      <c r="AQ210" t="s">
        <v>74</v>
      </c>
      <c r="AR210" t="s">
        <v>74</v>
      </c>
      <c r="AS210" t="s">
        <v>74</v>
      </c>
      <c r="AT210" t="s">
        <v>451</v>
      </c>
      <c r="AU210">
        <v>2021</v>
      </c>
      <c r="AV210">
        <v>848</v>
      </c>
      <c r="AW210">
        <v>15</v>
      </c>
      <c r="AX210" t="s">
        <v>74</v>
      </c>
      <c r="AY210" t="s">
        <v>74</v>
      </c>
      <c r="AZ210" t="s">
        <v>74</v>
      </c>
      <c r="BA210" t="s">
        <v>74</v>
      </c>
      <c r="BB210">
        <v>3371</v>
      </c>
      <c r="BC210">
        <v>3388</v>
      </c>
      <c r="BD210" t="s">
        <v>74</v>
      </c>
      <c r="BE210" t="s">
        <v>1726</v>
      </c>
      <c r="BF210" t="str">
        <f>HYPERLINK("http://dx.doi.org/10.1007/s10750-021-04602-0","http://dx.doi.org/10.1007/s10750-021-04602-0")</f>
        <v>http://dx.doi.org/10.1007/s10750-021-04602-0</v>
      </c>
      <c r="BG210" t="s">
        <v>74</v>
      </c>
      <c r="BH210" t="s">
        <v>1711</v>
      </c>
      <c r="BI210" t="s">
        <v>74</v>
      </c>
      <c r="BJ210" t="s">
        <v>74</v>
      </c>
      <c r="BK210" t="s">
        <v>74</v>
      </c>
      <c r="BL210" t="s">
        <v>74</v>
      </c>
      <c r="BM210" t="s">
        <v>74</v>
      </c>
      <c r="BN210" t="s">
        <v>74</v>
      </c>
      <c r="BO210" t="s">
        <v>74</v>
      </c>
      <c r="BP210" t="s">
        <v>74</v>
      </c>
      <c r="BQ210" t="s">
        <v>74</v>
      </c>
      <c r="BR210" t="s">
        <v>74</v>
      </c>
      <c r="BS210" t="s">
        <v>1727</v>
      </c>
      <c r="BT210" t="str">
        <f>HYPERLINK("https%3A%2F%2Fwww.webofscience.com%2Fwos%2Fwoscc%2Ffull-record%2FWOS:000650076600001","View Full Record in Web of Science")</f>
        <v>View Full Record in Web of Science</v>
      </c>
    </row>
    <row r="211" spans="1:72" x14ac:dyDescent="0.2">
      <c r="A211" t="s">
        <v>72</v>
      </c>
      <c r="B211" t="s">
        <v>1728</v>
      </c>
      <c r="C211" t="s">
        <v>74</v>
      </c>
      <c r="D211" t="s">
        <v>74</v>
      </c>
      <c r="E211" t="s">
        <v>74</v>
      </c>
      <c r="F211" t="s">
        <v>1729</v>
      </c>
      <c r="G211" t="s">
        <v>74</v>
      </c>
      <c r="H211" t="s">
        <v>74</v>
      </c>
      <c r="I211" t="s">
        <v>1730</v>
      </c>
      <c r="J211" t="s">
        <v>844</v>
      </c>
      <c r="K211" t="s">
        <v>74</v>
      </c>
      <c r="L211" t="s">
        <v>74</v>
      </c>
      <c r="M211" t="s">
        <v>74</v>
      </c>
      <c r="N211" t="s">
        <v>74</v>
      </c>
      <c r="O211" t="s">
        <v>74</v>
      </c>
      <c r="P211" t="s">
        <v>74</v>
      </c>
      <c r="Q211" t="s">
        <v>74</v>
      </c>
      <c r="R211" t="s">
        <v>74</v>
      </c>
      <c r="S211" t="s">
        <v>74</v>
      </c>
      <c r="T211" t="s">
        <v>74</v>
      </c>
      <c r="U211" t="s">
        <v>74</v>
      </c>
      <c r="V211" t="s">
        <v>74</v>
      </c>
      <c r="W211" t="s">
        <v>74</v>
      </c>
      <c r="X211" t="s">
        <v>74</v>
      </c>
      <c r="Y211" t="s">
        <v>74</v>
      </c>
      <c r="Z211" t="s">
        <v>74</v>
      </c>
      <c r="AA211" t="s">
        <v>1731</v>
      </c>
      <c r="AB211" t="s">
        <v>6878</v>
      </c>
      <c r="AC211" t="s">
        <v>74</v>
      </c>
      <c r="AD211" t="s">
        <v>74</v>
      </c>
      <c r="AE211" t="s">
        <v>74</v>
      </c>
      <c r="AF211" t="s">
        <v>74</v>
      </c>
      <c r="AG211" t="s">
        <v>74</v>
      </c>
      <c r="AH211" t="s">
        <v>74</v>
      </c>
      <c r="AI211" t="s">
        <v>74</v>
      </c>
      <c r="AJ211" t="s">
        <v>74</v>
      </c>
      <c r="AK211" t="s">
        <v>74</v>
      </c>
      <c r="AL211" t="s">
        <v>74</v>
      </c>
      <c r="AM211" t="s">
        <v>74</v>
      </c>
      <c r="AN211" t="s">
        <v>74</v>
      </c>
      <c r="AO211" t="s">
        <v>847</v>
      </c>
      <c r="AP211" t="s">
        <v>848</v>
      </c>
      <c r="AQ211" t="s">
        <v>74</v>
      </c>
      <c r="AR211" t="s">
        <v>74</v>
      </c>
      <c r="AS211" t="s">
        <v>74</v>
      </c>
      <c r="AT211" t="s">
        <v>624</v>
      </c>
      <c r="AU211">
        <v>2021</v>
      </c>
      <c r="AV211">
        <v>40</v>
      </c>
      <c r="AW211">
        <v>7</v>
      </c>
      <c r="AX211" t="s">
        <v>74</v>
      </c>
      <c r="AY211" t="s">
        <v>74</v>
      </c>
      <c r="AZ211" t="s">
        <v>74</v>
      </c>
      <c r="BA211" t="s">
        <v>74</v>
      </c>
      <c r="BB211">
        <v>2015</v>
      </c>
      <c r="BC211">
        <v>2025</v>
      </c>
      <c r="BD211" t="s">
        <v>74</v>
      </c>
      <c r="BE211" t="s">
        <v>1732</v>
      </c>
      <c r="BF211" t="str">
        <f>HYPERLINK("http://dx.doi.org/10.1002/etc.5034","http://dx.doi.org/10.1002/etc.5034")</f>
        <v>http://dx.doi.org/10.1002/etc.5034</v>
      </c>
      <c r="BG211" t="s">
        <v>74</v>
      </c>
      <c r="BH211" t="s">
        <v>1711</v>
      </c>
      <c r="BI211" t="s">
        <v>74</v>
      </c>
      <c r="BJ211" t="s">
        <v>74</v>
      </c>
      <c r="BK211" t="s">
        <v>74</v>
      </c>
      <c r="BL211" t="s">
        <v>74</v>
      </c>
      <c r="BM211" t="s">
        <v>74</v>
      </c>
      <c r="BN211">
        <v>33683756</v>
      </c>
      <c r="BO211" t="s">
        <v>74</v>
      </c>
      <c r="BP211" t="s">
        <v>74</v>
      </c>
      <c r="BQ211" t="s">
        <v>74</v>
      </c>
      <c r="BR211" t="s">
        <v>74</v>
      </c>
      <c r="BS211" t="s">
        <v>1733</v>
      </c>
      <c r="BT211" t="str">
        <f>HYPERLINK("https%3A%2F%2Fwww.webofscience.com%2Fwos%2Fwoscc%2Ffull-record%2FWOS:000648346800001","View Full Record in Web of Science")</f>
        <v>View Full Record in Web of Science</v>
      </c>
    </row>
    <row r="212" spans="1:72" x14ac:dyDescent="0.2">
      <c r="A212" t="s">
        <v>72</v>
      </c>
      <c r="B212" t="s">
        <v>1734</v>
      </c>
      <c r="C212" t="s">
        <v>74</v>
      </c>
      <c r="D212" t="s">
        <v>74</v>
      </c>
      <c r="E212" t="s">
        <v>74</v>
      </c>
      <c r="F212" t="s">
        <v>1735</v>
      </c>
      <c r="G212" t="s">
        <v>74</v>
      </c>
      <c r="H212" t="s">
        <v>74</v>
      </c>
      <c r="I212" t="s">
        <v>1736</v>
      </c>
      <c r="J212" t="s">
        <v>1737</v>
      </c>
      <c r="K212" t="s">
        <v>74</v>
      </c>
      <c r="L212" t="s">
        <v>74</v>
      </c>
      <c r="M212" t="s">
        <v>74</v>
      </c>
      <c r="N212" t="s">
        <v>74</v>
      </c>
      <c r="O212" t="s">
        <v>74</v>
      </c>
      <c r="P212" t="s">
        <v>74</v>
      </c>
      <c r="Q212" t="s">
        <v>74</v>
      </c>
      <c r="R212" t="s">
        <v>74</v>
      </c>
      <c r="S212" t="s">
        <v>74</v>
      </c>
      <c r="T212" t="s">
        <v>74</v>
      </c>
      <c r="U212" t="s">
        <v>74</v>
      </c>
      <c r="V212" t="s">
        <v>74</v>
      </c>
      <c r="W212" t="s">
        <v>74</v>
      </c>
      <c r="X212" t="s">
        <v>74</v>
      </c>
      <c r="Y212" t="s">
        <v>74</v>
      </c>
      <c r="Z212" t="s">
        <v>74</v>
      </c>
      <c r="AA212" t="s">
        <v>1738</v>
      </c>
      <c r="AB212" t="s">
        <v>1739</v>
      </c>
      <c r="AC212" t="s">
        <v>74</v>
      </c>
      <c r="AD212" t="s">
        <v>74</v>
      </c>
      <c r="AE212" t="s">
        <v>74</v>
      </c>
      <c r="AF212" t="s">
        <v>74</v>
      </c>
      <c r="AG212" t="s">
        <v>74</v>
      </c>
      <c r="AH212" t="s">
        <v>74</v>
      </c>
      <c r="AI212" t="s">
        <v>74</v>
      </c>
      <c r="AJ212" t="s">
        <v>74</v>
      </c>
      <c r="AK212" t="s">
        <v>74</v>
      </c>
      <c r="AL212" t="s">
        <v>74</v>
      </c>
      <c r="AM212" t="s">
        <v>74</v>
      </c>
      <c r="AN212" t="s">
        <v>74</v>
      </c>
      <c r="AO212" t="s">
        <v>74</v>
      </c>
      <c r="AP212" t="s">
        <v>1740</v>
      </c>
      <c r="AQ212" t="s">
        <v>74</v>
      </c>
      <c r="AR212" t="s">
        <v>74</v>
      </c>
      <c r="AS212" t="s">
        <v>74</v>
      </c>
      <c r="AT212" t="s">
        <v>575</v>
      </c>
      <c r="AU212">
        <v>2021</v>
      </c>
      <c r="AV212">
        <v>10</v>
      </c>
      <c r="AW212">
        <v>5</v>
      </c>
      <c r="AX212" t="s">
        <v>74</v>
      </c>
      <c r="AY212" t="s">
        <v>74</v>
      </c>
      <c r="AZ212" t="s">
        <v>74</v>
      </c>
      <c r="BA212" t="s">
        <v>74</v>
      </c>
      <c r="BB212" t="s">
        <v>74</v>
      </c>
      <c r="BC212" t="s">
        <v>74</v>
      </c>
      <c r="BD212">
        <v>393</v>
      </c>
      <c r="BE212" t="s">
        <v>1741</v>
      </c>
      <c r="BF212" t="str">
        <f>HYPERLINK("http://dx.doi.org/10.3390/biology10050393","http://dx.doi.org/10.3390/biology10050393")</f>
        <v>http://dx.doi.org/10.3390/biology10050393</v>
      </c>
      <c r="BG212" t="s">
        <v>74</v>
      </c>
      <c r="BH212" t="s">
        <v>74</v>
      </c>
      <c r="BI212" t="s">
        <v>74</v>
      </c>
      <c r="BJ212" t="s">
        <v>74</v>
      </c>
      <c r="BK212" t="s">
        <v>74</v>
      </c>
      <c r="BL212" t="s">
        <v>74</v>
      </c>
      <c r="BM212" t="s">
        <v>74</v>
      </c>
      <c r="BN212">
        <v>34062893</v>
      </c>
      <c r="BO212" t="s">
        <v>74</v>
      </c>
      <c r="BP212" t="s">
        <v>74</v>
      </c>
      <c r="BQ212" t="s">
        <v>74</v>
      </c>
      <c r="BR212" t="s">
        <v>74</v>
      </c>
      <c r="BS212" t="s">
        <v>1742</v>
      </c>
      <c r="BT212" t="str">
        <f>HYPERLINK("https%3A%2F%2Fwww.webofscience.com%2Fwos%2Fwoscc%2Ffull-record%2FWOS:000653459300001","View Full Record in Web of Science")</f>
        <v>View Full Record in Web of Science</v>
      </c>
    </row>
    <row r="213" spans="1:72" x14ac:dyDescent="0.2">
      <c r="A213" t="s">
        <v>72</v>
      </c>
      <c r="B213" t="s">
        <v>1743</v>
      </c>
      <c r="C213" t="s">
        <v>74</v>
      </c>
      <c r="D213" t="s">
        <v>74</v>
      </c>
      <c r="E213" t="s">
        <v>74</v>
      </c>
      <c r="F213" t="s">
        <v>1744</v>
      </c>
      <c r="G213" t="s">
        <v>74</v>
      </c>
      <c r="H213" t="s">
        <v>74</v>
      </c>
      <c r="I213" t="s">
        <v>1745</v>
      </c>
      <c r="J213" t="s">
        <v>1063</v>
      </c>
      <c r="K213" t="s">
        <v>74</v>
      </c>
      <c r="L213" t="s">
        <v>74</v>
      </c>
      <c r="M213" t="s">
        <v>74</v>
      </c>
      <c r="N213" t="s">
        <v>74</v>
      </c>
      <c r="O213" t="s">
        <v>74</v>
      </c>
      <c r="P213" t="s">
        <v>74</v>
      </c>
      <c r="Q213" t="s">
        <v>74</v>
      </c>
      <c r="R213" t="s">
        <v>74</v>
      </c>
      <c r="S213" t="s">
        <v>74</v>
      </c>
      <c r="T213" t="s">
        <v>74</v>
      </c>
      <c r="U213" t="s">
        <v>74</v>
      </c>
      <c r="V213" t="s">
        <v>74</v>
      </c>
      <c r="W213" t="s">
        <v>74</v>
      </c>
      <c r="X213" t="s">
        <v>74</v>
      </c>
      <c r="Y213" t="s">
        <v>74</v>
      </c>
      <c r="Z213" t="s">
        <v>74</v>
      </c>
      <c r="AA213" t="s">
        <v>1746</v>
      </c>
      <c r="AB213" t="s">
        <v>1747</v>
      </c>
      <c r="AC213" t="s">
        <v>74</v>
      </c>
      <c r="AD213" t="s">
        <v>74</v>
      </c>
      <c r="AE213" t="s">
        <v>74</v>
      </c>
      <c r="AF213" t="s">
        <v>74</v>
      </c>
      <c r="AG213" t="s">
        <v>74</v>
      </c>
      <c r="AH213" t="s">
        <v>74</v>
      </c>
      <c r="AI213" t="s">
        <v>74</v>
      </c>
      <c r="AJ213" t="s">
        <v>74</v>
      </c>
      <c r="AK213" t="s">
        <v>74</v>
      </c>
      <c r="AL213" t="s">
        <v>74</v>
      </c>
      <c r="AM213" t="s">
        <v>74</v>
      </c>
      <c r="AN213" t="s">
        <v>74</v>
      </c>
      <c r="AO213" t="s">
        <v>1065</v>
      </c>
      <c r="AP213" t="s">
        <v>1066</v>
      </c>
      <c r="AQ213" t="s">
        <v>74</v>
      </c>
      <c r="AR213" t="s">
        <v>74</v>
      </c>
      <c r="AS213" t="s">
        <v>74</v>
      </c>
      <c r="AT213" t="s">
        <v>451</v>
      </c>
      <c r="AU213">
        <v>2021</v>
      </c>
      <c r="AV213">
        <v>279</v>
      </c>
      <c r="AW213" t="s">
        <v>74</v>
      </c>
      <c r="AX213" t="s">
        <v>74</v>
      </c>
      <c r="AY213" t="s">
        <v>74</v>
      </c>
      <c r="AZ213" t="s">
        <v>74</v>
      </c>
      <c r="BA213" t="s">
        <v>74</v>
      </c>
      <c r="BB213" t="s">
        <v>74</v>
      </c>
      <c r="BC213" t="s">
        <v>74</v>
      </c>
      <c r="BD213">
        <v>130623</v>
      </c>
      <c r="BE213" t="s">
        <v>1748</v>
      </c>
      <c r="BF213" t="str">
        <f>HYPERLINK("http://dx.doi.org/10.1016/j.chemosphere.2021.130623","http://dx.doi.org/10.1016/j.chemosphere.2021.130623")</f>
        <v>http://dx.doi.org/10.1016/j.chemosphere.2021.130623</v>
      </c>
      <c r="BG213" t="s">
        <v>74</v>
      </c>
      <c r="BH213" t="s">
        <v>1749</v>
      </c>
      <c r="BI213" t="s">
        <v>74</v>
      </c>
      <c r="BJ213" t="s">
        <v>74</v>
      </c>
      <c r="BK213" t="s">
        <v>74</v>
      </c>
      <c r="BL213" t="s">
        <v>74</v>
      </c>
      <c r="BM213" t="s">
        <v>74</v>
      </c>
      <c r="BN213">
        <v>34134419</v>
      </c>
      <c r="BO213" t="s">
        <v>74</v>
      </c>
      <c r="BP213" t="s">
        <v>74</v>
      </c>
      <c r="BQ213" t="s">
        <v>74</v>
      </c>
      <c r="BR213" t="s">
        <v>74</v>
      </c>
      <c r="BS213" t="s">
        <v>1750</v>
      </c>
      <c r="BT213" t="str">
        <f>HYPERLINK("https%3A%2F%2Fwww.webofscience.com%2Fwos%2Fwoscc%2Ffull-record%2FWOS:000659971200116","View Full Record in Web of Science")</f>
        <v>View Full Record in Web of Science</v>
      </c>
    </row>
    <row r="214" spans="1:72" x14ac:dyDescent="0.2">
      <c r="A214" t="s">
        <v>72</v>
      </c>
      <c r="B214" t="s">
        <v>1751</v>
      </c>
      <c r="C214" t="s">
        <v>74</v>
      </c>
      <c r="D214" t="s">
        <v>74</v>
      </c>
      <c r="E214" t="s">
        <v>74</v>
      </c>
      <c r="F214" t="s">
        <v>1752</v>
      </c>
      <c r="G214" t="s">
        <v>74</v>
      </c>
      <c r="H214" t="s">
        <v>74</v>
      </c>
      <c r="I214" t="s">
        <v>1753</v>
      </c>
      <c r="J214" t="s">
        <v>145</v>
      </c>
      <c r="K214" t="s">
        <v>74</v>
      </c>
      <c r="L214" t="s">
        <v>74</v>
      </c>
      <c r="M214" t="s">
        <v>74</v>
      </c>
      <c r="N214" t="s">
        <v>74</v>
      </c>
      <c r="O214" t="s">
        <v>74</v>
      </c>
      <c r="P214" t="s">
        <v>74</v>
      </c>
      <c r="Q214" t="s">
        <v>74</v>
      </c>
      <c r="R214" t="s">
        <v>74</v>
      </c>
      <c r="S214" t="s">
        <v>74</v>
      </c>
      <c r="T214" t="s">
        <v>74</v>
      </c>
      <c r="U214" t="s">
        <v>74</v>
      </c>
      <c r="V214" t="s">
        <v>74</v>
      </c>
      <c r="W214" t="s">
        <v>74</v>
      </c>
      <c r="X214" t="s">
        <v>74</v>
      </c>
      <c r="Y214" t="s">
        <v>74</v>
      </c>
      <c r="Z214" t="s">
        <v>74</v>
      </c>
      <c r="AA214" t="s">
        <v>6879</v>
      </c>
      <c r="AB214" t="s">
        <v>1754</v>
      </c>
      <c r="AC214" t="s">
        <v>74</v>
      </c>
      <c r="AD214" t="s">
        <v>74</v>
      </c>
      <c r="AE214" t="s">
        <v>74</v>
      </c>
      <c r="AF214" t="s">
        <v>74</v>
      </c>
      <c r="AG214" t="s">
        <v>74</v>
      </c>
      <c r="AH214" t="s">
        <v>74</v>
      </c>
      <c r="AI214" t="s">
        <v>74</v>
      </c>
      <c r="AJ214" t="s">
        <v>74</v>
      </c>
      <c r="AK214" t="s">
        <v>74</v>
      </c>
      <c r="AL214" t="s">
        <v>74</v>
      </c>
      <c r="AM214" t="s">
        <v>74</v>
      </c>
      <c r="AN214" t="s">
        <v>74</v>
      </c>
      <c r="AO214" t="s">
        <v>146</v>
      </c>
      <c r="AP214" t="s">
        <v>147</v>
      </c>
      <c r="AQ214" t="s">
        <v>74</v>
      </c>
      <c r="AR214" t="s">
        <v>74</v>
      </c>
      <c r="AS214" t="s">
        <v>74</v>
      </c>
      <c r="AT214" t="s">
        <v>1292</v>
      </c>
      <c r="AU214">
        <v>2021</v>
      </c>
      <c r="AV214">
        <v>783</v>
      </c>
      <c r="AW214" t="s">
        <v>74</v>
      </c>
      <c r="AX214" t="s">
        <v>74</v>
      </c>
      <c r="AY214" t="s">
        <v>74</v>
      </c>
      <c r="AZ214" t="s">
        <v>74</v>
      </c>
      <c r="BA214" t="s">
        <v>74</v>
      </c>
      <c r="BB214" t="s">
        <v>74</v>
      </c>
      <c r="BC214" t="s">
        <v>74</v>
      </c>
      <c r="BD214">
        <v>147154</v>
      </c>
      <c r="BE214" t="s">
        <v>1755</v>
      </c>
      <c r="BF214" t="str">
        <f>HYPERLINK("http://dx.doi.org/10.1016/j.scitotenv.2021.147154","http://dx.doi.org/10.1016/j.scitotenv.2021.147154")</f>
        <v>http://dx.doi.org/10.1016/j.scitotenv.2021.147154</v>
      </c>
      <c r="BG214" t="s">
        <v>74</v>
      </c>
      <c r="BH214" t="s">
        <v>1749</v>
      </c>
      <c r="BI214" t="s">
        <v>74</v>
      </c>
      <c r="BJ214" t="s">
        <v>74</v>
      </c>
      <c r="BK214" t="s">
        <v>74</v>
      </c>
      <c r="BL214" t="s">
        <v>74</v>
      </c>
      <c r="BM214" t="s">
        <v>74</v>
      </c>
      <c r="BN214">
        <v>34088136</v>
      </c>
      <c r="BO214" t="s">
        <v>74</v>
      </c>
      <c r="BP214" t="s">
        <v>74</v>
      </c>
      <c r="BQ214" t="s">
        <v>74</v>
      </c>
      <c r="BR214" t="s">
        <v>74</v>
      </c>
      <c r="BS214" t="s">
        <v>1756</v>
      </c>
      <c r="BT214" t="str">
        <f>HYPERLINK("https%3A%2F%2Fwww.webofscience.com%2Fwos%2Fwoscc%2Ffull-record%2FWOS:000656997900002","View Full Record in Web of Science")</f>
        <v>View Full Record in Web of Science</v>
      </c>
    </row>
    <row r="215" spans="1:72" x14ac:dyDescent="0.2">
      <c r="A215" t="s">
        <v>72</v>
      </c>
      <c r="B215" t="s">
        <v>1757</v>
      </c>
      <c r="C215" t="s">
        <v>74</v>
      </c>
      <c r="D215" t="s">
        <v>74</v>
      </c>
      <c r="E215" t="s">
        <v>74</v>
      </c>
      <c r="F215" t="s">
        <v>1758</v>
      </c>
      <c r="G215" t="s">
        <v>74</v>
      </c>
      <c r="H215" t="s">
        <v>74</v>
      </c>
      <c r="I215" t="s">
        <v>1759</v>
      </c>
      <c r="J215" t="s">
        <v>1760</v>
      </c>
      <c r="K215" t="s">
        <v>74</v>
      </c>
      <c r="L215" t="s">
        <v>74</v>
      </c>
      <c r="M215" t="s">
        <v>74</v>
      </c>
      <c r="N215" t="s">
        <v>74</v>
      </c>
      <c r="O215" t="s">
        <v>74</v>
      </c>
      <c r="P215" t="s">
        <v>74</v>
      </c>
      <c r="Q215" t="s">
        <v>74</v>
      </c>
      <c r="R215" t="s">
        <v>74</v>
      </c>
      <c r="S215" t="s">
        <v>74</v>
      </c>
      <c r="T215" t="s">
        <v>74</v>
      </c>
      <c r="U215" t="s">
        <v>74</v>
      </c>
      <c r="V215" t="s">
        <v>74</v>
      </c>
      <c r="W215" t="s">
        <v>74</v>
      </c>
      <c r="X215" t="s">
        <v>74</v>
      </c>
      <c r="Y215" t="s">
        <v>74</v>
      </c>
      <c r="Z215" t="s">
        <v>74</v>
      </c>
      <c r="AA215" t="s">
        <v>1761</v>
      </c>
      <c r="AB215" t="s">
        <v>6880</v>
      </c>
      <c r="AC215" t="s">
        <v>74</v>
      </c>
      <c r="AD215" t="s">
        <v>74</v>
      </c>
      <c r="AE215" t="s">
        <v>74</v>
      </c>
      <c r="AF215" t="s">
        <v>74</v>
      </c>
      <c r="AG215" t="s">
        <v>74</v>
      </c>
      <c r="AH215" t="s">
        <v>74</v>
      </c>
      <c r="AI215" t="s">
        <v>74</v>
      </c>
      <c r="AJ215" t="s">
        <v>74</v>
      </c>
      <c r="AK215" t="s">
        <v>74</v>
      </c>
      <c r="AL215" t="s">
        <v>74</v>
      </c>
      <c r="AM215" t="s">
        <v>74</v>
      </c>
      <c r="AN215" t="s">
        <v>74</v>
      </c>
      <c r="AO215" t="s">
        <v>1762</v>
      </c>
      <c r="AP215" t="s">
        <v>1763</v>
      </c>
      <c r="AQ215" t="s">
        <v>74</v>
      </c>
      <c r="AR215" t="s">
        <v>74</v>
      </c>
      <c r="AS215" t="s">
        <v>74</v>
      </c>
      <c r="AT215" t="s">
        <v>575</v>
      </c>
      <c r="AU215">
        <v>2021</v>
      </c>
      <c r="AV215">
        <v>44</v>
      </c>
      <c r="AW215">
        <v>5</v>
      </c>
      <c r="AX215" t="s">
        <v>74</v>
      </c>
      <c r="AY215" t="s">
        <v>74</v>
      </c>
      <c r="AZ215" t="s">
        <v>74</v>
      </c>
      <c r="BA215" t="s">
        <v>74</v>
      </c>
      <c r="BB215">
        <v>941</v>
      </c>
      <c r="BC215">
        <v>957</v>
      </c>
      <c r="BD215" t="s">
        <v>74</v>
      </c>
      <c r="BE215" t="s">
        <v>1764</v>
      </c>
      <c r="BF215" t="str">
        <f>HYPERLINK("http://dx.doi.org/10.1007/s00300-021-02850-3","http://dx.doi.org/10.1007/s00300-021-02850-3")</f>
        <v>http://dx.doi.org/10.1007/s00300-021-02850-3</v>
      </c>
      <c r="BG215" t="s">
        <v>74</v>
      </c>
      <c r="BH215" t="s">
        <v>1749</v>
      </c>
      <c r="BI215" t="s">
        <v>74</v>
      </c>
      <c r="BJ215" t="s">
        <v>74</v>
      </c>
      <c r="BK215" t="s">
        <v>74</v>
      </c>
      <c r="BL215" t="s">
        <v>74</v>
      </c>
      <c r="BM215" t="s">
        <v>74</v>
      </c>
      <c r="BN215" t="s">
        <v>74</v>
      </c>
      <c r="BO215" t="s">
        <v>74</v>
      </c>
      <c r="BP215" t="s">
        <v>74</v>
      </c>
      <c r="BQ215" t="s">
        <v>74</v>
      </c>
      <c r="BR215" t="s">
        <v>74</v>
      </c>
      <c r="BS215" t="s">
        <v>1765</v>
      </c>
      <c r="BT215" t="str">
        <f>HYPERLINK("https%3A%2F%2Fwww.webofscience.com%2Fwos%2Fwoscc%2Ffull-record%2FWOS:000638492700001","View Full Record in Web of Science")</f>
        <v>View Full Record in Web of Science</v>
      </c>
    </row>
    <row r="216" spans="1:72" x14ac:dyDescent="0.2">
      <c r="A216" t="s">
        <v>72</v>
      </c>
      <c r="B216" t="s">
        <v>1766</v>
      </c>
      <c r="C216" t="s">
        <v>74</v>
      </c>
      <c r="D216" t="s">
        <v>74</v>
      </c>
      <c r="E216" t="s">
        <v>74</v>
      </c>
      <c r="F216" t="s">
        <v>1767</v>
      </c>
      <c r="G216" t="s">
        <v>74</v>
      </c>
      <c r="H216" t="s">
        <v>74</v>
      </c>
      <c r="I216" t="s">
        <v>1768</v>
      </c>
      <c r="J216" t="s">
        <v>656</v>
      </c>
      <c r="K216" t="s">
        <v>74</v>
      </c>
      <c r="L216" t="s">
        <v>74</v>
      </c>
      <c r="M216" t="s">
        <v>74</v>
      </c>
      <c r="N216" t="s">
        <v>74</v>
      </c>
      <c r="O216" t="s">
        <v>74</v>
      </c>
      <c r="P216" t="s">
        <v>74</v>
      </c>
      <c r="Q216" t="s">
        <v>74</v>
      </c>
      <c r="R216" t="s">
        <v>74</v>
      </c>
      <c r="S216" t="s">
        <v>74</v>
      </c>
      <c r="T216" t="s">
        <v>74</v>
      </c>
      <c r="U216" t="s">
        <v>74</v>
      </c>
      <c r="V216" t="s">
        <v>74</v>
      </c>
      <c r="W216" t="s">
        <v>74</v>
      </c>
      <c r="X216" t="s">
        <v>74</v>
      </c>
      <c r="Y216" t="s">
        <v>74</v>
      </c>
      <c r="Z216" t="s">
        <v>74</v>
      </c>
      <c r="AA216" t="s">
        <v>6881</v>
      </c>
      <c r="AB216" t="s">
        <v>1769</v>
      </c>
      <c r="AC216" t="s">
        <v>74</v>
      </c>
      <c r="AD216" t="s">
        <v>74</v>
      </c>
      <c r="AE216" t="s">
        <v>74</v>
      </c>
      <c r="AF216" t="s">
        <v>74</v>
      </c>
      <c r="AG216" t="s">
        <v>74</v>
      </c>
      <c r="AH216" t="s">
        <v>74</v>
      </c>
      <c r="AI216" t="s">
        <v>74</v>
      </c>
      <c r="AJ216" t="s">
        <v>74</v>
      </c>
      <c r="AK216" t="s">
        <v>74</v>
      </c>
      <c r="AL216" t="s">
        <v>74</v>
      </c>
      <c r="AM216" t="s">
        <v>74</v>
      </c>
      <c r="AN216" t="s">
        <v>74</v>
      </c>
      <c r="AO216" t="s">
        <v>658</v>
      </c>
      <c r="AP216" t="s">
        <v>659</v>
      </c>
      <c r="AQ216" t="s">
        <v>74</v>
      </c>
      <c r="AR216" t="s">
        <v>74</v>
      </c>
      <c r="AS216" t="s">
        <v>74</v>
      </c>
      <c r="AT216" t="s">
        <v>1770</v>
      </c>
      <c r="AU216">
        <v>2021</v>
      </c>
      <c r="AV216">
        <v>193</v>
      </c>
      <c r="AW216" t="s">
        <v>74</v>
      </c>
      <c r="AX216" t="s">
        <v>74</v>
      </c>
      <c r="AY216" t="s">
        <v>74</v>
      </c>
      <c r="AZ216" t="s">
        <v>74</v>
      </c>
      <c r="BA216" t="s">
        <v>74</v>
      </c>
      <c r="BB216" t="s">
        <v>74</v>
      </c>
      <c r="BC216" t="s">
        <v>74</v>
      </c>
      <c r="BD216">
        <v>102533</v>
      </c>
      <c r="BE216" t="s">
        <v>1771</v>
      </c>
      <c r="BF216" t="str">
        <f>HYPERLINK("http://dx.doi.org/10.1016/j.pocean.2021.102533","http://dx.doi.org/10.1016/j.pocean.2021.102533")</f>
        <v>http://dx.doi.org/10.1016/j.pocean.2021.102533</v>
      </c>
      <c r="BG216" t="s">
        <v>74</v>
      </c>
      <c r="BH216" t="s">
        <v>1749</v>
      </c>
      <c r="BI216" t="s">
        <v>74</v>
      </c>
      <c r="BJ216" t="s">
        <v>74</v>
      </c>
      <c r="BK216" t="s">
        <v>74</v>
      </c>
      <c r="BL216" t="s">
        <v>74</v>
      </c>
      <c r="BM216" t="s">
        <v>74</v>
      </c>
      <c r="BN216" t="s">
        <v>74</v>
      </c>
      <c r="BO216" t="s">
        <v>74</v>
      </c>
      <c r="BP216" t="s">
        <v>74</v>
      </c>
      <c r="BQ216" t="s">
        <v>74</v>
      </c>
      <c r="BR216" t="s">
        <v>74</v>
      </c>
      <c r="BS216" t="s">
        <v>1772</v>
      </c>
      <c r="BT216" t="str">
        <f>HYPERLINK("https%3A%2F%2Fwww.webofscience.com%2Fwos%2Fwoscc%2Ffull-record%2FWOS:000647734500005","View Full Record in Web of Science")</f>
        <v>View Full Record in Web of Science</v>
      </c>
    </row>
    <row r="217" spans="1:72" x14ac:dyDescent="0.2">
      <c r="A217" t="s">
        <v>72</v>
      </c>
      <c r="B217" t="s">
        <v>1773</v>
      </c>
      <c r="C217" t="s">
        <v>74</v>
      </c>
      <c r="D217" t="s">
        <v>74</v>
      </c>
      <c r="E217" t="s">
        <v>74</v>
      </c>
      <c r="F217" t="s">
        <v>1774</v>
      </c>
      <c r="G217" t="s">
        <v>74</v>
      </c>
      <c r="H217" t="s">
        <v>74</v>
      </c>
      <c r="I217" t="s">
        <v>1775</v>
      </c>
      <c r="J217" t="s">
        <v>1323</v>
      </c>
      <c r="K217" t="s">
        <v>74</v>
      </c>
      <c r="L217" t="s">
        <v>74</v>
      </c>
      <c r="M217" t="s">
        <v>74</v>
      </c>
      <c r="N217" t="s">
        <v>74</v>
      </c>
      <c r="O217" t="s">
        <v>74</v>
      </c>
      <c r="P217" t="s">
        <v>74</v>
      </c>
      <c r="Q217" t="s">
        <v>74</v>
      </c>
      <c r="R217" t="s">
        <v>74</v>
      </c>
      <c r="S217" t="s">
        <v>74</v>
      </c>
      <c r="T217" t="s">
        <v>74</v>
      </c>
      <c r="U217" t="s">
        <v>74</v>
      </c>
      <c r="V217" t="s">
        <v>74</v>
      </c>
      <c r="W217" t="s">
        <v>74</v>
      </c>
      <c r="X217" t="s">
        <v>74</v>
      </c>
      <c r="Y217" t="s">
        <v>74</v>
      </c>
      <c r="Z217" t="s">
        <v>74</v>
      </c>
      <c r="AA217" t="s">
        <v>74</v>
      </c>
      <c r="AB217" t="s">
        <v>6882</v>
      </c>
      <c r="AC217" t="s">
        <v>74</v>
      </c>
      <c r="AD217" t="s">
        <v>74</v>
      </c>
      <c r="AE217" t="s">
        <v>74</v>
      </c>
      <c r="AF217" t="s">
        <v>74</v>
      </c>
      <c r="AG217" t="s">
        <v>74</v>
      </c>
      <c r="AH217" t="s">
        <v>74</v>
      </c>
      <c r="AI217" t="s">
        <v>74</v>
      </c>
      <c r="AJ217" t="s">
        <v>74</v>
      </c>
      <c r="AK217" t="s">
        <v>74</v>
      </c>
      <c r="AL217" t="s">
        <v>74</v>
      </c>
      <c r="AM217" t="s">
        <v>74</v>
      </c>
      <c r="AN217" t="s">
        <v>74</v>
      </c>
      <c r="AO217" t="s">
        <v>1326</v>
      </c>
      <c r="AP217" t="s">
        <v>1327</v>
      </c>
      <c r="AQ217" t="s">
        <v>74</v>
      </c>
      <c r="AR217" t="s">
        <v>74</v>
      </c>
      <c r="AS217" t="s">
        <v>74</v>
      </c>
      <c r="AT217" t="s">
        <v>203</v>
      </c>
      <c r="AU217">
        <v>2021</v>
      </c>
      <c r="AV217">
        <v>83</v>
      </c>
      <c r="AW217">
        <v>2</v>
      </c>
      <c r="AX217" t="s">
        <v>74</v>
      </c>
      <c r="AY217" t="s">
        <v>74</v>
      </c>
      <c r="AZ217" t="s">
        <v>74</v>
      </c>
      <c r="BA217" t="s">
        <v>74</v>
      </c>
      <c r="BB217" t="s">
        <v>74</v>
      </c>
      <c r="BC217" t="s">
        <v>74</v>
      </c>
      <c r="BD217">
        <v>28</v>
      </c>
      <c r="BE217" t="s">
        <v>1776</v>
      </c>
      <c r="BF217" t="str">
        <f>HYPERLINK("http://dx.doi.org/10.1007/s00027-021-00783-x","http://dx.doi.org/10.1007/s00027-021-00783-x")</f>
        <v>http://dx.doi.org/10.1007/s00027-021-00783-x</v>
      </c>
      <c r="BG217" t="s">
        <v>74</v>
      </c>
      <c r="BH217" t="s">
        <v>74</v>
      </c>
      <c r="BI217" t="s">
        <v>74</v>
      </c>
      <c r="BJ217" t="s">
        <v>74</v>
      </c>
      <c r="BK217" t="s">
        <v>74</v>
      </c>
      <c r="BL217" t="s">
        <v>74</v>
      </c>
      <c r="BM217" t="s">
        <v>74</v>
      </c>
      <c r="BN217" t="s">
        <v>74</v>
      </c>
      <c r="BO217" t="s">
        <v>74</v>
      </c>
      <c r="BP217" t="s">
        <v>74</v>
      </c>
      <c r="BQ217" t="s">
        <v>74</v>
      </c>
      <c r="BR217" t="s">
        <v>74</v>
      </c>
      <c r="BS217" t="s">
        <v>1777</v>
      </c>
      <c r="BT217" t="str">
        <f>HYPERLINK("https%3A%2F%2Fwww.webofscience.com%2Fwos%2Fwoscc%2Ffull-record%2FWOS:000619816400001","View Full Record in Web of Science")</f>
        <v>View Full Record in Web of Science</v>
      </c>
    </row>
    <row r="218" spans="1:72" x14ac:dyDescent="0.2">
      <c r="A218" t="s">
        <v>72</v>
      </c>
      <c r="B218" t="s">
        <v>1778</v>
      </c>
      <c r="C218" t="s">
        <v>74</v>
      </c>
      <c r="D218" t="s">
        <v>74</v>
      </c>
      <c r="E218" t="s">
        <v>74</v>
      </c>
      <c r="F218" t="s">
        <v>1779</v>
      </c>
      <c r="G218" t="s">
        <v>74</v>
      </c>
      <c r="H218" t="s">
        <v>74</v>
      </c>
      <c r="I218" t="s">
        <v>1780</v>
      </c>
      <c r="J218" t="s">
        <v>350</v>
      </c>
      <c r="K218" t="s">
        <v>74</v>
      </c>
      <c r="L218" t="s">
        <v>74</v>
      </c>
      <c r="M218" t="s">
        <v>74</v>
      </c>
      <c r="N218" t="s">
        <v>74</v>
      </c>
      <c r="O218" t="s">
        <v>74</v>
      </c>
      <c r="P218" t="s">
        <v>74</v>
      </c>
      <c r="Q218" t="s">
        <v>74</v>
      </c>
      <c r="R218" t="s">
        <v>74</v>
      </c>
      <c r="S218" t="s">
        <v>74</v>
      </c>
      <c r="T218" t="s">
        <v>74</v>
      </c>
      <c r="U218" t="s">
        <v>74</v>
      </c>
      <c r="V218" t="s">
        <v>74</v>
      </c>
      <c r="W218" t="s">
        <v>74</v>
      </c>
      <c r="X218" t="s">
        <v>74</v>
      </c>
      <c r="Y218" t="s">
        <v>74</v>
      </c>
      <c r="Z218" t="s">
        <v>74</v>
      </c>
      <c r="AA218" t="s">
        <v>1781</v>
      </c>
      <c r="AB218" t="s">
        <v>1782</v>
      </c>
      <c r="AC218" t="s">
        <v>74</v>
      </c>
      <c r="AD218" t="s">
        <v>74</v>
      </c>
      <c r="AE218" t="s">
        <v>74</v>
      </c>
      <c r="AF218" t="s">
        <v>74</v>
      </c>
      <c r="AG218" t="s">
        <v>74</v>
      </c>
      <c r="AH218" t="s">
        <v>74</v>
      </c>
      <c r="AI218" t="s">
        <v>74</v>
      </c>
      <c r="AJ218" t="s">
        <v>74</v>
      </c>
      <c r="AK218" t="s">
        <v>74</v>
      </c>
      <c r="AL218" t="s">
        <v>74</v>
      </c>
      <c r="AM218" t="s">
        <v>74</v>
      </c>
      <c r="AN218" t="s">
        <v>74</v>
      </c>
      <c r="AO218" t="s">
        <v>352</v>
      </c>
      <c r="AP218" t="s">
        <v>353</v>
      </c>
      <c r="AQ218" t="s">
        <v>74</v>
      </c>
      <c r="AR218" t="s">
        <v>74</v>
      </c>
      <c r="AS218" t="s">
        <v>74</v>
      </c>
      <c r="AT218" t="s">
        <v>624</v>
      </c>
      <c r="AU218">
        <v>2021</v>
      </c>
      <c r="AV218">
        <v>28</v>
      </c>
      <c r="AW218">
        <v>28</v>
      </c>
      <c r="AX218" t="s">
        <v>74</v>
      </c>
      <c r="AY218" t="s">
        <v>74</v>
      </c>
      <c r="AZ218" t="s">
        <v>74</v>
      </c>
      <c r="BA218" t="s">
        <v>74</v>
      </c>
      <c r="BB218">
        <v>38094</v>
      </c>
      <c r="BC218">
        <v>38105</v>
      </c>
      <c r="BD218" t="s">
        <v>74</v>
      </c>
      <c r="BE218" t="s">
        <v>1783</v>
      </c>
      <c r="BF218" t="str">
        <f>HYPERLINK("http://dx.doi.org/10.1007/s11356-021-13259-0","http://dx.doi.org/10.1007/s11356-021-13259-0")</f>
        <v>http://dx.doi.org/10.1007/s11356-021-13259-0</v>
      </c>
      <c r="BG218" t="s">
        <v>74</v>
      </c>
      <c r="BH218" t="s">
        <v>1784</v>
      </c>
      <c r="BI218" t="s">
        <v>74</v>
      </c>
      <c r="BJ218" t="s">
        <v>74</v>
      </c>
      <c r="BK218" t="s">
        <v>74</v>
      </c>
      <c r="BL218" t="s">
        <v>74</v>
      </c>
      <c r="BM218" t="s">
        <v>74</v>
      </c>
      <c r="BN218">
        <v>33725304</v>
      </c>
      <c r="BO218" t="s">
        <v>74</v>
      </c>
      <c r="BP218" t="s">
        <v>74</v>
      </c>
      <c r="BQ218" t="s">
        <v>74</v>
      </c>
      <c r="BR218" t="s">
        <v>74</v>
      </c>
      <c r="BS218" t="s">
        <v>1785</v>
      </c>
      <c r="BT218" t="str">
        <f>HYPERLINK("https%3A%2F%2Fwww.webofscience.com%2Fwos%2Fwoscc%2Ffull-record%2FWOS:000629549300012","View Full Record in Web of Science")</f>
        <v>View Full Record in Web of Science</v>
      </c>
    </row>
    <row r="219" spans="1:72" x14ac:dyDescent="0.2">
      <c r="A219" t="s">
        <v>72</v>
      </c>
      <c r="B219" t="s">
        <v>1786</v>
      </c>
      <c r="C219" t="s">
        <v>74</v>
      </c>
      <c r="D219" t="s">
        <v>74</v>
      </c>
      <c r="E219" t="s">
        <v>74</v>
      </c>
      <c r="F219" t="s">
        <v>1787</v>
      </c>
      <c r="G219" t="s">
        <v>74</v>
      </c>
      <c r="H219" t="s">
        <v>74</v>
      </c>
      <c r="I219" t="s">
        <v>1788</v>
      </c>
      <c r="J219" t="s">
        <v>1789</v>
      </c>
      <c r="K219" t="s">
        <v>74</v>
      </c>
      <c r="L219" t="s">
        <v>74</v>
      </c>
      <c r="M219" t="s">
        <v>74</v>
      </c>
      <c r="N219" t="s">
        <v>74</v>
      </c>
      <c r="O219" t="s">
        <v>74</v>
      </c>
      <c r="P219" t="s">
        <v>74</v>
      </c>
      <c r="Q219" t="s">
        <v>74</v>
      </c>
      <c r="R219" t="s">
        <v>74</v>
      </c>
      <c r="S219" t="s">
        <v>74</v>
      </c>
      <c r="T219" t="s">
        <v>74</v>
      </c>
      <c r="U219" t="s">
        <v>74</v>
      </c>
      <c r="V219" t="s">
        <v>74</v>
      </c>
      <c r="W219" t="s">
        <v>74</v>
      </c>
      <c r="X219" t="s">
        <v>74</v>
      </c>
      <c r="Y219" t="s">
        <v>74</v>
      </c>
      <c r="Z219" t="s">
        <v>74</v>
      </c>
      <c r="AA219" t="s">
        <v>6883</v>
      </c>
      <c r="AB219" t="s">
        <v>6884</v>
      </c>
      <c r="AC219" t="s">
        <v>74</v>
      </c>
      <c r="AD219" t="s">
        <v>74</v>
      </c>
      <c r="AE219" t="s">
        <v>74</v>
      </c>
      <c r="AF219" t="s">
        <v>74</v>
      </c>
      <c r="AG219" t="s">
        <v>74</v>
      </c>
      <c r="AH219" t="s">
        <v>74</v>
      </c>
      <c r="AI219" t="s">
        <v>74</v>
      </c>
      <c r="AJ219" t="s">
        <v>74</v>
      </c>
      <c r="AK219" t="s">
        <v>74</v>
      </c>
      <c r="AL219" t="s">
        <v>74</v>
      </c>
      <c r="AM219" t="s">
        <v>74</v>
      </c>
      <c r="AN219" t="s">
        <v>74</v>
      </c>
      <c r="AO219" t="s">
        <v>1791</v>
      </c>
      <c r="AP219" t="s">
        <v>1792</v>
      </c>
      <c r="AQ219" t="s">
        <v>74</v>
      </c>
      <c r="AR219" t="s">
        <v>74</v>
      </c>
      <c r="AS219" t="s">
        <v>74</v>
      </c>
      <c r="AT219" t="s">
        <v>575</v>
      </c>
      <c r="AU219">
        <v>2021</v>
      </c>
      <c r="AV219">
        <v>36</v>
      </c>
      <c r="AW219">
        <v>3</v>
      </c>
      <c r="AX219" t="s">
        <v>74</v>
      </c>
      <c r="AY219" t="s">
        <v>74</v>
      </c>
      <c r="AZ219" t="s">
        <v>74</v>
      </c>
      <c r="BA219" t="s">
        <v>74</v>
      </c>
      <c r="BB219">
        <v>533</v>
      </c>
      <c r="BC219">
        <v>544</v>
      </c>
      <c r="BD219" t="s">
        <v>74</v>
      </c>
      <c r="BE219" t="s">
        <v>1793</v>
      </c>
      <c r="BF219" t="str">
        <f>HYPERLINK("http://dx.doi.org/10.1111/1440-1703.12216","http://dx.doi.org/10.1111/1440-1703.12216")</f>
        <v>http://dx.doi.org/10.1111/1440-1703.12216</v>
      </c>
      <c r="BG219" t="s">
        <v>74</v>
      </c>
      <c r="BH219" t="s">
        <v>1784</v>
      </c>
      <c r="BI219" t="s">
        <v>74</v>
      </c>
      <c r="BJ219" t="s">
        <v>74</v>
      </c>
      <c r="BK219" t="s">
        <v>74</v>
      </c>
      <c r="BL219" t="s">
        <v>74</v>
      </c>
      <c r="BM219" t="s">
        <v>74</v>
      </c>
      <c r="BN219" t="s">
        <v>74</v>
      </c>
      <c r="BO219" t="s">
        <v>74</v>
      </c>
      <c r="BP219" t="s">
        <v>74</v>
      </c>
      <c r="BQ219" t="s">
        <v>74</v>
      </c>
      <c r="BR219" t="s">
        <v>74</v>
      </c>
      <c r="BS219" t="s">
        <v>1794</v>
      </c>
      <c r="BT219" t="str">
        <f>HYPERLINK("https%3A%2F%2Fwww.webofscience.com%2Fwos%2Fwoscc%2Ffull-record%2FWOS:000625468900001","View Full Record in Web of Science")</f>
        <v>View Full Record in Web of Science</v>
      </c>
    </row>
    <row r="220" spans="1:72" x14ac:dyDescent="0.2">
      <c r="A220" t="s">
        <v>72</v>
      </c>
      <c r="B220" t="s">
        <v>1795</v>
      </c>
      <c r="C220" t="s">
        <v>74</v>
      </c>
      <c r="D220" t="s">
        <v>74</v>
      </c>
      <c r="E220" t="s">
        <v>74</v>
      </c>
      <c r="F220" t="s">
        <v>1796</v>
      </c>
      <c r="G220" t="s">
        <v>74</v>
      </c>
      <c r="H220" t="s">
        <v>74</v>
      </c>
      <c r="I220" t="s">
        <v>1797</v>
      </c>
      <c r="J220" t="s">
        <v>198</v>
      </c>
      <c r="K220" t="s">
        <v>74</v>
      </c>
      <c r="L220" t="s">
        <v>74</v>
      </c>
      <c r="M220" t="s">
        <v>74</v>
      </c>
      <c r="N220" t="s">
        <v>74</v>
      </c>
      <c r="O220" t="s">
        <v>74</v>
      </c>
      <c r="P220" t="s">
        <v>74</v>
      </c>
      <c r="Q220" t="s">
        <v>74</v>
      </c>
      <c r="R220" t="s">
        <v>74</v>
      </c>
      <c r="S220" t="s">
        <v>74</v>
      </c>
      <c r="T220" t="s">
        <v>74</v>
      </c>
      <c r="U220" t="s">
        <v>74</v>
      </c>
      <c r="V220" t="s">
        <v>74</v>
      </c>
      <c r="W220" t="s">
        <v>74</v>
      </c>
      <c r="X220" t="s">
        <v>74</v>
      </c>
      <c r="Y220" t="s">
        <v>74</v>
      </c>
      <c r="Z220" t="s">
        <v>74</v>
      </c>
      <c r="AA220" t="s">
        <v>199</v>
      </c>
      <c r="AB220" t="s">
        <v>6885</v>
      </c>
      <c r="AC220" t="s">
        <v>74</v>
      </c>
      <c r="AD220" t="s">
        <v>74</v>
      </c>
      <c r="AE220" t="s">
        <v>74</v>
      </c>
      <c r="AF220" t="s">
        <v>74</v>
      </c>
      <c r="AG220" t="s">
        <v>74</v>
      </c>
      <c r="AH220" t="s">
        <v>74</v>
      </c>
      <c r="AI220" t="s">
        <v>74</v>
      </c>
      <c r="AJ220" t="s">
        <v>74</v>
      </c>
      <c r="AK220" t="s">
        <v>74</v>
      </c>
      <c r="AL220" t="s">
        <v>74</v>
      </c>
      <c r="AM220" t="s">
        <v>74</v>
      </c>
      <c r="AN220" t="s">
        <v>74</v>
      </c>
      <c r="AO220" t="s">
        <v>201</v>
      </c>
      <c r="AP220" t="s">
        <v>202</v>
      </c>
      <c r="AQ220" t="s">
        <v>74</v>
      </c>
      <c r="AR220" t="s">
        <v>74</v>
      </c>
      <c r="AS220" t="s">
        <v>74</v>
      </c>
      <c r="AT220" t="s">
        <v>203</v>
      </c>
      <c r="AU220">
        <v>2021</v>
      </c>
      <c r="AV220">
        <v>35</v>
      </c>
      <c r="AW220">
        <v>4</v>
      </c>
      <c r="AX220" t="s">
        <v>74</v>
      </c>
      <c r="AY220" t="s">
        <v>74</v>
      </c>
      <c r="AZ220" t="s">
        <v>74</v>
      </c>
      <c r="BA220" t="s">
        <v>74</v>
      </c>
      <c r="BB220">
        <v>920</v>
      </c>
      <c r="BC220">
        <v>929</v>
      </c>
      <c r="BD220" t="s">
        <v>74</v>
      </c>
      <c r="BE220" t="s">
        <v>1798</v>
      </c>
      <c r="BF220" t="str">
        <f>HYPERLINK("http://dx.doi.org/10.1111/1365-2435.13752","http://dx.doi.org/10.1111/1365-2435.13752")</f>
        <v>http://dx.doi.org/10.1111/1365-2435.13752</v>
      </c>
      <c r="BG220" t="s">
        <v>74</v>
      </c>
      <c r="BH220" t="s">
        <v>1784</v>
      </c>
      <c r="BI220" t="s">
        <v>74</v>
      </c>
      <c r="BJ220" t="s">
        <v>74</v>
      </c>
      <c r="BK220" t="s">
        <v>74</v>
      </c>
      <c r="BL220" t="s">
        <v>74</v>
      </c>
      <c r="BM220" t="s">
        <v>74</v>
      </c>
      <c r="BN220" t="s">
        <v>74</v>
      </c>
      <c r="BO220" t="s">
        <v>74</v>
      </c>
      <c r="BP220" t="s">
        <v>74</v>
      </c>
      <c r="BQ220" t="s">
        <v>74</v>
      </c>
      <c r="BR220" t="s">
        <v>74</v>
      </c>
      <c r="BS220" t="s">
        <v>1799</v>
      </c>
      <c r="BT220" t="str">
        <f>HYPERLINK("https%3A%2F%2Fwww.webofscience.com%2Fwos%2Fwoscc%2Ffull-record%2FWOS:000624341300001","View Full Record in Web of Science")</f>
        <v>View Full Record in Web of Science</v>
      </c>
    </row>
    <row r="221" spans="1:72" x14ac:dyDescent="0.2">
      <c r="A221" t="s">
        <v>72</v>
      </c>
      <c r="B221" t="s">
        <v>1800</v>
      </c>
      <c r="C221" t="s">
        <v>74</v>
      </c>
      <c r="D221" t="s">
        <v>74</v>
      </c>
      <c r="E221" t="s">
        <v>74</v>
      </c>
      <c r="F221" t="s">
        <v>1801</v>
      </c>
      <c r="G221" t="s">
        <v>74</v>
      </c>
      <c r="H221" t="s">
        <v>74</v>
      </c>
      <c r="I221" t="s">
        <v>1802</v>
      </c>
      <c r="J221" t="s">
        <v>1803</v>
      </c>
      <c r="K221" t="s">
        <v>74</v>
      </c>
      <c r="L221" t="s">
        <v>74</v>
      </c>
      <c r="M221" t="s">
        <v>74</v>
      </c>
      <c r="N221" t="s">
        <v>74</v>
      </c>
      <c r="O221" t="s">
        <v>74</v>
      </c>
      <c r="P221" t="s">
        <v>74</v>
      </c>
      <c r="Q221" t="s">
        <v>74</v>
      </c>
      <c r="R221" t="s">
        <v>74</v>
      </c>
      <c r="S221" t="s">
        <v>74</v>
      </c>
      <c r="T221" t="s">
        <v>74</v>
      </c>
      <c r="U221" t="s">
        <v>74</v>
      </c>
      <c r="V221" t="s">
        <v>74</v>
      </c>
      <c r="W221" t="s">
        <v>74</v>
      </c>
      <c r="X221" t="s">
        <v>74</v>
      </c>
      <c r="Y221" t="s">
        <v>74</v>
      </c>
      <c r="Z221" t="s">
        <v>74</v>
      </c>
      <c r="AA221" t="s">
        <v>74</v>
      </c>
      <c r="AB221" t="s">
        <v>1804</v>
      </c>
      <c r="AC221" t="s">
        <v>74</v>
      </c>
      <c r="AD221" t="s">
        <v>74</v>
      </c>
      <c r="AE221" t="s">
        <v>74</v>
      </c>
      <c r="AF221" t="s">
        <v>74</v>
      </c>
      <c r="AG221" t="s">
        <v>74</v>
      </c>
      <c r="AH221" t="s">
        <v>74</v>
      </c>
      <c r="AI221" t="s">
        <v>74</v>
      </c>
      <c r="AJ221" t="s">
        <v>74</v>
      </c>
      <c r="AK221" t="s">
        <v>74</v>
      </c>
      <c r="AL221" t="s">
        <v>74</v>
      </c>
      <c r="AM221" t="s">
        <v>74</v>
      </c>
      <c r="AN221" t="s">
        <v>74</v>
      </c>
      <c r="AO221" t="s">
        <v>1805</v>
      </c>
      <c r="AP221" t="s">
        <v>1806</v>
      </c>
      <c r="AQ221" t="s">
        <v>74</v>
      </c>
      <c r="AR221" t="s">
        <v>74</v>
      </c>
      <c r="AS221" t="s">
        <v>74</v>
      </c>
      <c r="AT221" t="s">
        <v>157</v>
      </c>
      <c r="AU221">
        <v>2021</v>
      </c>
      <c r="AV221">
        <v>3</v>
      </c>
      <c r="AW221">
        <v>1</v>
      </c>
      <c r="AX221" t="s">
        <v>74</v>
      </c>
      <c r="AY221" t="s">
        <v>74</v>
      </c>
      <c r="AZ221" t="s">
        <v>74</v>
      </c>
      <c r="BA221" t="s">
        <v>74</v>
      </c>
      <c r="BB221">
        <v>35</v>
      </c>
      <c r="BC221">
        <v>50</v>
      </c>
      <c r="BD221" t="s">
        <v>74</v>
      </c>
      <c r="BE221" t="s">
        <v>1807</v>
      </c>
      <c r="BF221" t="str">
        <f>HYPERLINK("http://dx.doi.org/10.1007/s41965-020-00038-y","http://dx.doi.org/10.1007/s41965-020-00038-y")</f>
        <v>http://dx.doi.org/10.1007/s41965-020-00038-y</v>
      </c>
      <c r="BG221" t="s">
        <v>74</v>
      </c>
      <c r="BH221" t="s">
        <v>74</v>
      </c>
      <c r="BI221" t="s">
        <v>74</v>
      </c>
      <c r="BJ221" t="s">
        <v>74</v>
      </c>
      <c r="BK221" t="s">
        <v>74</v>
      </c>
      <c r="BL221" t="s">
        <v>74</v>
      </c>
      <c r="BM221" t="s">
        <v>74</v>
      </c>
      <c r="BN221" t="s">
        <v>74</v>
      </c>
      <c r="BO221" t="s">
        <v>74</v>
      </c>
      <c r="BP221" t="s">
        <v>74</v>
      </c>
      <c r="BQ221" t="s">
        <v>74</v>
      </c>
      <c r="BR221" t="s">
        <v>74</v>
      </c>
      <c r="BS221" t="s">
        <v>1808</v>
      </c>
      <c r="BT221" t="str">
        <f>HYPERLINK("https%3A%2F%2Fwww.webofscience.com%2Fwos%2Fwoscc%2Ffull-record%2FWOS:000672025000004","View Full Record in Web of Science")</f>
        <v>View Full Record in Web of Science</v>
      </c>
    </row>
    <row r="222" spans="1:72" x14ac:dyDescent="0.2">
      <c r="A222" t="s">
        <v>72</v>
      </c>
      <c r="B222" t="s">
        <v>1809</v>
      </c>
      <c r="C222" t="s">
        <v>74</v>
      </c>
      <c r="D222" t="s">
        <v>74</v>
      </c>
      <c r="E222" t="s">
        <v>74</v>
      </c>
      <c r="F222" t="s">
        <v>1810</v>
      </c>
      <c r="G222" t="s">
        <v>74</v>
      </c>
      <c r="H222" t="s">
        <v>74</v>
      </c>
      <c r="I222" t="s">
        <v>1811</v>
      </c>
      <c r="J222" t="s">
        <v>596</v>
      </c>
      <c r="K222" t="s">
        <v>74</v>
      </c>
      <c r="L222" t="s">
        <v>74</v>
      </c>
      <c r="M222" t="s">
        <v>74</v>
      </c>
      <c r="N222" t="s">
        <v>74</v>
      </c>
      <c r="O222" t="s">
        <v>74</v>
      </c>
      <c r="P222" t="s">
        <v>74</v>
      </c>
      <c r="Q222" t="s">
        <v>74</v>
      </c>
      <c r="R222" t="s">
        <v>74</v>
      </c>
      <c r="S222" t="s">
        <v>74</v>
      </c>
      <c r="T222" t="s">
        <v>74</v>
      </c>
      <c r="U222" t="s">
        <v>74</v>
      </c>
      <c r="V222" t="s">
        <v>74</v>
      </c>
      <c r="W222" t="s">
        <v>74</v>
      </c>
      <c r="X222" t="s">
        <v>74</v>
      </c>
      <c r="Y222" t="s">
        <v>74</v>
      </c>
      <c r="Z222" t="s">
        <v>74</v>
      </c>
      <c r="AA222" t="s">
        <v>6886</v>
      </c>
      <c r="AB222" t="s">
        <v>6887</v>
      </c>
      <c r="AC222" t="s">
        <v>74</v>
      </c>
      <c r="AD222" t="s">
        <v>74</v>
      </c>
      <c r="AE222" t="s">
        <v>74</v>
      </c>
      <c r="AF222" t="s">
        <v>74</v>
      </c>
      <c r="AG222" t="s">
        <v>74</v>
      </c>
      <c r="AH222" t="s">
        <v>74</v>
      </c>
      <c r="AI222" t="s">
        <v>74</v>
      </c>
      <c r="AJ222" t="s">
        <v>74</v>
      </c>
      <c r="AK222" t="s">
        <v>74</v>
      </c>
      <c r="AL222" t="s">
        <v>74</v>
      </c>
      <c r="AM222" t="s">
        <v>74</v>
      </c>
      <c r="AN222" t="s">
        <v>74</v>
      </c>
      <c r="AO222" t="s">
        <v>597</v>
      </c>
      <c r="AP222" t="s">
        <v>74</v>
      </c>
      <c r="AQ222" t="s">
        <v>74</v>
      </c>
      <c r="AR222" t="s">
        <v>74</v>
      </c>
      <c r="AS222" t="s">
        <v>74</v>
      </c>
      <c r="AT222" t="s">
        <v>157</v>
      </c>
      <c r="AU222">
        <v>2021</v>
      </c>
      <c r="AV222">
        <v>12</v>
      </c>
      <c r="AW222">
        <v>3</v>
      </c>
      <c r="AX222" t="s">
        <v>74</v>
      </c>
      <c r="AY222" t="s">
        <v>74</v>
      </c>
      <c r="AZ222" t="s">
        <v>74</v>
      </c>
      <c r="BA222" t="s">
        <v>74</v>
      </c>
      <c r="BB222" t="s">
        <v>74</v>
      </c>
      <c r="BC222" t="s">
        <v>74</v>
      </c>
      <c r="BD222" t="s">
        <v>1812</v>
      </c>
      <c r="BE222" t="s">
        <v>1813</v>
      </c>
      <c r="BF222" t="str">
        <f>HYPERLINK("http://dx.doi.org/10.1002/ecs2.3420","http://dx.doi.org/10.1002/ecs2.3420")</f>
        <v>http://dx.doi.org/10.1002/ecs2.3420</v>
      </c>
      <c r="BG222" t="s">
        <v>74</v>
      </c>
      <c r="BH222" t="s">
        <v>74</v>
      </c>
      <c r="BI222" t="s">
        <v>74</v>
      </c>
      <c r="BJ222" t="s">
        <v>74</v>
      </c>
      <c r="BK222" t="s">
        <v>74</v>
      </c>
      <c r="BL222" t="s">
        <v>74</v>
      </c>
      <c r="BM222" t="s">
        <v>74</v>
      </c>
      <c r="BN222" t="s">
        <v>74</v>
      </c>
      <c r="BO222" t="s">
        <v>74</v>
      </c>
      <c r="BP222" t="s">
        <v>74</v>
      </c>
      <c r="BQ222" t="s">
        <v>74</v>
      </c>
      <c r="BR222" t="s">
        <v>74</v>
      </c>
      <c r="BS222" t="s">
        <v>1814</v>
      </c>
      <c r="BT222" t="str">
        <f>HYPERLINK("https%3A%2F%2Fwww.webofscience.com%2Fwos%2Fwoscc%2Ffull-record%2FWOS:000636318200013","View Full Record in Web of Science")</f>
        <v>View Full Record in Web of Science</v>
      </c>
    </row>
    <row r="223" spans="1:72" x14ac:dyDescent="0.2">
      <c r="A223" t="s">
        <v>72</v>
      </c>
      <c r="B223" t="s">
        <v>1815</v>
      </c>
      <c r="C223" t="s">
        <v>74</v>
      </c>
      <c r="D223" t="s">
        <v>74</v>
      </c>
      <c r="E223" t="s">
        <v>74</v>
      </c>
      <c r="F223" t="s">
        <v>1816</v>
      </c>
      <c r="G223" t="s">
        <v>74</v>
      </c>
      <c r="H223" t="s">
        <v>74</v>
      </c>
      <c r="I223" t="s">
        <v>1817</v>
      </c>
      <c r="J223" t="s">
        <v>145</v>
      </c>
      <c r="K223" t="s">
        <v>74</v>
      </c>
      <c r="L223" t="s">
        <v>74</v>
      </c>
      <c r="M223" t="s">
        <v>74</v>
      </c>
      <c r="N223" t="s">
        <v>74</v>
      </c>
      <c r="O223" t="s">
        <v>74</v>
      </c>
      <c r="P223" t="s">
        <v>74</v>
      </c>
      <c r="Q223" t="s">
        <v>74</v>
      </c>
      <c r="R223" t="s">
        <v>74</v>
      </c>
      <c r="S223" t="s">
        <v>74</v>
      </c>
      <c r="T223" t="s">
        <v>74</v>
      </c>
      <c r="U223" t="s">
        <v>74</v>
      </c>
      <c r="V223" t="s">
        <v>74</v>
      </c>
      <c r="W223" t="s">
        <v>74</v>
      </c>
      <c r="X223" t="s">
        <v>74</v>
      </c>
      <c r="Y223" t="s">
        <v>74</v>
      </c>
      <c r="Z223" t="s">
        <v>74</v>
      </c>
      <c r="AA223" t="s">
        <v>6888</v>
      </c>
      <c r="AB223" t="s">
        <v>6889</v>
      </c>
      <c r="AC223" t="s">
        <v>74</v>
      </c>
      <c r="AD223" t="s">
        <v>74</v>
      </c>
      <c r="AE223" t="s">
        <v>74</v>
      </c>
      <c r="AF223" t="s">
        <v>74</v>
      </c>
      <c r="AG223" t="s">
        <v>74</v>
      </c>
      <c r="AH223" t="s">
        <v>74</v>
      </c>
      <c r="AI223" t="s">
        <v>74</v>
      </c>
      <c r="AJ223" t="s">
        <v>74</v>
      </c>
      <c r="AK223" t="s">
        <v>74</v>
      </c>
      <c r="AL223" t="s">
        <v>74</v>
      </c>
      <c r="AM223" t="s">
        <v>74</v>
      </c>
      <c r="AN223" t="s">
        <v>74</v>
      </c>
      <c r="AO223" t="s">
        <v>146</v>
      </c>
      <c r="AP223" t="s">
        <v>147</v>
      </c>
      <c r="AQ223" t="s">
        <v>74</v>
      </c>
      <c r="AR223" t="s">
        <v>74</v>
      </c>
      <c r="AS223" t="s">
        <v>74</v>
      </c>
      <c r="AT223" t="s">
        <v>1208</v>
      </c>
      <c r="AU223">
        <v>2021</v>
      </c>
      <c r="AV223">
        <v>773</v>
      </c>
      <c r="AW223" t="s">
        <v>74</v>
      </c>
      <c r="AX223" t="s">
        <v>74</v>
      </c>
      <c r="AY223" t="s">
        <v>74</v>
      </c>
      <c r="AZ223" t="s">
        <v>74</v>
      </c>
      <c r="BA223" t="s">
        <v>74</v>
      </c>
      <c r="BB223" t="s">
        <v>74</v>
      </c>
      <c r="BC223" t="s">
        <v>74</v>
      </c>
      <c r="BD223">
        <v>145538</v>
      </c>
      <c r="BE223" t="s">
        <v>1818</v>
      </c>
      <c r="BF223" t="str">
        <f>HYPERLINK("http://dx.doi.org/10.1016/j.scitotenv.2021.145538","http://dx.doi.org/10.1016/j.scitotenv.2021.145538")</f>
        <v>http://dx.doi.org/10.1016/j.scitotenv.2021.145538</v>
      </c>
      <c r="BG223" t="s">
        <v>74</v>
      </c>
      <c r="BH223" t="s">
        <v>1819</v>
      </c>
      <c r="BI223" t="s">
        <v>74</v>
      </c>
      <c r="BJ223" t="s">
        <v>74</v>
      </c>
      <c r="BK223" t="s">
        <v>74</v>
      </c>
      <c r="BL223" t="s">
        <v>74</v>
      </c>
      <c r="BM223" t="s">
        <v>74</v>
      </c>
      <c r="BN223">
        <v>33592473</v>
      </c>
      <c r="BO223" t="s">
        <v>74</v>
      </c>
      <c r="BP223" t="s">
        <v>74</v>
      </c>
      <c r="BQ223" t="s">
        <v>74</v>
      </c>
      <c r="BR223" t="s">
        <v>74</v>
      </c>
      <c r="BS223" t="s">
        <v>1820</v>
      </c>
      <c r="BT223" t="str">
        <f>HYPERLINK("https%3A%2F%2Fwww.webofscience.com%2Fwos%2Fwoscc%2Ffull-record%2FWOS:000635207100074","View Full Record in Web of Science")</f>
        <v>View Full Record in Web of Science</v>
      </c>
    </row>
    <row r="224" spans="1:72" x14ac:dyDescent="0.2">
      <c r="A224" t="s">
        <v>72</v>
      </c>
      <c r="B224" t="s">
        <v>1821</v>
      </c>
      <c r="C224" t="s">
        <v>74</v>
      </c>
      <c r="D224" t="s">
        <v>74</v>
      </c>
      <c r="E224" t="s">
        <v>74</v>
      </c>
      <c r="F224" t="s">
        <v>1822</v>
      </c>
      <c r="G224" t="s">
        <v>74</v>
      </c>
      <c r="H224" t="s">
        <v>74</v>
      </c>
      <c r="I224" t="s">
        <v>1823</v>
      </c>
      <c r="J224" t="s">
        <v>1824</v>
      </c>
      <c r="K224" t="s">
        <v>74</v>
      </c>
      <c r="L224" t="s">
        <v>74</v>
      </c>
      <c r="M224" t="s">
        <v>74</v>
      </c>
      <c r="N224" t="s">
        <v>74</v>
      </c>
      <c r="O224" t="s">
        <v>74</v>
      </c>
      <c r="P224" t="s">
        <v>74</v>
      </c>
      <c r="Q224" t="s">
        <v>74</v>
      </c>
      <c r="R224" t="s">
        <v>74</v>
      </c>
      <c r="S224" t="s">
        <v>74</v>
      </c>
      <c r="T224" t="s">
        <v>74</v>
      </c>
      <c r="U224" t="s">
        <v>74</v>
      </c>
      <c r="V224" t="s">
        <v>74</v>
      </c>
      <c r="W224" t="s">
        <v>74</v>
      </c>
      <c r="X224" t="s">
        <v>74</v>
      </c>
      <c r="Y224" t="s">
        <v>74</v>
      </c>
      <c r="Z224" t="s">
        <v>74</v>
      </c>
      <c r="AA224" t="s">
        <v>74</v>
      </c>
      <c r="AB224" t="s">
        <v>6890</v>
      </c>
      <c r="AC224" t="s">
        <v>74</v>
      </c>
      <c r="AD224" t="s">
        <v>74</v>
      </c>
      <c r="AE224" t="s">
        <v>74</v>
      </c>
      <c r="AF224" t="s">
        <v>74</v>
      </c>
      <c r="AG224" t="s">
        <v>74</v>
      </c>
      <c r="AH224" t="s">
        <v>74</v>
      </c>
      <c r="AI224" t="s">
        <v>74</v>
      </c>
      <c r="AJ224" t="s">
        <v>74</v>
      </c>
      <c r="AK224" t="s">
        <v>74</v>
      </c>
      <c r="AL224" t="s">
        <v>74</v>
      </c>
      <c r="AM224" t="s">
        <v>74</v>
      </c>
      <c r="AN224" t="s">
        <v>74</v>
      </c>
      <c r="AO224" t="s">
        <v>1825</v>
      </c>
      <c r="AP224" t="s">
        <v>1826</v>
      </c>
      <c r="AQ224" t="s">
        <v>74</v>
      </c>
      <c r="AR224" t="s">
        <v>74</v>
      </c>
      <c r="AS224" t="s">
        <v>74</v>
      </c>
      <c r="AT224" t="s">
        <v>569</v>
      </c>
      <c r="AU224">
        <v>2022</v>
      </c>
      <c r="AV224">
        <v>2022</v>
      </c>
      <c r="AW224">
        <v>6</v>
      </c>
      <c r="AX224" t="s">
        <v>74</v>
      </c>
      <c r="AY224" t="s">
        <v>74</v>
      </c>
      <c r="AZ224" t="s">
        <v>632</v>
      </c>
      <c r="BA224" t="s">
        <v>74</v>
      </c>
      <c r="BB224" t="s">
        <v>74</v>
      </c>
      <c r="BC224" t="s">
        <v>74</v>
      </c>
      <c r="BD224" t="s">
        <v>74</v>
      </c>
      <c r="BE224" t="s">
        <v>1827</v>
      </c>
      <c r="BF224" t="str">
        <f>HYPERLINK("http://dx.doi.org/10.1111/ecog.05564","http://dx.doi.org/10.1111/ecog.05564")</f>
        <v>http://dx.doi.org/10.1111/ecog.05564</v>
      </c>
      <c r="BG224" t="s">
        <v>74</v>
      </c>
      <c r="BH224" t="s">
        <v>1819</v>
      </c>
      <c r="BI224" t="s">
        <v>74</v>
      </c>
      <c r="BJ224" t="s">
        <v>74</v>
      </c>
      <c r="BK224" t="s">
        <v>74</v>
      </c>
      <c r="BL224" t="s">
        <v>74</v>
      </c>
      <c r="BM224" t="s">
        <v>74</v>
      </c>
      <c r="BN224" t="s">
        <v>74</v>
      </c>
      <c r="BO224" t="s">
        <v>74</v>
      </c>
      <c r="BP224" t="s">
        <v>74</v>
      </c>
      <c r="BQ224" t="s">
        <v>74</v>
      </c>
      <c r="BR224" t="s">
        <v>74</v>
      </c>
      <c r="BS224" t="s">
        <v>1828</v>
      </c>
      <c r="BT224" t="str">
        <f>HYPERLINK("https%3A%2F%2Fwww.webofscience.com%2Fwos%2Fwoscc%2Ffull-record%2FWOS:000617296700001","View Full Record in Web of Science")</f>
        <v>View Full Record in Web of Science</v>
      </c>
    </row>
    <row r="225" spans="1:72" x14ac:dyDescent="0.2">
      <c r="A225" t="s">
        <v>72</v>
      </c>
      <c r="B225" t="s">
        <v>1829</v>
      </c>
      <c r="C225" t="s">
        <v>74</v>
      </c>
      <c r="D225" t="s">
        <v>74</v>
      </c>
      <c r="E225" t="s">
        <v>74</v>
      </c>
      <c r="F225" t="s">
        <v>1830</v>
      </c>
      <c r="G225" t="s">
        <v>74</v>
      </c>
      <c r="H225" t="s">
        <v>74</v>
      </c>
      <c r="I225" t="s">
        <v>1831</v>
      </c>
      <c r="J225" t="s">
        <v>1832</v>
      </c>
      <c r="K225" t="s">
        <v>74</v>
      </c>
      <c r="L225" t="s">
        <v>74</v>
      </c>
      <c r="M225" t="s">
        <v>74</v>
      </c>
      <c r="N225" t="s">
        <v>74</v>
      </c>
      <c r="O225" t="s">
        <v>74</v>
      </c>
      <c r="P225" t="s">
        <v>74</v>
      </c>
      <c r="Q225" t="s">
        <v>74</v>
      </c>
      <c r="R225" t="s">
        <v>74</v>
      </c>
      <c r="S225" t="s">
        <v>74</v>
      </c>
      <c r="T225" t="s">
        <v>74</v>
      </c>
      <c r="U225" t="s">
        <v>74</v>
      </c>
      <c r="V225" t="s">
        <v>74</v>
      </c>
      <c r="W225" t="s">
        <v>74</v>
      </c>
      <c r="X225" t="s">
        <v>74</v>
      </c>
      <c r="Y225" t="s">
        <v>74</v>
      </c>
      <c r="Z225" t="s">
        <v>74</v>
      </c>
      <c r="AA225" t="s">
        <v>74</v>
      </c>
      <c r="AB225" t="s">
        <v>1833</v>
      </c>
      <c r="AC225" t="s">
        <v>74</v>
      </c>
      <c r="AD225" t="s">
        <v>74</v>
      </c>
      <c r="AE225" t="s">
        <v>74</v>
      </c>
      <c r="AF225" t="s">
        <v>74</v>
      </c>
      <c r="AG225" t="s">
        <v>74</v>
      </c>
      <c r="AH225" t="s">
        <v>74</v>
      </c>
      <c r="AI225" t="s">
        <v>74</v>
      </c>
      <c r="AJ225" t="s">
        <v>74</v>
      </c>
      <c r="AK225" t="s">
        <v>74</v>
      </c>
      <c r="AL225" t="s">
        <v>74</v>
      </c>
      <c r="AM225" t="s">
        <v>74</v>
      </c>
      <c r="AN225" t="s">
        <v>74</v>
      </c>
      <c r="AO225" t="s">
        <v>1834</v>
      </c>
      <c r="AP225" t="s">
        <v>1835</v>
      </c>
      <c r="AQ225" t="s">
        <v>74</v>
      </c>
      <c r="AR225" t="s">
        <v>74</v>
      </c>
      <c r="AS225" t="s">
        <v>74</v>
      </c>
      <c r="AT225" t="s">
        <v>335</v>
      </c>
      <c r="AU225">
        <v>2021</v>
      </c>
      <c r="AV225">
        <v>44</v>
      </c>
      <c r="AW225">
        <v>7</v>
      </c>
      <c r="AX225" t="s">
        <v>74</v>
      </c>
      <c r="AY225" t="s">
        <v>74</v>
      </c>
      <c r="AZ225" t="s">
        <v>74</v>
      </c>
      <c r="BA225" t="s">
        <v>74</v>
      </c>
      <c r="BB225">
        <v>1752</v>
      </c>
      <c r="BC225">
        <v>1764</v>
      </c>
      <c r="BD225" t="s">
        <v>74</v>
      </c>
      <c r="BE225" t="s">
        <v>1836</v>
      </c>
      <c r="BF225" t="str">
        <f>HYPERLINK("http://dx.doi.org/10.1007/s12237-021-00904-7","http://dx.doi.org/10.1007/s12237-021-00904-7")</f>
        <v>http://dx.doi.org/10.1007/s12237-021-00904-7</v>
      </c>
      <c r="BG225" t="s">
        <v>74</v>
      </c>
      <c r="BH225" t="s">
        <v>1819</v>
      </c>
      <c r="BI225" t="s">
        <v>74</v>
      </c>
      <c r="BJ225" t="s">
        <v>74</v>
      </c>
      <c r="BK225" t="s">
        <v>74</v>
      </c>
      <c r="BL225" t="s">
        <v>74</v>
      </c>
      <c r="BM225" t="s">
        <v>74</v>
      </c>
      <c r="BN225" t="s">
        <v>74</v>
      </c>
      <c r="BO225" t="s">
        <v>74</v>
      </c>
      <c r="BP225" t="s">
        <v>74</v>
      </c>
      <c r="BQ225" t="s">
        <v>74</v>
      </c>
      <c r="BR225" t="s">
        <v>74</v>
      </c>
      <c r="BS225" t="s">
        <v>1837</v>
      </c>
      <c r="BT225" t="str">
        <f>HYPERLINK("https%3A%2F%2Fwww.webofscience.com%2Fwos%2Fwoscc%2Ffull-record%2FWOS:000616453200001","View Full Record in Web of Science")</f>
        <v>View Full Record in Web of Science</v>
      </c>
    </row>
    <row r="226" spans="1:72" x14ac:dyDescent="0.2">
      <c r="A226" t="s">
        <v>72</v>
      </c>
      <c r="B226" t="s">
        <v>1838</v>
      </c>
      <c r="C226" t="s">
        <v>74</v>
      </c>
      <c r="D226" t="s">
        <v>74</v>
      </c>
      <c r="E226" t="s">
        <v>74</v>
      </c>
      <c r="F226" t="s">
        <v>1839</v>
      </c>
      <c r="G226" t="s">
        <v>74</v>
      </c>
      <c r="H226" t="s">
        <v>74</v>
      </c>
      <c r="I226" t="s">
        <v>1840</v>
      </c>
      <c r="J226" t="s">
        <v>145</v>
      </c>
      <c r="K226" t="s">
        <v>74</v>
      </c>
      <c r="L226" t="s">
        <v>74</v>
      </c>
      <c r="M226" t="s">
        <v>74</v>
      </c>
      <c r="N226" t="s">
        <v>74</v>
      </c>
      <c r="O226" t="s">
        <v>74</v>
      </c>
      <c r="P226" t="s">
        <v>74</v>
      </c>
      <c r="Q226" t="s">
        <v>74</v>
      </c>
      <c r="R226" t="s">
        <v>74</v>
      </c>
      <c r="S226" t="s">
        <v>74</v>
      </c>
      <c r="T226" t="s">
        <v>74</v>
      </c>
      <c r="U226" t="s">
        <v>74</v>
      </c>
      <c r="V226" t="s">
        <v>74</v>
      </c>
      <c r="W226" t="s">
        <v>74</v>
      </c>
      <c r="X226" t="s">
        <v>74</v>
      </c>
      <c r="Y226" t="s">
        <v>74</v>
      </c>
      <c r="Z226" t="s">
        <v>74</v>
      </c>
      <c r="AA226" t="s">
        <v>74</v>
      </c>
      <c r="AB226" t="s">
        <v>6891</v>
      </c>
      <c r="AC226" t="s">
        <v>74</v>
      </c>
      <c r="AD226" t="s">
        <v>74</v>
      </c>
      <c r="AE226" t="s">
        <v>74</v>
      </c>
      <c r="AF226" t="s">
        <v>74</v>
      </c>
      <c r="AG226" t="s">
        <v>74</v>
      </c>
      <c r="AH226" t="s">
        <v>74</v>
      </c>
      <c r="AI226" t="s">
        <v>74</v>
      </c>
      <c r="AJ226" t="s">
        <v>74</v>
      </c>
      <c r="AK226" t="s">
        <v>74</v>
      </c>
      <c r="AL226" t="s">
        <v>74</v>
      </c>
      <c r="AM226" t="s">
        <v>74</v>
      </c>
      <c r="AN226" t="s">
        <v>74</v>
      </c>
      <c r="AO226" t="s">
        <v>146</v>
      </c>
      <c r="AP226" t="s">
        <v>147</v>
      </c>
      <c r="AQ226" t="s">
        <v>74</v>
      </c>
      <c r="AR226" t="s">
        <v>74</v>
      </c>
      <c r="AS226" t="s">
        <v>74</v>
      </c>
      <c r="AT226" t="s">
        <v>1438</v>
      </c>
      <c r="AU226">
        <v>2021</v>
      </c>
      <c r="AV226">
        <v>754</v>
      </c>
      <c r="AW226" t="s">
        <v>74</v>
      </c>
      <c r="AX226" t="s">
        <v>74</v>
      </c>
      <c r="AY226" t="s">
        <v>74</v>
      </c>
      <c r="AZ226" t="s">
        <v>74</v>
      </c>
      <c r="BA226" t="s">
        <v>74</v>
      </c>
      <c r="BB226" t="s">
        <v>74</v>
      </c>
      <c r="BC226" t="s">
        <v>74</v>
      </c>
      <c r="BD226">
        <v>142362</v>
      </c>
      <c r="BE226" t="s">
        <v>1841</v>
      </c>
      <c r="BF226" t="str">
        <f>HYPERLINK("http://dx.doi.org/10.1016/j.scitotenv.2020.142362","http://dx.doi.org/10.1016/j.scitotenv.2020.142362")</f>
        <v>http://dx.doi.org/10.1016/j.scitotenv.2020.142362</v>
      </c>
      <c r="BG226" t="s">
        <v>74</v>
      </c>
      <c r="BH226" t="s">
        <v>74</v>
      </c>
      <c r="BI226" t="s">
        <v>74</v>
      </c>
      <c r="BJ226" t="s">
        <v>74</v>
      </c>
      <c r="BK226" t="s">
        <v>74</v>
      </c>
      <c r="BL226" t="s">
        <v>74</v>
      </c>
      <c r="BM226" t="s">
        <v>74</v>
      </c>
      <c r="BN226">
        <v>33254935</v>
      </c>
      <c r="BO226" t="s">
        <v>74</v>
      </c>
      <c r="BP226" t="s">
        <v>74</v>
      </c>
      <c r="BQ226" t="s">
        <v>74</v>
      </c>
      <c r="BR226" t="s">
        <v>74</v>
      </c>
      <c r="BS226" t="s">
        <v>1842</v>
      </c>
      <c r="BT226" t="str">
        <f>HYPERLINK("https%3A%2F%2Fwww.webofscience.com%2Fwos%2Fwoscc%2Ffull-record%2FWOS:000593907600015","View Full Record in Web of Science")</f>
        <v>View Full Record in Web of Science</v>
      </c>
    </row>
    <row r="227" spans="1:72" x14ac:dyDescent="0.2">
      <c r="A227" t="s">
        <v>72</v>
      </c>
      <c r="B227" t="s">
        <v>1843</v>
      </c>
      <c r="C227" t="s">
        <v>74</v>
      </c>
      <c r="D227" t="s">
        <v>74</v>
      </c>
      <c r="E227" t="s">
        <v>74</v>
      </c>
      <c r="F227" t="s">
        <v>1844</v>
      </c>
      <c r="G227" t="s">
        <v>74</v>
      </c>
      <c r="H227" t="s">
        <v>74</v>
      </c>
      <c r="I227" t="s">
        <v>1845</v>
      </c>
      <c r="J227" t="s">
        <v>673</v>
      </c>
      <c r="K227" t="s">
        <v>74</v>
      </c>
      <c r="L227" t="s">
        <v>74</v>
      </c>
      <c r="M227" t="s">
        <v>74</v>
      </c>
      <c r="N227" t="s">
        <v>74</v>
      </c>
      <c r="O227" t="s">
        <v>74</v>
      </c>
      <c r="P227" t="s">
        <v>74</v>
      </c>
      <c r="Q227" t="s">
        <v>74</v>
      </c>
      <c r="R227" t="s">
        <v>74</v>
      </c>
      <c r="S227" t="s">
        <v>74</v>
      </c>
      <c r="T227" t="s">
        <v>74</v>
      </c>
      <c r="U227" t="s">
        <v>74</v>
      </c>
      <c r="V227" t="s">
        <v>74</v>
      </c>
      <c r="W227" t="s">
        <v>74</v>
      </c>
      <c r="X227" t="s">
        <v>74</v>
      </c>
      <c r="Y227" t="s">
        <v>74</v>
      </c>
      <c r="Z227" t="s">
        <v>74</v>
      </c>
      <c r="AA227" t="s">
        <v>6892</v>
      </c>
      <c r="AB227" t="s">
        <v>6893</v>
      </c>
      <c r="AC227" t="s">
        <v>74</v>
      </c>
      <c r="AD227" t="s">
        <v>74</v>
      </c>
      <c r="AE227" t="s">
        <v>74</v>
      </c>
      <c r="AF227" t="s">
        <v>74</v>
      </c>
      <c r="AG227" t="s">
        <v>74</v>
      </c>
      <c r="AH227" t="s">
        <v>74</v>
      </c>
      <c r="AI227" t="s">
        <v>74</v>
      </c>
      <c r="AJ227" t="s">
        <v>74</v>
      </c>
      <c r="AK227" t="s">
        <v>74</v>
      </c>
      <c r="AL227" t="s">
        <v>74</v>
      </c>
      <c r="AM227" t="s">
        <v>74</v>
      </c>
      <c r="AN227" t="s">
        <v>74</v>
      </c>
      <c r="AO227" t="s">
        <v>674</v>
      </c>
      <c r="AP227" t="s">
        <v>675</v>
      </c>
      <c r="AQ227" t="s">
        <v>74</v>
      </c>
      <c r="AR227" t="s">
        <v>74</v>
      </c>
      <c r="AS227" t="s">
        <v>74</v>
      </c>
      <c r="AT227" t="s">
        <v>1846</v>
      </c>
      <c r="AU227">
        <v>2021</v>
      </c>
      <c r="AV227">
        <v>211</v>
      </c>
      <c r="AW227" t="s">
        <v>74</v>
      </c>
      <c r="AX227" t="s">
        <v>74</v>
      </c>
      <c r="AY227" t="s">
        <v>74</v>
      </c>
      <c r="AZ227" t="s">
        <v>74</v>
      </c>
      <c r="BA227" t="s">
        <v>74</v>
      </c>
      <c r="BB227" t="s">
        <v>74</v>
      </c>
      <c r="BC227" t="s">
        <v>74</v>
      </c>
      <c r="BD227">
        <v>111812</v>
      </c>
      <c r="BE227" t="s">
        <v>1847</v>
      </c>
      <c r="BF227" t="str">
        <f>HYPERLINK("http://dx.doi.org/10.1016/j.ecoenv.2020.111812","http://dx.doi.org/10.1016/j.ecoenv.2020.111812")</f>
        <v>http://dx.doi.org/10.1016/j.ecoenv.2020.111812</v>
      </c>
      <c r="BG227" t="s">
        <v>74</v>
      </c>
      <c r="BH227" t="s">
        <v>1848</v>
      </c>
      <c r="BI227" t="s">
        <v>74</v>
      </c>
      <c r="BJ227" t="s">
        <v>74</v>
      </c>
      <c r="BK227" t="s">
        <v>74</v>
      </c>
      <c r="BL227" t="s">
        <v>74</v>
      </c>
      <c r="BM227" t="s">
        <v>74</v>
      </c>
      <c r="BN227">
        <v>33472112</v>
      </c>
      <c r="BO227" t="s">
        <v>74</v>
      </c>
      <c r="BP227" t="s">
        <v>74</v>
      </c>
      <c r="BQ227" t="s">
        <v>74</v>
      </c>
      <c r="BR227" t="s">
        <v>74</v>
      </c>
      <c r="BS227" t="s">
        <v>1849</v>
      </c>
      <c r="BT227" t="str">
        <f>HYPERLINK("https%3A%2F%2Fwww.webofscience.com%2Fwos%2Fwoscc%2Ffull-record%2FWOS:000617779000001","View Full Record in Web of Science")</f>
        <v>View Full Record in Web of Science</v>
      </c>
    </row>
    <row r="228" spans="1:72" x14ac:dyDescent="0.2">
      <c r="A228" t="s">
        <v>72</v>
      </c>
      <c r="B228" t="s">
        <v>1850</v>
      </c>
      <c r="C228" t="s">
        <v>74</v>
      </c>
      <c r="D228" t="s">
        <v>74</v>
      </c>
      <c r="E228" t="s">
        <v>74</v>
      </c>
      <c r="F228" t="s">
        <v>1851</v>
      </c>
      <c r="G228" t="s">
        <v>74</v>
      </c>
      <c r="H228" t="s">
        <v>74</v>
      </c>
      <c r="I228" t="s">
        <v>1852</v>
      </c>
      <c r="J228" t="s">
        <v>227</v>
      </c>
      <c r="K228" t="s">
        <v>74</v>
      </c>
      <c r="L228" t="s">
        <v>74</v>
      </c>
      <c r="M228" t="s">
        <v>74</v>
      </c>
      <c r="N228" t="s">
        <v>74</v>
      </c>
      <c r="O228" t="s">
        <v>74</v>
      </c>
      <c r="P228" t="s">
        <v>74</v>
      </c>
      <c r="Q228" t="s">
        <v>74</v>
      </c>
      <c r="R228" t="s">
        <v>74</v>
      </c>
      <c r="S228" t="s">
        <v>74</v>
      </c>
      <c r="T228" t="s">
        <v>74</v>
      </c>
      <c r="U228" t="s">
        <v>74</v>
      </c>
      <c r="V228" t="s">
        <v>74</v>
      </c>
      <c r="W228" t="s">
        <v>74</v>
      </c>
      <c r="X228" t="s">
        <v>74</v>
      </c>
      <c r="Y228" t="s">
        <v>74</v>
      </c>
      <c r="Z228" t="s">
        <v>74</v>
      </c>
      <c r="AA228" t="s">
        <v>6894</v>
      </c>
      <c r="AB228" t="s">
        <v>6895</v>
      </c>
      <c r="AC228" t="s">
        <v>74</v>
      </c>
      <c r="AD228" t="s">
        <v>74</v>
      </c>
      <c r="AE228" t="s">
        <v>74</v>
      </c>
      <c r="AF228" t="s">
        <v>74</v>
      </c>
      <c r="AG228" t="s">
        <v>74</v>
      </c>
      <c r="AH228" t="s">
        <v>74</v>
      </c>
      <c r="AI228" t="s">
        <v>74</v>
      </c>
      <c r="AJ228" t="s">
        <v>74</v>
      </c>
      <c r="AK228" t="s">
        <v>74</v>
      </c>
      <c r="AL228" t="s">
        <v>74</v>
      </c>
      <c r="AM228" t="s">
        <v>74</v>
      </c>
      <c r="AN228" t="s">
        <v>74</v>
      </c>
      <c r="AO228" t="s">
        <v>230</v>
      </c>
      <c r="AP228" t="s">
        <v>231</v>
      </c>
      <c r="AQ228" t="s">
        <v>74</v>
      </c>
      <c r="AR228" t="s">
        <v>74</v>
      </c>
      <c r="AS228" t="s">
        <v>74</v>
      </c>
      <c r="AT228" t="s">
        <v>203</v>
      </c>
      <c r="AU228">
        <v>2021</v>
      </c>
      <c r="AV228">
        <v>66</v>
      </c>
      <c r="AW228">
        <v>4</v>
      </c>
      <c r="AX228" t="s">
        <v>74</v>
      </c>
      <c r="AY228" t="s">
        <v>74</v>
      </c>
      <c r="AZ228" t="s">
        <v>74</v>
      </c>
      <c r="BA228" t="s">
        <v>74</v>
      </c>
      <c r="BB228">
        <v>1409</v>
      </c>
      <c r="BC228">
        <v>1423</v>
      </c>
      <c r="BD228" t="s">
        <v>74</v>
      </c>
      <c r="BE228" t="s">
        <v>1854</v>
      </c>
      <c r="BF228" t="str">
        <f>HYPERLINK("http://dx.doi.org/10.1002/lno.11694","http://dx.doi.org/10.1002/lno.11694")</f>
        <v>http://dx.doi.org/10.1002/lno.11694</v>
      </c>
      <c r="BG228" t="s">
        <v>74</v>
      </c>
      <c r="BH228" t="s">
        <v>1848</v>
      </c>
      <c r="BI228" t="s">
        <v>74</v>
      </c>
      <c r="BJ228" t="s">
        <v>74</v>
      </c>
      <c r="BK228" t="s">
        <v>74</v>
      </c>
      <c r="BL228" t="s">
        <v>74</v>
      </c>
      <c r="BM228" t="s">
        <v>74</v>
      </c>
      <c r="BN228" t="s">
        <v>74</v>
      </c>
      <c r="BO228" t="s">
        <v>74</v>
      </c>
      <c r="BP228" t="s">
        <v>74</v>
      </c>
      <c r="BQ228" t="s">
        <v>74</v>
      </c>
      <c r="BR228" t="s">
        <v>74</v>
      </c>
      <c r="BS228" t="s">
        <v>1855</v>
      </c>
      <c r="BT228" t="str">
        <f>HYPERLINK("https%3A%2F%2Fwww.webofscience.com%2Fwos%2Fwoscc%2Ffull-record%2FWOS:000606839900001","View Full Record in Web of Science")</f>
        <v>View Full Record in Web of Science</v>
      </c>
    </row>
    <row r="229" spans="1:72" x14ac:dyDescent="0.2">
      <c r="A229" t="s">
        <v>72</v>
      </c>
      <c r="B229" t="s">
        <v>1856</v>
      </c>
      <c r="C229" t="s">
        <v>74</v>
      </c>
      <c r="D229" t="s">
        <v>74</v>
      </c>
      <c r="E229" t="s">
        <v>74</v>
      </c>
      <c r="F229" t="s">
        <v>1857</v>
      </c>
      <c r="G229" t="s">
        <v>74</v>
      </c>
      <c r="H229" t="s">
        <v>74</v>
      </c>
      <c r="I229" t="s">
        <v>1858</v>
      </c>
      <c r="J229" t="s">
        <v>1859</v>
      </c>
      <c r="K229" t="s">
        <v>74</v>
      </c>
      <c r="L229" t="s">
        <v>74</v>
      </c>
      <c r="M229" t="s">
        <v>74</v>
      </c>
      <c r="N229" t="s">
        <v>74</v>
      </c>
      <c r="O229" t="s">
        <v>74</v>
      </c>
      <c r="P229" t="s">
        <v>74</v>
      </c>
      <c r="Q229" t="s">
        <v>74</v>
      </c>
      <c r="R229" t="s">
        <v>74</v>
      </c>
      <c r="S229" t="s">
        <v>74</v>
      </c>
      <c r="T229" t="s">
        <v>74</v>
      </c>
      <c r="U229" t="s">
        <v>74</v>
      </c>
      <c r="V229" t="s">
        <v>74</v>
      </c>
      <c r="W229" t="s">
        <v>74</v>
      </c>
      <c r="X229" t="s">
        <v>74</v>
      </c>
      <c r="Y229" t="s">
        <v>74</v>
      </c>
      <c r="Z229" t="s">
        <v>74</v>
      </c>
      <c r="AA229" t="s">
        <v>6896</v>
      </c>
      <c r="AB229" t="s">
        <v>6897</v>
      </c>
      <c r="AC229" t="s">
        <v>74</v>
      </c>
      <c r="AD229" t="s">
        <v>74</v>
      </c>
      <c r="AE229" t="s">
        <v>74</v>
      </c>
      <c r="AF229" t="s">
        <v>74</v>
      </c>
      <c r="AG229" t="s">
        <v>74</v>
      </c>
      <c r="AH229" t="s">
        <v>74</v>
      </c>
      <c r="AI229" t="s">
        <v>74</v>
      </c>
      <c r="AJ229" t="s">
        <v>74</v>
      </c>
      <c r="AK229" t="s">
        <v>74</v>
      </c>
      <c r="AL229" t="s">
        <v>74</v>
      </c>
      <c r="AM229" t="s">
        <v>74</v>
      </c>
      <c r="AN229" t="s">
        <v>74</v>
      </c>
      <c r="AO229" t="s">
        <v>74</v>
      </c>
      <c r="AP229" t="s">
        <v>1860</v>
      </c>
      <c r="AQ229" t="s">
        <v>74</v>
      </c>
      <c r="AR229" t="s">
        <v>74</v>
      </c>
      <c r="AS229" t="s">
        <v>74</v>
      </c>
      <c r="AT229" t="s">
        <v>1861</v>
      </c>
      <c r="AU229">
        <v>2021</v>
      </c>
      <c r="AV229">
        <v>4</v>
      </c>
      <c r="AW229">
        <v>1</v>
      </c>
      <c r="AX229" t="s">
        <v>74</v>
      </c>
      <c r="AY229" t="s">
        <v>74</v>
      </c>
      <c r="AZ229" t="s">
        <v>74</v>
      </c>
      <c r="BA229" t="s">
        <v>74</v>
      </c>
      <c r="BB229" t="s">
        <v>74</v>
      </c>
      <c r="BC229" t="s">
        <v>74</v>
      </c>
      <c r="BD229">
        <v>49</v>
      </c>
      <c r="BE229" t="s">
        <v>1862</v>
      </c>
      <c r="BF229" t="str">
        <f>HYPERLINK("http://dx.doi.org/10.1038/s42003-020-01587-9","http://dx.doi.org/10.1038/s42003-020-01587-9")</f>
        <v>http://dx.doi.org/10.1038/s42003-020-01587-9</v>
      </c>
      <c r="BG229" t="s">
        <v>74</v>
      </c>
      <c r="BH229" t="s">
        <v>74</v>
      </c>
      <c r="BI229" t="s">
        <v>74</v>
      </c>
      <c r="BJ229" t="s">
        <v>74</v>
      </c>
      <c r="BK229" t="s">
        <v>74</v>
      </c>
      <c r="BL229" t="s">
        <v>74</v>
      </c>
      <c r="BM229" t="s">
        <v>74</v>
      </c>
      <c r="BN229">
        <v>33420411</v>
      </c>
      <c r="BO229" t="s">
        <v>74</v>
      </c>
      <c r="BP229" t="s">
        <v>74</v>
      </c>
      <c r="BQ229" t="s">
        <v>74</v>
      </c>
      <c r="BR229" t="s">
        <v>74</v>
      </c>
      <c r="BS229" t="s">
        <v>1863</v>
      </c>
      <c r="BT229" t="str">
        <f>HYPERLINK("https%3A%2F%2Fwww.webofscience.com%2Fwos%2Fwoscc%2Ffull-record%2FWOS:000608285700007","View Full Record in Web of Science")</f>
        <v>View Full Record in Web of Science</v>
      </c>
    </row>
    <row r="230" spans="1:72" x14ac:dyDescent="0.2">
      <c r="A230" t="s">
        <v>72</v>
      </c>
      <c r="B230" t="s">
        <v>1864</v>
      </c>
      <c r="C230" t="s">
        <v>74</v>
      </c>
      <c r="D230" t="s">
        <v>74</v>
      </c>
      <c r="E230" t="s">
        <v>74</v>
      </c>
      <c r="F230" t="s">
        <v>1865</v>
      </c>
      <c r="G230" t="s">
        <v>74</v>
      </c>
      <c r="H230" t="s">
        <v>74</v>
      </c>
      <c r="I230" t="s">
        <v>1866</v>
      </c>
      <c r="J230" t="s">
        <v>124</v>
      </c>
      <c r="K230" t="s">
        <v>74</v>
      </c>
      <c r="L230" t="s">
        <v>74</v>
      </c>
      <c r="M230" t="s">
        <v>74</v>
      </c>
      <c r="N230" t="s">
        <v>74</v>
      </c>
      <c r="O230" t="s">
        <v>74</v>
      </c>
      <c r="P230" t="s">
        <v>74</v>
      </c>
      <c r="Q230" t="s">
        <v>74</v>
      </c>
      <c r="R230" t="s">
        <v>74</v>
      </c>
      <c r="S230" t="s">
        <v>74</v>
      </c>
      <c r="T230" t="s">
        <v>74</v>
      </c>
      <c r="U230" t="s">
        <v>74</v>
      </c>
      <c r="V230" t="s">
        <v>74</v>
      </c>
      <c r="W230" t="s">
        <v>74</v>
      </c>
      <c r="X230" t="s">
        <v>74</v>
      </c>
      <c r="Y230" t="s">
        <v>74</v>
      </c>
      <c r="Z230" t="s">
        <v>74</v>
      </c>
      <c r="AA230" t="s">
        <v>1867</v>
      </c>
      <c r="AB230" t="s">
        <v>1868</v>
      </c>
      <c r="AC230" t="s">
        <v>74</v>
      </c>
      <c r="AD230" t="s">
        <v>74</v>
      </c>
      <c r="AE230" t="s">
        <v>74</v>
      </c>
      <c r="AF230" t="s">
        <v>74</v>
      </c>
      <c r="AG230" t="s">
        <v>74</v>
      </c>
      <c r="AH230" t="s">
        <v>74</v>
      </c>
      <c r="AI230" t="s">
        <v>74</v>
      </c>
      <c r="AJ230" t="s">
        <v>74</v>
      </c>
      <c r="AK230" t="s">
        <v>74</v>
      </c>
      <c r="AL230" t="s">
        <v>74</v>
      </c>
      <c r="AM230" t="s">
        <v>74</v>
      </c>
      <c r="AN230" t="s">
        <v>74</v>
      </c>
      <c r="AO230" t="s">
        <v>127</v>
      </c>
      <c r="AP230" t="s">
        <v>128</v>
      </c>
      <c r="AQ230" t="s">
        <v>74</v>
      </c>
      <c r="AR230" t="s">
        <v>74</v>
      </c>
      <c r="AS230" t="s">
        <v>74</v>
      </c>
      <c r="AT230" t="s">
        <v>416</v>
      </c>
      <c r="AU230">
        <v>2021</v>
      </c>
      <c r="AV230">
        <v>848</v>
      </c>
      <c r="AW230">
        <v>4</v>
      </c>
      <c r="AX230" t="s">
        <v>74</v>
      </c>
      <c r="AY230" t="s">
        <v>74</v>
      </c>
      <c r="AZ230" t="s">
        <v>74</v>
      </c>
      <c r="BA230" t="s">
        <v>74</v>
      </c>
      <c r="BB230">
        <v>753</v>
      </c>
      <c r="BC230">
        <v>771</v>
      </c>
      <c r="BD230" t="s">
        <v>74</v>
      </c>
      <c r="BE230" t="s">
        <v>1869</v>
      </c>
      <c r="BF230" t="str">
        <f>HYPERLINK("http://dx.doi.org/10.1007/s10750-020-04466-w","http://dx.doi.org/10.1007/s10750-020-04466-w")</f>
        <v>http://dx.doi.org/10.1007/s10750-020-04466-w</v>
      </c>
      <c r="BG230" t="s">
        <v>74</v>
      </c>
      <c r="BH230" t="s">
        <v>1848</v>
      </c>
      <c r="BI230" t="s">
        <v>74</v>
      </c>
      <c r="BJ230" t="s">
        <v>74</v>
      </c>
      <c r="BK230" t="s">
        <v>74</v>
      </c>
      <c r="BL230" t="s">
        <v>74</v>
      </c>
      <c r="BM230" t="s">
        <v>74</v>
      </c>
      <c r="BN230" t="s">
        <v>74</v>
      </c>
      <c r="BO230" t="s">
        <v>74</v>
      </c>
      <c r="BP230" t="s">
        <v>74</v>
      </c>
      <c r="BQ230" t="s">
        <v>74</v>
      </c>
      <c r="BR230" t="s">
        <v>74</v>
      </c>
      <c r="BS230" t="s">
        <v>1870</v>
      </c>
      <c r="BT230" t="str">
        <f>HYPERLINK("https%3A%2F%2Fwww.webofscience.com%2Fwos%2Fwoscc%2Ffull-record%2FWOS:000604160800002","View Full Record in Web of Science")</f>
        <v>View Full Record in Web of Science</v>
      </c>
    </row>
    <row r="231" spans="1:72" x14ac:dyDescent="0.2">
      <c r="A231" t="s">
        <v>72</v>
      </c>
      <c r="B231" t="s">
        <v>1871</v>
      </c>
      <c r="C231" t="s">
        <v>74</v>
      </c>
      <c r="D231" t="s">
        <v>74</v>
      </c>
      <c r="E231" t="s">
        <v>74</v>
      </c>
      <c r="F231" t="s">
        <v>1872</v>
      </c>
      <c r="G231" t="s">
        <v>74</v>
      </c>
      <c r="H231" t="s">
        <v>74</v>
      </c>
      <c r="I231" t="s">
        <v>1873</v>
      </c>
      <c r="J231" t="s">
        <v>1444</v>
      </c>
      <c r="K231" t="s">
        <v>74</v>
      </c>
      <c r="L231" t="s">
        <v>74</v>
      </c>
      <c r="M231" t="s">
        <v>74</v>
      </c>
      <c r="N231" t="s">
        <v>74</v>
      </c>
      <c r="O231" t="s">
        <v>74</v>
      </c>
      <c r="P231" t="s">
        <v>74</v>
      </c>
      <c r="Q231" t="s">
        <v>74</v>
      </c>
      <c r="R231" t="s">
        <v>74</v>
      </c>
      <c r="S231" t="s">
        <v>74</v>
      </c>
      <c r="T231" t="s">
        <v>74</v>
      </c>
      <c r="U231" t="s">
        <v>74</v>
      </c>
      <c r="V231" t="s">
        <v>74</v>
      </c>
      <c r="W231" t="s">
        <v>74</v>
      </c>
      <c r="X231" t="s">
        <v>74</v>
      </c>
      <c r="Y231" t="s">
        <v>74</v>
      </c>
      <c r="Z231" t="s">
        <v>74</v>
      </c>
      <c r="AA231" t="s">
        <v>6898</v>
      </c>
      <c r="AB231" t="s">
        <v>6899</v>
      </c>
      <c r="AC231" t="s">
        <v>74</v>
      </c>
      <c r="AD231" t="s">
        <v>74</v>
      </c>
      <c r="AE231" t="s">
        <v>74</v>
      </c>
      <c r="AF231" t="s">
        <v>74</v>
      </c>
      <c r="AG231" t="s">
        <v>74</v>
      </c>
      <c r="AH231" t="s">
        <v>74</v>
      </c>
      <c r="AI231" t="s">
        <v>74</v>
      </c>
      <c r="AJ231" t="s">
        <v>74</v>
      </c>
      <c r="AK231" t="s">
        <v>74</v>
      </c>
      <c r="AL231" t="s">
        <v>74</v>
      </c>
      <c r="AM231" t="s">
        <v>74</v>
      </c>
      <c r="AN231" t="s">
        <v>74</v>
      </c>
      <c r="AO231" t="s">
        <v>1447</v>
      </c>
      <c r="AP231" t="s">
        <v>1448</v>
      </c>
      <c r="AQ231" t="s">
        <v>74</v>
      </c>
      <c r="AR231" t="s">
        <v>74</v>
      </c>
      <c r="AS231" t="s">
        <v>74</v>
      </c>
      <c r="AT231" t="s">
        <v>74</v>
      </c>
      <c r="AU231">
        <v>2021</v>
      </c>
      <c r="AV231">
        <v>93</v>
      </c>
      <c r="AW231" t="s">
        <v>74</v>
      </c>
      <c r="AX231" t="s">
        <v>74</v>
      </c>
      <c r="AY231">
        <v>3</v>
      </c>
      <c r="AZ231" t="s">
        <v>74</v>
      </c>
      <c r="BA231" t="s">
        <v>74</v>
      </c>
      <c r="BB231" t="s">
        <v>74</v>
      </c>
      <c r="BC231" t="s">
        <v>74</v>
      </c>
      <c r="BD231" t="s">
        <v>1874</v>
      </c>
      <c r="BE231" t="s">
        <v>1875</v>
      </c>
      <c r="BF231" t="str">
        <f>HYPERLINK("http://dx.doi.org/10.1590/0001-3765202120200778","http://dx.doi.org/10.1590/0001-3765202120200778")</f>
        <v>http://dx.doi.org/10.1590/0001-3765202120200778</v>
      </c>
      <c r="BG231" t="s">
        <v>74</v>
      </c>
      <c r="BH231" t="s">
        <v>74</v>
      </c>
      <c r="BI231" t="s">
        <v>74</v>
      </c>
      <c r="BJ231" t="s">
        <v>74</v>
      </c>
      <c r="BK231" t="s">
        <v>74</v>
      </c>
      <c r="BL231" t="s">
        <v>74</v>
      </c>
      <c r="BM231" t="s">
        <v>74</v>
      </c>
      <c r="BN231">
        <v>34431864</v>
      </c>
      <c r="BO231" t="s">
        <v>74</v>
      </c>
      <c r="BP231" t="s">
        <v>74</v>
      </c>
      <c r="BQ231" t="s">
        <v>74</v>
      </c>
      <c r="BR231" t="s">
        <v>74</v>
      </c>
      <c r="BS231" t="s">
        <v>1876</v>
      </c>
      <c r="BT231" t="str">
        <f>HYPERLINK("https%3A%2F%2Fwww.webofscience.com%2Fwos%2Fwoscc%2Ffull-record%2FWOS:000691751200001","View Full Record in Web of Science")</f>
        <v>View Full Record in Web of Science</v>
      </c>
    </row>
    <row r="232" spans="1:72" x14ac:dyDescent="0.2">
      <c r="A232" t="s">
        <v>72</v>
      </c>
      <c r="B232" t="s">
        <v>1877</v>
      </c>
      <c r="C232" t="s">
        <v>74</v>
      </c>
      <c r="D232" t="s">
        <v>74</v>
      </c>
      <c r="E232" t="s">
        <v>74</v>
      </c>
      <c r="F232" t="s">
        <v>1878</v>
      </c>
      <c r="G232" t="s">
        <v>74</v>
      </c>
      <c r="H232" t="s">
        <v>74</v>
      </c>
      <c r="I232" t="s">
        <v>1879</v>
      </c>
      <c r="J232" t="s">
        <v>1880</v>
      </c>
      <c r="K232" t="s">
        <v>74</v>
      </c>
      <c r="L232" t="s">
        <v>74</v>
      </c>
      <c r="M232" t="s">
        <v>74</v>
      </c>
      <c r="N232" t="s">
        <v>74</v>
      </c>
      <c r="O232" t="s">
        <v>74</v>
      </c>
      <c r="P232" t="s">
        <v>74</v>
      </c>
      <c r="Q232" t="s">
        <v>74</v>
      </c>
      <c r="R232" t="s">
        <v>74</v>
      </c>
      <c r="S232" t="s">
        <v>74</v>
      </c>
      <c r="T232" t="s">
        <v>74</v>
      </c>
      <c r="U232" t="s">
        <v>74</v>
      </c>
      <c r="V232" t="s">
        <v>74</v>
      </c>
      <c r="W232" t="s">
        <v>74</v>
      </c>
      <c r="X232" t="s">
        <v>74</v>
      </c>
      <c r="Y232" t="s">
        <v>74</v>
      </c>
      <c r="Z232" t="s">
        <v>74</v>
      </c>
      <c r="AA232" t="s">
        <v>74</v>
      </c>
      <c r="AB232" t="s">
        <v>6900</v>
      </c>
      <c r="AC232" t="s">
        <v>74</v>
      </c>
      <c r="AD232" t="s">
        <v>74</v>
      </c>
      <c r="AE232" t="s">
        <v>74</v>
      </c>
      <c r="AF232" t="s">
        <v>74</v>
      </c>
      <c r="AG232" t="s">
        <v>74</v>
      </c>
      <c r="AH232" t="s">
        <v>74</v>
      </c>
      <c r="AI232" t="s">
        <v>74</v>
      </c>
      <c r="AJ232" t="s">
        <v>74</v>
      </c>
      <c r="AK232" t="s">
        <v>74</v>
      </c>
      <c r="AL232" t="s">
        <v>74</v>
      </c>
      <c r="AM232" t="s">
        <v>74</v>
      </c>
      <c r="AN232" t="s">
        <v>74</v>
      </c>
      <c r="AO232" t="s">
        <v>1881</v>
      </c>
      <c r="AP232" t="s">
        <v>74</v>
      </c>
      <c r="AQ232" t="s">
        <v>74</v>
      </c>
      <c r="AR232" t="s">
        <v>74</v>
      </c>
      <c r="AS232" t="s">
        <v>74</v>
      </c>
      <c r="AT232" t="s">
        <v>74</v>
      </c>
      <c r="AU232">
        <v>2021</v>
      </c>
      <c r="AV232">
        <v>8</v>
      </c>
      <c r="AW232">
        <v>3</v>
      </c>
      <c r="AX232" t="s">
        <v>74</v>
      </c>
      <c r="AY232" t="s">
        <v>74</v>
      </c>
      <c r="AZ232" t="s">
        <v>74</v>
      </c>
      <c r="BA232" t="s">
        <v>74</v>
      </c>
      <c r="BB232">
        <v>655</v>
      </c>
      <c r="BC232">
        <v>661</v>
      </c>
      <c r="BD232" t="s">
        <v>74</v>
      </c>
      <c r="BE232" t="s">
        <v>1882</v>
      </c>
      <c r="BF232" t="str">
        <f>HYPERLINK("http://dx.doi.org/10.14719/pst.2021.8.3.1190","http://dx.doi.org/10.14719/pst.2021.8.3.1190")</f>
        <v>http://dx.doi.org/10.14719/pst.2021.8.3.1190</v>
      </c>
      <c r="BG232" t="s">
        <v>74</v>
      </c>
      <c r="BH232" t="s">
        <v>74</v>
      </c>
      <c r="BI232" t="s">
        <v>74</v>
      </c>
      <c r="BJ232" t="s">
        <v>74</v>
      </c>
      <c r="BK232" t="s">
        <v>74</v>
      </c>
      <c r="BL232" t="s">
        <v>74</v>
      </c>
      <c r="BM232" t="s">
        <v>74</v>
      </c>
      <c r="BN232" t="s">
        <v>74</v>
      </c>
      <c r="BO232" t="s">
        <v>74</v>
      </c>
      <c r="BP232" t="s">
        <v>74</v>
      </c>
      <c r="BQ232" t="s">
        <v>74</v>
      </c>
      <c r="BR232" t="s">
        <v>74</v>
      </c>
      <c r="BS232" t="s">
        <v>1883</v>
      </c>
      <c r="BT232" t="str">
        <f>HYPERLINK("https%3A%2F%2Fwww.webofscience.com%2Fwos%2Fwoscc%2Ffull-record%2FWOS:000669503900030","View Full Record in Web of Science")</f>
        <v>View Full Record in Web of Science</v>
      </c>
    </row>
    <row r="233" spans="1:72" x14ac:dyDescent="0.2">
      <c r="A233" t="s">
        <v>72</v>
      </c>
      <c r="B233" t="s">
        <v>1884</v>
      </c>
      <c r="C233" t="s">
        <v>74</v>
      </c>
      <c r="D233" t="s">
        <v>74</v>
      </c>
      <c r="E233" t="s">
        <v>74</v>
      </c>
      <c r="F233" t="s">
        <v>1885</v>
      </c>
      <c r="G233" t="s">
        <v>74</v>
      </c>
      <c r="H233" t="s">
        <v>74</v>
      </c>
      <c r="I233" t="s">
        <v>1886</v>
      </c>
      <c r="J233" t="s">
        <v>1887</v>
      </c>
      <c r="K233" t="s">
        <v>74</v>
      </c>
      <c r="L233" t="s">
        <v>74</v>
      </c>
      <c r="M233" t="s">
        <v>74</v>
      </c>
      <c r="N233" t="s">
        <v>74</v>
      </c>
      <c r="O233" t="s">
        <v>74</v>
      </c>
      <c r="P233" t="s">
        <v>74</v>
      </c>
      <c r="Q233" t="s">
        <v>74</v>
      </c>
      <c r="R233" t="s">
        <v>74</v>
      </c>
      <c r="S233" t="s">
        <v>74</v>
      </c>
      <c r="T233" t="s">
        <v>74</v>
      </c>
      <c r="U233" t="s">
        <v>74</v>
      </c>
      <c r="V233" t="s">
        <v>74</v>
      </c>
      <c r="W233" t="s">
        <v>74</v>
      </c>
      <c r="X233" t="s">
        <v>74</v>
      </c>
      <c r="Y233" t="s">
        <v>74</v>
      </c>
      <c r="Z233" t="s">
        <v>74</v>
      </c>
      <c r="AA233" t="s">
        <v>1888</v>
      </c>
      <c r="AB233" t="s">
        <v>1889</v>
      </c>
      <c r="AC233" t="s">
        <v>74</v>
      </c>
      <c r="AD233" t="s">
        <v>74</v>
      </c>
      <c r="AE233" t="s">
        <v>74</v>
      </c>
      <c r="AF233" t="s">
        <v>74</v>
      </c>
      <c r="AG233" t="s">
        <v>74</v>
      </c>
      <c r="AH233" t="s">
        <v>74</v>
      </c>
      <c r="AI233" t="s">
        <v>74</v>
      </c>
      <c r="AJ233" t="s">
        <v>74</v>
      </c>
      <c r="AK233" t="s">
        <v>74</v>
      </c>
      <c r="AL233" t="s">
        <v>74</v>
      </c>
      <c r="AM233" t="s">
        <v>74</v>
      </c>
      <c r="AN233" t="s">
        <v>74</v>
      </c>
      <c r="AO233" t="s">
        <v>1890</v>
      </c>
      <c r="AP233" t="s">
        <v>1891</v>
      </c>
      <c r="AQ233" t="s">
        <v>74</v>
      </c>
      <c r="AR233" t="s">
        <v>74</v>
      </c>
      <c r="AS233" t="s">
        <v>74</v>
      </c>
      <c r="AT233" t="s">
        <v>74</v>
      </c>
      <c r="AU233">
        <v>2021</v>
      </c>
      <c r="AV233">
        <v>30</v>
      </c>
      <c r="AW233" t="s">
        <v>1892</v>
      </c>
      <c r="AX233" t="s">
        <v>74</v>
      </c>
      <c r="AY233" t="s">
        <v>74</v>
      </c>
      <c r="AZ233" t="s">
        <v>74</v>
      </c>
      <c r="BA233" t="s">
        <v>74</v>
      </c>
      <c r="BB233">
        <v>1687</v>
      </c>
      <c r="BC233">
        <v>1695</v>
      </c>
      <c r="BD233" t="s">
        <v>74</v>
      </c>
      <c r="BE233" t="s">
        <v>74</v>
      </c>
      <c r="BF233" t="s">
        <v>74</v>
      </c>
      <c r="BG233" t="s">
        <v>74</v>
      </c>
      <c r="BH233" t="s">
        <v>74</v>
      </c>
      <c r="BI233" t="s">
        <v>74</v>
      </c>
      <c r="BJ233" t="s">
        <v>74</v>
      </c>
      <c r="BK233" t="s">
        <v>74</v>
      </c>
      <c r="BL233" t="s">
        <v>74</v>
      </c>
      <c r="BM233" t="s">
        <v>74</v>
      </c>
      <c r="BN233" t="s">
        <v>74</v>
      </c>
      <c r="BO233" t="s">
        <v>74</v>
      </c>
      <c r="BP233" t="s">
        <v>74</v>
      </c>
      <c r="BQ233" t="s">
        <v>74</v>
      </c>
      <c r="BR233" t="s">
        <v>74</v>
      </c>
      <c r="BS233" t="s">
        <v>1893</v>
      </c>
      <c r="BT233" t="str">
        <f>HYPERLINK("https%3A%2F%2Fwww.webofscience.com%2Fwos%2Fwoscc%2Ffull-record%2FWOS:000626629800013","View Full Record in Web of Science")</f>
        <v>View Full Record in Web of Science</v>
      </c>
    </row>
    <row r="234" spans="1:72" x14ac:dyDescent="0.2">
      <c r="A234" t="s">
        <v>72</v>
      </c>
      <c r="B234" t="s">
        <v>1894</v>
      </c>
      <c r="C234" t="s">
        <v>74</v>
      </c>
      <c r="D234" t="s">
        <v>74</v>
      </c>
      <c r="E234" t="s">
        <v>74</v>
      </c>
      <c r="F234" t="s">
        <v>1895</v>
      </c>
      <c r="G234" t="s">
        <v>74</v>
      </c>
      <c r="H234" t="s">
        <v>74</v>
      </c>
      <c r="I234" t="s">
        <v>1896</v>
      </c>
      <c r="J234" t="s">
        <v>1897</v>
      </c>
      <c r="K234" t="s">
        <v>74</v>
      </c>
      <c r="L234" t="s">
        <v>74</v>
      </c>
      <c r="M234" t="s">
        <v>74</v>
      </c>
      <c r="N234" t="s">
        <v>74</v>
      </c>
      <c r="O234" t="s">
        <v>74</v>
      </c>
      <c r="P234" t="s">
        <v>74</v>
      </c>
      <c r="Q234" t="s">
        <v>74</v>
      </c>
      <c r="R234" t="s">
        <v>74</v>
      </c>
      <c r="S234" t="s">
        <v>74</v>
      </c>
      <c r="T234" t="s">
        <v>74</v>
      </c>
      <c r="U234" t="s">
        <v>74</v>
      </c>
      <c r="V234" t="s">
        <v>74</v>
      </c>
      <c r="W234" t="s">
        <v>74</v>
      </c>
      <c r="X234" t="s">
        <v>74</v>
      </c>
      <c r="Y234" t="s">
        <v>74</v>
      </c>
      <c r="Z234" t="s">
        <v>74</v>
      </c>
      <c r="AA234" t="s">
        <v>6901</v>
      </c>
      <c r="AB234" t="s">
        <v>6902</v>
      </c>
      <c r="AC234" t="s">
        <v>74</v>
      </c>
      <c r="AD234" t="s">
        <v>74</v>
      </c>
      <c r="AE234" t="s">
        <v>74</v>
      </c>
      <c r="AF234" t="s">
        <v>74</v>
      </c>
      <c r="AG234" t="s">
        <v>74</v>
      </c>
      <c r="AH234" t="s">
        <v>74</v>
      </c>
      <c r="AI234" t="s">
        <v>74</v>
      </c>
      <c r="AJ234" t="s">
        <v>74</v>
      </c>
      <c r="AK234" t="s">
        <v>74</v>
      </c>
      <c r="AL234" t="s">
        <v>74</v>
      </c>
      <c r="AM234" t="s">
        <v>74</v>
      </c>
      <c r="AN234" t="s">
        <v>74</v>
      </c>
      <c r="AO234" t="s">
        <v>74</v>
      </c>
      <c r="AP234" t="s">
        <v>1898</v>
      </c>
      <c r="AQ234" t="s">
        <v>74</v>
      </c>
      <c r="AR234" t="s">
        <v>74</v>
      </c>
      <c r="AS234" t="s">
        <v>74</v>
      </c>
      <c r="AT234" t="s">
        <v>315</v>
      </c>
      <c r="AU234">
        <v>2021</v>
      </c>
      <c r="AV234">
        <v>23</v>
      </c>
      <c r="AW234">
        <v>1</v>
      </c>
      <c r="AX234" t="s">
        <v>74</v>
      </c>
      <c r="AY234" t="s">
        <v>74</v>
      </c>
      <c r="AZ234" t="s">
        <v>74</v>
      </c>
      <c r="BA234" t="s">
        <v>74</v>
      </c>
      <c r="BB234" t="s">
        <v>74</v>
      </c>
      <c r="BC234" t="s">
        <v>74</v>
      </c>
      <c r="BD234">
        <v>35</v>
      </c>
      <c r="BE234" t="s">
        <v>1899</v>
      </c>
      <c r="BF234" t="str">
        <f>HYPERLINK("http://dx.doi.org/10.3390/e23010035","http://dx.doi.org/10.3390/e23010035")</f>
        <v>http://dx.doi.org/10.3390/e23010035</v>
      </c>
      <c r="BG234" t="s">
        <v>74</v>
      </c>
      <c r="BH234" t="s">
        <v>74</v>
      </c>
      <c r="BI234" t="s">
        <v>74</v>
      </c>
      <c r="BJ234" t="s">
        <v>74</v>
      </c>
      <c r="BK234" t="s">
        <v>74</v>
      </c>
      <c r="BL234" t="s">
        <v>74</v>
      </c>
      <c r="BM234" t="s">
        <v>74</v>
      </c>
      <c r="BN234">
        <v>33383722</v>
      </c>
      <c r="BO234" t="s">
        <v>74</v>
      </c>
      <c r="BP234" t="s">
        <v>74</v>
      </c>
      <c r="BQ234" t="s">
        <v>74</v>
      </c>
      <c r="BR234" t="s">
        <v>74</v>
      </c>
      <c r="BS234" t="s">
        <v>1900</v>
      </c>
      <c r="BT234" t="str">
        <f>HYPERLINK("https%3A%2F%2Fwww.webofscience.com%2Fwos%2Fwoscc%2Ffull-record%2FWOS:000610121900001","View Full Record in Web of Science")</f>
        <v>View Full Record in Web of Science</v>
      </c>
    </row>
    <row r="235" spans="1:72" x14ac:dyDescent="0.2">
      <c r="A235" t="s">
        <v>72</v>
      </c>
      <c r="B235" t="s">
        <v>1901</v>
      </c>
      <c r="C235" t="s">
        <v>74</v>
      </c>
      <c r="D235" t="s">
        <v>74</v>
      </c>
      <c r="E235" t="s">
        <v>74</v>
      </c>
      <c r="F235" t="s">
        <v>1902</v>
      </c>
      <c r="G235" t="s">
        <v>74</v>
      </c>
      <c r="H235" t="s">
        <v>74</v>
      </c>
      <c r="I235" t="s">
        <v>1903</v>
      </c>
      <c r="J235" t="s">
        <v>1904</v>
      </c>
      <c r="K235" t="s">
        <v>74</v>
      </c>
      <c r="L235" t="s">
        <v>74</v>
      </c>
      <c r="M235" t="s">
        <v>74</v>
      </c>
      <c r="N235" t="s">
        <v>74</v>
      </c>
      <c r="O235" t="s">
        <v>74</v>
      </c>
      <c r="P235" t="s">
        <v>74</v>
      </c>
      <c r="Q235" t="s">
        <v>74</v>
      </c>
      <c r="R235" t="s">
        <v>74</v>
      </c>
      <c r="S235" t="s">
        <v>74</v>
      </c>
      <c r="T235" t="s">
        <v>74</v>
      </c>
      <c r="U235" t="s">
        <v>74</v>
      </c>
      <c r="V235" t="s">
        <v>74</v>
      </c>
      <c r="W235" t="s">
        <v>74</v>
      </c>
      <c r="X235" t="s">
        <v>74</v>
      </c>
      <c r="Y235" t="s">
        <v>74</v>
      </c>
      <c r="Z235" t="s">
        <v>74</v>
      </c>
      <c r="AA235" t="s">
        <v>6903</v>
      </c>
      <c r="AB235" t="s">
        <v>6904</v>
      </c>
      <c r="AC235" t="s">
        <v>74</v>
      </c>
      <c r="AD235" t="s">
        <v>74</v>
      </c>
      <c r="AE235" t="s">
        <v>74</v>
      </c>
      <c r="AF235" t="s">
        <v>74</v>
      </c>
      <c r="AG235" t="s">
        <v>74</v>
      </c>
      <c r="AH235" t="s">
        <v>74</v>
      </c>
      <c r="AI235" t="s">
        <v>74</v>
      </c>
      <c r="AJ235" t="s">
        <v>74</v>
      </c>
      <c r="AK235" t="s">
        <v>74</v>
      </c>
      <c r="AL235" t="s">
        <v>74</v>
      </c>
      <c r="AM235" t="s">
        <v>74</v>
      </c>
      <c r="AN235" t="s">
        <v>74</v>
      </c>
      <c r="AO235" t="s">
        <v>1905</v>
      </c>
      <c r="AP235" t="s">
        <v>1906</v>
      </c>
      <c r="AQ235" t="s">
        <v>74</v>
      </c>
      <c r="AR235" t="s">
        <v>74</v>
      </c>
      <c r="AS235" t="s">
        <v>74</v>
      </c>
      <c r="AT235" t="s">
        <v>74</v>
      </c>
      <c r="AU235">
        <v>2021</v>
      </c>
      <c r="AV235">
        <v>40</v>
      </c>
      <c r="AW235">
        <v>2</v>
      </c>
      <c r="AX235" t="s">
        <v>74</v>
      </c>
      <c r="AY235" t="s">
        <v>74</v>
      </c>
      <c r="AZ235" t="s">
        <v>74</v>
      </c>
      <c r="BA235" t="s">
        <v>74</v>
      </c>
      <c r="BB235">
        <v>233</v>
      </c>
      <c r="BC235">
        <v>246</v>
      </c>
      <c r="BD235" t="s">
        <v>74</v>
      </c>
      <c r="BE235" t="s">
        <v>1907</v>
      </c>
      <c r="BF235" t="str">
        <f>HYPERLINK("http://dx.doi.org/10.23818/limn.40.16","http://dx.doi.org/10.23818/limn.40.16")</f>
        <v>http://dx.doi.org/10.23818/limn.40.16</v>
      </c>
      <c r="BG235" t="s">
        <v>74</v>
      </c>
      <c r="BH235" t="s">
        <v>74</v>
      </c>
      <c r="BI235" t="s">
        <v>74</v>
      </c>
      <c r="BJ235" t="s">
        <v>74</v>
      </c>
      <c r="BK235" t="s">
        <v>74</v>
      </c>
      <c r="BL235" t="s">
        <v>74</v>
      </c>
      <c r="BM235" t="s">
        <v>74</v>
      </c>
      <c r="BN235" t="s">
        <v>74</v>
      </c>
      <c r="BO235" t="s">
        <v>74</v>
      </c>
      <c r="BP235" t="s">
        <v>74</v>
      </c>
      <c r="BQ235" t="s">
        <v>74</v>
      </c>
      <c r="BR235" t="s">
        <v>74</v>
      </c>
      <c r="BS235" t="s">
        <v>1908</v>
      </c>
      <c r="BT235" t="str">
        <f>HYPERLINK("https%3A%2F%2Fwww.webofscience.com%2Fwos%2Fwoscc%2Ffull-record%2FWOS:000659952800001","View Full Record in Web of Science")</f>
        <v>View Full Record in Web of Science</v>
      </c>
    </row>
    <row r="236" spans="1:72" x14ac:dyDescent="0.2">
      <c r="A236" t="s">
        <v>72</v>
      </c>
      <c r="B236" t="s">
        <v>1909</v>
      </c>
      <c r="C236" t="s">
        <v>74</v>
      </c>
      <c r="D236" t="s">
        <v>74</v>
      </c>
      <c r="E236" t="s">
        <v>74</v>
      </c>
      <c r="F236" t="s">
        <v>1910</v>
      </c>
      <c r="G236" t="s">
        <v>74</v>
      </c>
      <c r="H236" t="s">
        <v>74</v>
      </c>
      <c r="I236" t="s">
        <v>1911</v>
      </c>
      <c r="J236" t="s">
        <v>1912</v>
      </c>
      <c r="K236" t="s">
        <v>74</v>
      </c>
      <c r="L236" t="s">
        <v>74</v>
      </c>
      <c r="M236" t="s">
        <v>74</v>
      </c>
      <c r="N236" t="s">
        <v>74</v>
      </c>
      <c r="O236" t="s">
        <v>74</v>
      </c>
      <c r="P236" t="s">
        <v>74</v>
      </c>
      <c r="Q236" t="s">
        <v>74</v>
      </c>
      <c r="R236" t="s">
        <v>74</v>
      </c>
      <c r="S236" t="s">
        <v>74</v>
      </c>
      <c r="T236" t="s">
        <v>74</v>
      </c>
      <c r="U236" t="s">
        <v>74</v>
      </c>
      <c r="V236" t="s">
        <v>74</v>
      </c>
      <c r="W236" t="s">
        <v>74</v>
      </c>
      <c r="X236" t="s">
        <v>74</v>
      </c>
      <c r="Y236" t="s">
        <v>74</v>
      </c>
      <c r="Z236" t="s">
        <v>74</v>
      </c>
      <c r="AA236" t="s">
        <v>74</v>
      </c>
      <c r="AB236" t="s">
        <v>6905</v>
      </c>
      <c r="AC236" t="s">
        <v>74</v>
      </c>
      <c r="AD236" t="s">
        <v>74</v>
      </c>
      <c r="AE236" t="s">
        <v>74</v>
      </c>
      <c r="AF236" t="s">
        <v>74</v>
      </c>
      <c r="AG236" t="s">
        <v>74</v>
      </c>
      <c r="AH236" t="s">
        <v>74</v>
      </c>
      <c r="AI236" t="s">
        <v>74</v>
      </c>
      <c r="AJ236" t="s">
        <v>74</v>
      </c>
      <c r="AK236" t="s">
        <v>74</v>
      </c>
      <c r="AL236" t="s">
        <v>74</v>
      </c>
      <c r="AM236" t="s">
        <v>74</v>
      </c>
      <c r="AN236" t="s">
        <v>74</v>
      </c>
      <c r="AO236" t="s">
        <v>1913</v>
      </c>
      <c r="AP236" t="s">
        <v>1914</v>
      </c>
      <c r="AQ236" t="s">
        <v>74</v>
      </c>
      <c r="AR236" t="s">
        <v>74</v>
      </c>
      <c r="AS236" t="s">
        <v>74</v>
      </c>
      <c r="AT236" t="s">
        <v>74</v>
      </c>
      <c r="AU236">
        <v>2021</v>
      </c>
      <c r="AV236">
        <v>26</v>
      </c>
      <c r="AW236" t="s">
        <v>74</v>
      </c>
      <c r="AX236" t="s">
        <v>74</v>
      </c>
      <c r="AY236" t="s">
        <v>74</v>
      </c>
      <c r="AZ236" t="s">
        <v>74</v>
      </c>
      <c r="BA236" t="s">
        <v>74</v>
      </c>
      <c r="BB236">
        <v>17</v>
      </c>
      <c r="BC236">
        <v>27</v>
      </c>
      <c r="BD236" t="s">
        <v>74</v>
      </c>
      <c r="BE236" t="s">
        <v>1915</v>
      </c>
      <c r="BF236" t="str">
        <f>HYPERLINK("http://dx.doi.org/10.17011/jyx/dataset/66278","http://dx.doi.org/10.17011/jyx/dataset/66278")</f>
        <v>http://dx.doi.org/10.17011/jyx/dataset/66278</v>
      </c>
      <c r="BG236" t="s">
        <v>74</v>
      </c>
      <c r="BH236" t="s">
        <v>74</v>
      </c>
      <c r="BI236" t="s">
        <v>74</v>
      </c>
      <c r="BJ236" t="s">
        <v>74</v>
      </c>
      <c r="BK236" t="s">
        <v>74</v>
      </c>
      <c r="BL236" t="s">
        <v>74</v>
      </c>
      <c r="BM236" t="s">
        <v>74</v>
      </c>
      <c r="BN236" t="s">
        <v>74</v>
      </c>
      <c r="BO236" t="s">
        <v>74</v>
      </c>
      <c r="BP236" t="s">
        <v>74</v>
      </c>
      <c r="BQ236" t="s">
        <v>74</v>
      </c>
      <c r="BR236" t="s">
        <v>74</v>
      </c>
      <c r="BS236" t="s">
        <v>1916</v>
      </c>
      <c r="BT236" t="str">
        <f>HYPERLINK("https%3A%2F%2Fwww.webofscience.com%2Fwos%2Fwoscc%2Ffull-record%2FWOS:000641306800002","View Full Record in Web of Science")</f>
        <v>View Full Record in Web of Science</v>
      </c>
    </row>
    <row r="237" spans="1:72" x14ac:dyDescent="0.2">
      <c r="A237" t="s">
        <v>72</v>
      </c>
      <c r="B237" t="s">
        <v>1917</v>
      </c>
      <c r="C237" t="s">
        <v>74</v>
      </c>
      <c r="D237" t="s">
        <v>74</v>
      </c>
      <c r="E237" t="s">
        <v>74</v>
      </c>
      <c r="F237" t="s">
        <v>1918</v>
      </c>
      <c r="G237" t="s">
        <v>74</v>
      </c>
      <c r="H237" t="s">
        <v>74</v>
      </c>
      <c r="I237" t="s">
        <v>1919</v>
      </c>
      <c r="J237" t="s">
        <v>1920</v>
      </c>
      <c r="K237" t="s">
        <v>74</v>
      </c>
      <c r="L237" t="s">
        <v>74</v>
      </c>
      <c r="M237" t="s">
        <v>74</v>
      </c>
      <c r="N237" t="s">
        <v>74</v>
      </c>
      <c r="O237" t="s">
        <v>74</v>
      </c>
      <c r="P237" t="s">
        <v>74</v>
      </c>
      <c r="Q237" t="s">
        <v>74</v>
      </c>
      <c r="R237" t="s">
        <v>74</v>
      </c>
      <c r="S237" t="s">
        <v>74</v>
      </c>
      <c r="T237" t="s">
        <v>74</v>
      </c>
      <c r="U237" t="s">
        <v>74</v>
      </c>
      <c r="V237" t="s">
        <v>74</v>
      </c>
      <c r="W237" t="s">
        <v>74</v>
      </c>
      <c r="X237" t="s">
        <v>74</v>
      </c>
      <c r="Y237" t="s">
        <v>74</v>
      </c>
      <c r="Z237" t="s">
        <v>74</v>
      </c>
      <c r="AA237" t="s">
        <v>1182</v>
      </c>
      <c r="AB237" t="s">
        <v>74</v>
      </c>
      <c r="AC237" t="s">
        <v>74</v>
      </c>
      <c r="AD237" t="s">
        <v>74</v>
      </c>
      <c r="AE237" t="s">
        <v>74</v>
      </c>
      <c r="AF237" t="s">
        <v>74</v>
      </c>
      <c r="AG237" t="s">
        <v>74</v>
      </c>
      <c r="AH237" t="s">
        <v>74</v>
      </c>
      <c r="AI237" t="s">
        <v>74</v>
      </c>
      <c r="AJ237" t="s">
        <v>74</v>
      </c>
      <c r="AK237" t="s">
        <v>74</v>
      </c>
      <c r="AL237" t="s">
        <v>74</v>
      </c>
      <c r="AM237" t="s">
        <v>74</v>
      </c>
      <c r="AN237" t="s">
        <v>74</v>
      </c>
      <c r="AO237" t="s">
        <v>1921</v>
      </c>
      <c r="AP237" t="s">
        <v>1922</v>
      </c>
      <c r="AQ237" t="s">
        <v>74</v>
      </c>
      <c r="AR237" t="s">
        <v>74</v>
      </c>
      <c r="AS237" t="s">
        <v>74</v>
      </c>
      <c r="AT237" t="s">
        <v>315</v>
      </c>
      <c r="AU237">
        <v>2021</v>
      </c>
      <c r="AV237">
        <v>68</v>
      </c>
      <c r="AW237">
        <v>1</v>
      </c>
      <c r="AX237" t="s">
        <v>74</v>
      </c>
      <c r="AY237" t="s">
        <v>74</v>
      </c>
      <c r="AZ237" t="s">
        <v>74</v>
      </c>
      <c r="BA237" t="s">
        <v>74</v>
      </c>
      <c r="BB237" t="s">
        <v>74</v>
      </c>
      <c r="BC237" t="s">
        <v>74</v>
      </c>
      <c r="BD237" t="s">
        <v>74</v>
      </c>
      <c r="BE237" t="s">
        <v>1923</v>
      </c>
      <c r="BF237" t="str">
        <f>HYPERLINK("http://dx.doi.org/10.1111/jeu.12823","http://dx.doi.org/10.1111/jeu.12823")</f>
        <v>http://dx.doi.org/10.1111/jeu.12823</v>
      </c>
      <c r="BG237" t="s">
        <v>74</v>
      </c>
      <c r="BH237" t="s">
        <v>1924</v>
      </c>
      <c r="BI237" t="s">
        <v>74</v>
      </c>
      <c r="BJ237" t="s">
        <v>74</v>
      </c>
      <c r="BK237" t="s">
        <v>74</v>
      </c>
      <c r="BL237" t="s">
        <v>74</v>
      </c>
      <c r="BM237" t="s">
        <v>74</v>
      </c>
      <c r="BN237">
        <v>33241612</v>
      </c>
      <c r="BO237" t="s">
        <v>74</v>
      </c>
      <c r="BP237" t="s">
        <v>74</v>
      </c>
      <c r="BQ237" t="s">
        <v>74</v>
      </c>
      <c r="BR237" t="s">
        <v>74</v>
      </c>
      <c r="BS237" t="s">
        <v>1925</v>
      </c>
      <c r="BT237" t="str">
        <f>HYPERLINK("https%3A%2F%2Fwww.webofscience.com%2Fwos%2Fwoscc%2Ffull-record%2FWOS:000602507000001","View Full Record in Web of Science")</f>
        <v>View Full Record in Web of Science</v>
      </c>
    </row>
    <row r="238" spans="1:72" x14ac:dyDescent="0.2">
      <c r="A238" t="s">
        <v>72</v>
      </c>
      <c r="B238" t="s">
        <v>1926</v>
      </c>
      <c r="C238" t="s">
        <v>74</v>
      </c>
      <c r="D238" t="s">
        <v>74</v>
      </c>
      <c r="E238" t="s">
        <v>74</v>
      </c>
      <c r="F238" t="s">
        <v>1927</v>
      </c>
      <c r="G238" t="s">
        <v>74</v>
      </c>
      <c r="H238" t="s">
        <v>74</v>
      </c>
      <c r="I238" t="s">
        <v>1928</v>
      </c>
      <c r="J238" t="s">
        <v>1716</v>
      </c>
      <c r="K238" t="s">
        <v>74</v>
      </c>
      <c r="L238" t="s">
        <v>74</v>
      </c>
      <c r="M238" t="s">
        <v>74</v>
      </c>
      <c r="N238" t="s">
        <v>74</v>
      </c>
      <c r="O238" t="s">
        <v>74</v>
      </c>
      <c r="P238" t="s">
        <v>74</v>
      </c>
      <c r="Q238" t="s">
        <v>74</v>
      </c>
      <c r="R238" t="s">
        <v>74</v>
      </c>
      <c r="S238" t="s">
        <v>74</v>
      </c>
      <c r="T238" t="s">
        <v>74</v>
      </c>
      <c r="U238" t="s">
        <v>74</v>
      </c>
      <c r="V238" t="s">
        <v>74</v>
      </c>
      <c r="W238" t="s">
        <v>74</v>
      </c>
      <c r="X238" t="s">
        <v>74</v>
      </c>
      <c r="Y238" t="s">
        <v>74</v>
      </c>
      <c r="Z238" t="s">
        <v>74</v>
      </c>
      <c r="AA238" t="s">
        <v>1929</v>
      </c>
      <c r="AB238" t="s">
        <v>6759</v>
      </c>
      <c r="AC238" t="s">
        <v>74</v>
      </c>
      <c r="AD238" t="s">
        <v>74</v>
      </c>
      <c r="AE238" t="s">
        <v>74</v>
      </c>
      <c r="AF238" t="s">
        <v>74</v>
      </c>
      <c r="AG238" t="s">
        <v>74</v>
      </c>
      <c r="AH238" t="s">
        <v>74</v>
      </c>
      <c r="AI238" t="s">
        <v>74</v>
      </c>
      <c r="AJ238" t="s">
        <v>74</v>
      </c>
      <c r="AK238" t="s">
        <v>74</v>
      </c>
      <c r="AL238" t="s">
        <v>74</v>
      </c>
      <c r="AM238" t="s">
        <v>74</v>
      </c>
      <c r="AN238" t="s">
        <v>74</v>
      </c>
      <c r="AO238" t="s">
        <v>1717</v>
      </c>
      <c r="AP238" t="s">
        <v>1718</v>
      </c>
      <c r="AQ238" t="s">
        <v>74</v>
      </c>
      <c r="AR238" t="s">
        <v>74</v>
      </c>
      <c r="AS238" t="s">
        <v>74</v>
      </c>
      <c r="AT238" t="s">
        <v>416</v>
      </c>
      <c r="AU238">
        <v>2021</v>
      </c>
      <c r="AV238">
        <v>57</v>
      </c>
      <c r="AW238">
        <v>1</v>
      </c>
      <c r="AX238" t="s">
        <v>74</v>
      </c>
      <c r="AY238" t="s">
        <v>74</v>
      </c>
      <c r="AZ238" t="s">
        <v>74</v>
      </c>
      <c r="BA238" t="s">
        <v>74</v>
      </c>
      <c r="BB238">
        <v>324</v>
      </c>
      <c r="BC238">
        <v>334</v>
      </c>
      <c r="BD238" t="s">
        <v>74</v>
      </c>
      <c r="BE238" t="s">
        <v>1930</v>
      </c>
      <c r="BF238" t="str">
        <f>HYPERLINK("http://dx.doi.org/10.1111/jpy.13104","http://dx.doi.org/10.1111/jpy.13104")</f>
        <v>http://dx.doi.org/10.1111/jpy.13104</v>
      </c>
      <c r="BG238" t="s">
        <v>74</v>
      </c>
      <c r="BH238" t="s">
        <v>1924</v>
      </c>
      <c r="BI238" t="s">
        <v>74</v>
      </c>
      <c r="BJ238" t="s">
        <v>74</v>
      </c>
      <c r="BK238" t="s">
        <v>74</v>
      </c>
      <c r="BL238" t="s">
        <v>74</v>
      </c>
      <c r="BM238" t="s">
        <v>74</v>
      </c>
      <c r="BN238">
        <v>33191502</v>
      </c>
      <c r="BO238" t="s">
        <v>74</v>
      </c>
      <c r="BP238" t="s">
        <v>74</v>
      </c>
      <c r="BQ238" t="s">
        <v>74</v>
      </c>
      <c r="BR238" t="s">
        <v>74</v>
      </c>
      <c r="BS238" t="s">
        <v>1931</v>
      </c>
      <c r="BT238" t="str">
        <f>HYPERLINK("https%3A%2F%2Fwww.webofscience.com%2Fwos%2Fwoscc%2Ffull-record%2FWOS:000601000600001","View Full Record in Web of Science")</f>
        <v>View Full Record in Web of Science</v>
      </c>
    </row>
    <row r="239" spans="1:72" x14ac:dyDescent="0.2">
      <c r="A239" t="s">
        <v>72</v>
      </c>
      <c r="B239" t="s">
        <v>1932</v>
      </c>
      <c r="C239" t="s">
        <v>74</v>
      </c>
      <c r="D239" t="s">
        <v>74</v>
      </c>
      <c r="E239" t="s">
        <v>74</v>
      </c>
      <c r="F239" t="s">
        <v>1933</v>
      </c>
      <c r="G239" t="s">
        <v>74</v>
      </c>
      <c r="H239" t="s">
        <v>74</v>
      </c>
      <c r="I239" t="s">
        <v>1934</v>
      </c>
      <c r="J239" t="s">
        <v>1615</v>
      </c>
      <c r="K239" t="s">
        <v>74</v>
      </c>
      <c r="L239" t="s">
        <v>74</v>
      </c>
      <c r="M239" t="s">
        <v>74</v>
      </c>
      <c r="N239" t="s">
        <v>74</v>
      </c>
      <c r="O239" t="s">
        <v>74</v>
      </c>
      <c r="P239" t="s">
        <v>74</v>
      </c>
      <c r="Q239" t="s">
        <v>74</v>
      </c>
      <c r="R239" t="s">
        <v>74</v>
      </c>
      <c r="S239" t="s">
        <v>74</v>
      </c>
      <c r="T239" t="s">
        <v>74</v>
      </c>
      <c r="U239" t="s">
        <v>74</v>
      </c>
      <c r="V239" t="s">
        <v>74</v>
      </c>
      <c r="W239" t="s">
        <v>74</v>
      </c>
      <c r="X239" t="s">
        <v>74</v>
      </c>
      <c r="Y239" t="s">
        <v>74</v>
      </c>
      <c r="Z239" t="s">
        <v>74</v>
      </c>
      <c r="AA239" t="s">
        <v>74</v>
      </c>
      <c r="AB239" t="s">
        <v>74</v>
      </c>
      <c r="AC239" t="s">
        <v>74</v>
      </c>
      <c r="AD239" t="s">
        <v>74</v>
      </c>
      <c r="AE239" t="s">
        <v>74</v>
      </c>
      <c r="AF239" t="s">
        <v>74</v>
      </c>
      <c r="AG239" t="s">
        <v>74</v>
      </c>
      <c r="AH239" t="s">
        <v>74</v>
      </c>
      <c r="AI239" t="s">
        <v>74</v>
      </c>
      <c r="AJ239" t="s">
        <v>74</v>
      </c>
      <c r="AK239" t="s">
        <v>74</v>
      </c>
      <c r="AL239" t="s">
        <v>74</v>
      </c>
      <c r="AM239" t="s">
        <v>74</v>
      </c>
      <c r="AN239" t="s">
        <v>74</v>
      </c>
      <c r="AO239" t="s">
        <v>1616</v>
      </c>
      <c r="AP239" t="s">
        <v>1617</v>
      </c>
      <c r="AQ239" t="s">
        <v>74</v>
      </c>
      <c r="AR239" t="s">
        <v>74</v>
      </c>
      <c r="AS239" t="s">
        <v>74</v>
      </c>
      <c r="AT239" t="s">
        <v>1935</v>
      </c>
      <c r="AU239">
        <v>2020</v>
      </c>
      <c r="AV239">
        <v>59</v>
      </c>
      <c r="AW239" t="s">
        <v>74</v>
      </c>
      <c r="AX239" t="s">
        <v>74</v>
      </c>
      <c r="AY239" t="s">
        <v>74</v>
      </c>
      <c r="AZ239" t="s">
        <v>74</v>
      </c>
      <c r="BA239" t="s">
        <v>74</v>
      </c>
      <c r="BB239" t="s">
        <v>74</v>
      </c>
      <c r="BC239" t="s">
        <v>74</v>
      </c>
      <c r="BD239">
        <v>70</v>
      </c>
      <c r="BE239" t="s">
        <v>1936</v>
      </c>
      <c r="BF239" t="str">
        <f>HYPERLINK("http://dx.doi.org/10.6620/ZS.2020.59-70","http://dx.doi.org/10.6620/ZS.2020.59-70")</f>
        <v>http://dx.doi.org/10.6620/ZS.2020.59-70</v>
      </c>
      <c r="BG239" t="s">
        <v>74</v>
      </c>
      <c r="BH239" t="s">
        <v>74</v>
      </c>
      <c r="BI239" t="s">
        <v>74</v>
      </c>
      <c r="BJ239" t="s">
        <v>74</v>
      </c>
      <c r="BK239" t="s">
        <v>74</v>
      </c>
      <c r="BL239" t="s">
        <v>74</v>
      </c>
      <c r="BM239" t="s">
        <v>74</v>
      </c>
      <c r="BN239">
        <v>34140986</v>
      </c>
      <c r="BO239" t="s">
        <v>74</v>
      </c>
      <c r="BP239" t="s">
        <v>74</v>
      </c>
      <c r="BQ239" t="s">
        <v>74</v>
      </c>
      <c r="BR239" t="s">
        <v>74</v>
      </c>
      <c r="BS239" t="s">
        <v>1937</v>
      </c>
      <c r="BT239" t="str">
        <f>HYPERLINK("https%3A%2F%2Fwww.webofscience.com%2Fwos%2Fwoscc%2Ffull-record%2FWOS:000600195000001","View Full Record in Web of Science")</f>
        <v>View Full Record in Web of Science</v>
      </c>
    </row>
    <row r="240" spans="1:72" x14ac:dyDescent="0.2">
      <c r="A240" t="s">
        <v>72</v>
      </c>
      <c r="B240" t="s">
        <v>1938</v>
      </c>
      <c r="C240" t="s">
        <v>74</v>
      </c>
      <c r="D240" t="s">
        <v>74</v>
      </c>
      <c r="E240" t="s">
        <v>74</v>
      </c>
      <c r="F240" t="s">
        <v>1939</v>
      </c>
      <c r="G240" t="s">
        <v>74</v>
      </c>
      <c r="H240" t="s">
        <v>74</v>
      </c>
      <c r="I240" t="s">
        <v>1940</v>
      </c>
      <c r="J240" t="s">
        <v>1716</v>
      </c>
      <c r="K240" t="s">
        <v>74</v>
      </c>
      <c r="L240" t="s">
        <v>74</v>
      </c>
      <c r="M240" t="s">
        <v>74</v>
      </c>
      <c r="N240" t="s">
        <v>74</v>
      </c>
      <c r="O240" t="s">
        <v>74</v>
      </c>
      <c r="P240" t="s">
        <v>74</v>
      </c>
      <c r="Q240" t="s">
        <v>74</v>
      </c>
      <c r="R240" t="s">
        <v>74</v>
      </c>
      <c r="S240" t="s">
        <v>74</v>
      </c>
      <c r="T240" t="s">
        <v>74</v>
      </c>
      <c r="U240" t="s">
        <v>74</v>
      </c>
      <c r="V240" t="s">
        <v>74</v>
      </c>
      <c r="W240" t="s">
        <v>74</v>
      </c>
      <c r="X240" t="s">
        <v>74</v>
      </c>
      <c r="Y240" t="s">
        <v>74</v>
      </c>
      <c r="Z240" t="s">
        <v>74</v>
      </c>
      <c r="AA240" t="s">
        <v>1941</v>
      </c>
      <c r="AB240" t="s">
        <v>1942</v>
      </c>
      <c r="AC240" t="s">
        <v>74</v>
      </c>
      <c r="AD240" t="s">
        <v>74</v>
      </c>
      <c r="AE240" t="s">
        <v>74</v>
      </c>
      <c r="AF240" t="s">
        <v>74</v>
      </c>
      <c r="AG240" t="s">
        <v>74</v>
      </c>
      <c r="AH240" t="s">
        <v>74</v>
      </c>
      <c r="AI240" t="s">
        <v>74</v>
      </c>
      <c r="AJ240" t="s">
        <v>74</v>
      </c>
      <c r="AK240" t="s">
        <v>74</v>
      </c>
      <c r="AL240" t="s">
        <v>74</v>
      </c>
      <c r="AM240" t="s">
        <v>74</v>
      </c>
      <c r="AN240" t="s">
        <v>74</v>
      </c>
      <c r="AO240" t="s">
        <v>1717</v>
      </c>
      <c r="AP240" t="s">
        <v>1718</v>
      </c>
      <c r="AQ240" t="s">
        <v>74</v>
      </c>
      <c r="AR240" t="s">
        <v>74</v>
      </c>
      <c r="AS240" t="s">
        <v>74</v>
      </c>
      <c r="AT240" t="s">
        <v>416</v>
      </c>
      <c r="AU240">
        <v>2021</v>
      </c>
      <c r="AV240">
        <v>57</v>
      </c>
      <c r="AW240">
        <v>1</v>
      </c>
      <c r="AX240" t="s">
        <v>74</v>
      </c>
      <c r="AY240" t="s">
        <v>74</v>
      </c>
      <c r="AZ240" t="s">
        <v>74</v>
      </c>
      <c r="BA240" t="s">
        <v>74</v>
      </c>
      <c r="BB240">
        <v>143</v>
      </c>
      <c r="BC240">
        <v>159</v>
      </c>
      <c r="BD240" t="s">
        <v>74</v>
      </c>
      <c r="BE240" t="s">
        <v>1943</v>
      </c>
      <c r="BF240" t="str">
        <f>HYPERLINK("http://dx.doi.org/10.1111/jpy.13085","http://dx.doi.org/10.1111/jpy.13085")</f>
        <v>http://dx.doi.org/10.1111/jpy.13085</v>
      </c>
      <c r="BG240" t="s">
        <v>74</v>
      </c>
      <c r="BH240" t="s">
        <v>1924</v>
      </c>
      <c r="BI240" t="s">
        <v>74</v>
      </c>
      <c r="BJ240" t="s">
        <v>74</v>
      </c>
      <c r="BK240" t="s">
        <v>74</v>
      </c>
      <c r="BL240" t="s">
        <v>74</v>
      </c>
      <c r="BM240" t="s">
        <v>74</v>
      </c>
      <c r="BN240">
        <v>33089508</v>
      </c>
      <c r="BO240" t="s">
        <v>74</v>
      </c>
      <c r="BP240" t="s">
        <v>74</v>
      </c>
      <c r="BQ240" t="s">
        <v>74</v>
      </c>
      <c r="BR240" t="s">
        <v>74</v>
      </c>
      <c r="BS240" t="s">
        <v>1944</v>
      </c>
      <c r="BT240" t="str">
        <f>HYPERLINK("https%3A%2F%2Fwww.webofscience.com%2Fwos%2Fwoscc%2Ffull-record%2FWOS:000598774300001","View Full Record in Web of Science")</f>
        <v>View Full Record in Web of Science</v>
      </c>
    </row>
    <row r="241" spans="1:72" x14ac:dyDescent="0.2">
      <c r="A241" t="s">
        <v>72</v>
      </c>
      <c r="B241" t="s">
        <v>1945</v>
      </c>
      <c r="C241" t="s">
        <v>74</v>
      </c>
      <c r="D241" t="s">
        <v>74</v>
      </c>
      <c r="E241" t="s">
        <v>74</v>
      </c>
      <c r="F241" t="s">
        <v>1946</v>
      </c>
      <c r="G241" t="s">
        <v>74</v>
      </c>
      <c r="H241" t="s">
        <v>74</v>
      </c>
      <c r="I241" t="s">
        <v>1947</v>
      </c>
      <c r="J241" t="s">
        <v>423</v>
      </c>
      <c r="K241" t="s">
        <v>74</v>
      </c>
      <c r="L241" t="s">
        <v>74</v>
      </c>
      <c r="M241" t="s">
        <v>74</v>
      </c>
      <c r="N241" t="s">
        <v>74</v>
      </c>
      <c r="O241" t="s">
        <v>74</v>
      </c>
      <c r="P241" t="s">
        <v>74</v>
      </c>
      <c r="Q241" t="s">
        <v>74</v>
      </c>
      <c r="R241" t="s">
        <v>74</v>
      </c>
      <c r="S241" t="s">
        <v>74</v>
      </c>
      <c r="T241" t="s">
        <v>74</v>
      </c>
      <c r="U241" t="s">
        <v>74</v>
      </c>
      <c r="V241" t="s">
        <v>74</v>
      </c>
      <c r="W241" t="s">
        <v>74</v>
      </c>
      <c r="X241" t="s">
        <v>74</v>
      </c>
      <c r="Y241" t="s">
        <v>74</v>
      </c>
      <c r="Z241" t="s">
        <v>74</v>
      </c>
      <c r="AA241" t="s">
        <v>1948</v>
      </c>
      <c r="AB241" t="s">
        <v>1949</v>
      </c>
      <c r="AC241" t="s">
        <v>74</v>
      </c>
      <c r="AD241" t="s">
        <v>74</v>
      </c>
      <c r="AE241" t="s">
        <v>74</v>
      </c>
      <c r="AF241" t="s">
        <v>74</v>
      </c>
      <c r="AG241" t="s">
        <v>74</v>
      </c>
      <c r="AH241" t="s">
        <v>74</v>
      </c>
      <c r="AI241" t="s">
        <v>74</v>
      </c>
      <c r="AJ241" t="s">
        <v>74</v>
      </c>
      <c r="AK241" t="s">
        <v>74</v>
      </c>
      <c r="AL241" t="s">
        <v>74</v>
      </c>
      <c r="AM241" t="s">
        <v>74</v>
      </c>
      <c r="AN241" t="s">
        <v>74</v>
      </c>
      <c r="AO241" t="s">
        <v>425</v>
      </c>
      <c r="AP241" t="s">
        <v>426</v>
      </c>
      <c r="AQ241" t="s">
        <v>74</v>
      </c>
      <c r="AR241" t="s">
        <v>74</v>
      </c>
      <c r="AS241" t="s">
        <v>74</v>
      </c>
      <c r="AT241" t="s">
        <v>203</v>
      </c>
      <c r="AU241">
        <v>2021</v>
      </c>
      <c r="AV241">
        <v>66</v>
      </c>
      <c r="AW241">
        <v>4</v>
      </c>
      <c r="AX241" t="s">
        <v>74</v>
      </c>
      <c r="AY241" t="s">
        <v>74</v>
      </c>
      <c r="AZ241" t="s">
        <v>74</v>
      </c>
      <c r="BA241" t="s">
        <v>74</v>
      </c>
      <c r="BB241">
        <v>640</v>
      </c>
      <c r="BC241">
        <v>655</v>
      </c>
      <c r="BD241" t="s">
        <v>74</v>
      </c>
      <c r="BE241" t="s">
        <v>1950</v>
      </c>
      <c r="BF241" t="str">
        <f>HYPERLINK("http://dx.doi.org/10.1111/fwb.13667","http://dx.doi.org/10.1111/fwb.13667")</f>
        <v>http://dx.doi.org/10.1111/fwb.13667</v>
      </c>
      <c r="BG241" t="s">
        <v>74</v>
      </c>
      <c r="BH241" t="s">
        <v>1924</v>
      </c>
      <c r="BI241" t="s">
        <v>74</v>
      </c>
      <c r="BJ241" t="s">
        <v>74</v>
      </c>
      <c r="BK241" t="s">
        <v>74</v>
      </c>
      <c r="BL241" t="s">
        <v>74</v>
      </c>
      <c r="BM241" t="s">
        <v>74</v>
      </c>
      <c r="BN241" t="s">
        <v>74</v>
      </c>
      <c r="BO241" t="s">
        <v>74</v>
      </c>
      <c r="BP241" t="s">
        <v>74</v>
      </c>
      <c r="BQ241" t="s">
        <v>74</v>
      </c>
      <c r="BR241" t="s">
        <v>74</v>
      </c>
      <c r="BS241" t="s">
        <v>1951</v>
      </c>
      <c r="BT241" t="str">
        <f>HYPERLINK("https%3A%2F%2Fwww.webofscience.com%2Fwos%2Fwoscc%2Ffull-record%2FWOS:000598289200001","View Full Record in Web of Science")</f>
        <v>View Full Record in Web of Science</v>
      </c>
    </row>
    <row r="242" spans="1:72" x14ac:dyDescent="0.2">
      <c r="A242" t="s">
        <v>72</v>
      </c>
      <c r="B242" t="s">
        <v>1952</v>
      </c>
      <c r="C242" t="s">
        <v>74</v>
      </c>
      <c r="D242" t="s">
        <v>74</v>
      </c>
      <c r="E242" t="s">
        <v>74</v>
      </c>
      <c r="F242" t="s">
        <v>1953</v>
      </c>
      <c r="G242" t="s">
        <v>74</v>
      </c>
      <c r="H242" t="s">
        <v>74</v>
      </c>
      <c r="I242" t="s">
        <v>1954</v>
      </c>
      <c r="J242" t="s">
        <v>322</v>
      </c>
      <c r="K242" t="s">
        <v>74</v>
      </c>
      <c r="L242" t="s">
        <v>74</v>
      </c>
      <c r="M242" t="s">
        <v>74</v>
      </c>
      <c r="N242" t="s">
        <v>74</v>
      </c>
      <c r="O242" t="s">
        <v>74</v>
      </c>
      <c r="P242" t="s">
        <v>74</v>
      </c>
      <c r="Q242" t="s">
        <v>74</v>
      </c>
      <c r="R242" t="s">
        <v>74</v>
      </c>
      <c r="S242" t="s">
        <v>74</v>
      </c>
      <c r="T242" t="s">
        <v>74</v>
      </c>
      <c r="U242" t="s">
        <v>74</v>
      </c>
      <c r="V242" t="s">
        <v>74</v>
      </c>
      <c r="W242" t="s">
        <v>74</v>
      </c>
      <c r="X242" t="s">
        <v>74</v>
      </c>
      <c r="Y242" t="s">
        <v>74</v>
      </c>
      <c r="Z242" t="s">
        <v>74</v>
      </c>
      <c r="AA242" t="s">
        <v>6906</v>
      </c>
      <c r="AB242" t="s">
        <v>6907</v>
      </c>
      <c r="AC242" t="s">
        <v>74</v>
      </c>
      <c r="AD242" t="s">
        <v>74</v>
      </c>
      <c r="AE242" t="s">
        <v>74</v>
      </c>
      <c r="AF242" t="s">
        <v>74</v>
      </c>
      <c r="AG242" t="s">
        <v>74</v>
      </c>
      <c r="AH242" t="s">
        <v>74</v>
      </c>
      <c r="AI242" t="s">
        <v>74</v>
      </c>
      <c r="AJ242" t="s">
        <v>74</v>
      </c>
      <c r="AK242" t="s">
        <v>74</v>
      </c>
      <c r="AL242" t="s">
        <v>74</v>
      </c>
      <c r="AM242" t="s">
        <v>74</v>
      </c>
      <c r="AN242" t="s">
        <v>74</v>
      </c>
      <c r="AO242" t="s">
        <v>324</v>
      </c>
      <c r="AP242" t="s">
        <v>325</v>
      </c>
      <c r="AQ242" t="s">
        <v>74</v>
      </c>
      <c r="AR242" t="s">
        <v>74</v>
      </c>
      <c r="AS242" t="s">
        <v>74</v>
      </c>
      <c r="AT242" t="s">
        <v>157</v>
      </c>
      <c r="AU242">
        <v>2021</v>
      </c>
      <c r="AV242">
        <v>23</v>
      </c>
      <c r="AW242">
        <v>3</v>
      </c>
      <c r="AX242" t="s">
        <v>74</v>
      </c>
      <c r="AY242" t="s">
        <v>74</v>
      </c>
      <c r="AZ242" t="s">
        <v>74</v>
      </c>
      <c r="BA242" t="s">
        <v>74</v>
      </c>
      <c r="BB242">
        <v>1436</v>
      </c>
      <c r="BC242">
        <v>1451</v>
      </c>
      <c r="BD242" t="s">
        <v>74</v>
      </c>
      <c r="BE242" t="s">
        <v>1955</v>
      </c>
      <c r="BF242" t="str">
        <f>HYPERLINK("http://dx.doi.org/10.1111/1462-2920.15346","http://dx.doi.org/10.1111/1462-2920.15346")</f>
        <v>http://dx.doi.org/10.1111/1462-2920.15346</v>
      </c>
      <c r="BG242" t="s">
        <v>74</v>
      </c>
      <c r="BH242" t="s">
        <v>1924</v>
      </c>
      <c r="BI242" t="s">
        <v>74</v>
      </c>
      <c r="BJ242" t="s">
        <v>74</v>
      </c>
      <c r="BK242" t="s">
        <v>74</v>
      </c>
      <c r="BL242" t="s">
        <v>74</v>
      </c>
      <c r="BM242" t="s">
        <v>74</v>
      </c>
      <c r="BN242">
        <v>33270368</v>
      </c>
      <c r="BO242" t="s">
        <v>74</v>
      </c>
      <c r="BP242" t="s">
        <v>74</v>
      </c>
      <c r="BQ242" t="s">
        <v>74</v>
      </c>
      <c r="BR242" t="s">
        <v>74</v>
      </c>
      <c r="BS242" t="s">
        <v>1956</v>
      </c>
      <c r="BT242" t="str">
        <f>HYPERLINK("https%3A%2F%2Fwww.webofscience.com%2Fwos%2Fwoscc%2Ffull-record%2FWOS:000598083800001","View Full Record in Web of Science")</f>
        <v>View Full Record in Web of Science</v>
      </c>
    </row>
    <row r="243" spans="1:72" x14ac:dyDescent="0.2">
      <c r="A243" t="s">
        <v>72</v>
      </c>
      <c r="B243" t="s">
        <v>1957</v>
      </c>
      <c r="C243" t="s">
        <v>74</v>
      </c>
      <c r="D243" t="s">
        <v>74</v>
      </c>
      <c r="E243" t="s">
        <v>74</v>
      </c>
      <c r="F243" t="s">
        <v>1958</v>
      </c>
      <c r="G243" t="s">
        <v>74</v>
      </c>
      <c r="H243" t="s">
        <v>74</v>
      </c>
      <c r="I243" t="s">
        <v>1959</v>
      </c>
      <c r="J243" t="s">
        <v>767</v>
      </c>
      <c r="K243" t="s">
        <v>74</v>
      </c>
      <c r="L243" t="s">
        <v>74</v>
      </c>
      <c r="M243" t="s">
        <v>74</v>
      </c>
      <c r="N243" t="s">
        <v>74</v>
      </c>
      <c r="O243" t="s">
        <v>74</v>
      </c>
      <c r="P243" t="s">
        <v>74</v>
      </c>
      <c r="Q243" t="s">
        <v>74</v>
      </c>
      <c r="R243" t="s">
        <v>74</v>
      </c>
      <c r="S243" t="s">
        <v>74</v>
      </c>
      <c r="T243" t="s">
        <v>74</v>
      </c>
      <c r="U243" t="s">
        <v>74</v>
      </c>
      <c r="V243" t="s">
        <v>74</v>
      </c>
      <c r="W243" t="s">
        <v>74</v>
      </c>
      <c r="X243" t="s">
        <v>74</v>
      </c>
      <c r="Y243" t="s">
        <v>74</v>
      </c>
      <c r="Z243" t="s">
        <v>74</v>
      </c>
      <c r="AA243" t="s">
        <v>74</v>
      </c>
      <c r="AB243" t="s">
        <v>1960</v>
      </c>
      <c r="AC243" t="s">
        <v>74</v>
      </c>
      <c r="AD243" t="s">
        <v>74</v>
      </c>
      <c r="AE243" t="s">
        <v>74</v>
      </c>
      <c r="AF243" t="s">
        <v>74</v>
      </c>
      <c r="AG243" t="s">
        <v>74</v>
      </c>
      <c r="AH243" t="s">
        <v>74</v>
      </c>
      <c r="AI243" t="s">
        <v>74</v>
      </c>
      <c r="AJ243" t="s">
        <v>74</v>
      </c>
      <c r="AK243" t="s">
        <v>74</v>
      </c>
      <c r="AL243" t="s">
        <v>74</v>
      </c>
      <c r="AM243" t="s">
        <v>74</v>
      </c>
      <c r="AN243" t="s">
        <v>74</v>
      </c>
      <c r="AO243" t="s">
        <v>770</v>
      </c>
      <c r="AP243" t="s">
        <v>771</v>
      </c>
      <c r="AQ243" t="s">
        <v>74</v>
      </c>
      <c r="AR243" t="s">
        <v>74</v>
      </c>
      <c r="AS243" t="s">
        <v>74</v>
      </c>
      <c r="AT243" t="s">
        <v>1961</v>
      </c>
      <c r="AU243">
        <v>2020</v>
      </c>
      <c r="AV243">
        <v>205</v>
      </c>
      <c r="AW243" t="s">
        <v>74</v>
      </c>
      <c r="AX243" t="s">
        <v>74</v>
      </c>
      <c r="AY243" t="s">
        <v>74</v>
      </c>
      <c r="AZ243" t="s">
        <v>74</v>
      </c>
      <c r="BA243" t="s">
        <v>74</v>
      </c>
      <c r="BB243" t="s">
        <v>74</v>
      </c>
      <c r="BC243" t="s">
        <v>74</v>
      </c>
      <c r="BD243">
        <v>104174</v>
      </c>
      <c r="BE243" t="s">
        <v>1962</v>
      </c>
      <c r="BF243" t="str">
        <f>HYPERLINK("http://dx.doi.org/10.1016/j.csr.2020.104174","http://dx.doi.org/10.1016/j.csr.2020.104174")</f>
        <v>http://dx.doi.org/10.1016/j.csr.2020.104174</v>
      </c>
      <c r="BG243" t="s">
        <v>74</v>
      </c>
      <c r="BH243" t="s">
        <v>74</v>
      </c>
      <c r="BI243" t="s">
        <v>74</v>
      </c>
      <c r="BJ243" t="s">
        <v>74</v>
      </c>
      <c r="BK243" t="s">
        <v>74</v>
      </c>
      <c r="BL243" t="s">
        <v>74</v>
      </c>
      <c r="BM243" t="s">
        <v>74</v>
      </c>
      <c r="BN243" t="s">
        <v>74</v>
      </c>
      <c r="BO243" t="s">
        <v>74</v>
      </c>
      <c r="BP243" t="s">
        <v>74</v>
      </c>
      <c r="BQ243" t="s">
        <v>74</v>
      </c>
      <c r="BR243" t="s">
        <v>74</v>
      </c>
      <c r="BS243" t="s">
        <v>1963</v>
      </c>
      <c r="BT243" t="str">
        <f>HYPERLINK("https%3A%2F%2Fwww.webofscience.com%2Fwos%2Fwoscc%2Ffull-record%2FWOS:000564498800001","View Full Record in Web of Science")</f>
        <v>View Full Record in Web of Science</v>
      </c>
    </row>
    <row r="244" spans="1:72" x14ac:dyDescent="0.2">
      <c r="A244" t="s">
        <v>72</v>
      </c>
      <c r="B244" t="s">
        <v>1964</v>
      </c>
      <c r="C244" t="s">
        <v>74</v>
      </c>
      <c r="D244" t="s">
        <v>74</v>
      </c>
      <c r="E244" t="s">
        <v>74</v>
      </c>
      <c r="F244" t="s">
        <v>1965</v>
      </c>
      <c r="G244" t="s">
        <v>74</v>
      </c>
      <c r="H244" t="s">
        <v>74</v>
      </c>
      <c r="I244" t="s">
        <v>1966</v>
      </c>
      <c r="J244" t="s">
        <v>1967</v>
      </c>
      <c r="K244" t="s">
        <v>74</v>
      </c>
      <c r="L244" t="s">
        <v>74</v>
      </c>
      <c r="M244" t="s">
        <v>74</v>
      </c>
      <c r="N244" t="s">
        <v>74</v>
      </c>
      <c r="O244" t="s">
        <v>74</v>
      </c>
      <c r="P244" t="s">
        <v>74</v>
      </c>
      <c r="Q244" t="s">
        <v>74</v>
      </c>
      <c r="R244" t="s">
        <v>74</v>
      </c>
      <c r="S244" t="s">
        <v>74</v>
      </c>
      <c r="T244" t="s">
        <v>74</v>
      </c>
      <c r="U244" t="s">
        <v>74</v>
      </c>
      <c r="V244" t="s">
        <v>74</v>
      </c>
      <c r="W244" t="s">
        <v>74</v>
      </c>
      <c r="X244" t="s">
        <v>74</v>
      </c>
      <c r="Y244" t="s">
        <v>74</v>
      </c>
      <c r="Z244" t="s">
        <v>74</v>
      </c>
      <c r="AA244" t="s">
        <v>6908</v>
      </c>
      <c r="AB244" t="s">
        <v>6909</v>
      </c>
      <c r="AC244" t="s">
        <v>74</v>
      </c>
      <c r="AD244" t="s">
        <v>74</v>
      </c>
      <c r="AE244" t="s">
        <v>74</v>
      </c>
      <c r="AF244" t="s">
        <v>74</v>
      </c>
      <c r="AG244" t="s">
        <v>74</v>
      </c>
      <c r="AH244" t="s">
        <v>74</v>
      </c>
      <c r="AI244" t="s">
        <v>74</v>
      </c>
      <c r="AJ244" t="s">
        <v>74</v>
      </c>
      <c r="AK244" t="s">
        <v>74</v>
      </c>
      <c r="AL244" t="s">
        <v>74</v>
      </c>
      <c r="AM244" t="s">
        <v>74</v>
      </c>
      <c r="AN244" t="s">
        <v>74</v>
      </c>
      <c r="AO244" t="s">
        <v>1968</v>
      </c>
      <c r="AP244" t="s">
        <v>1969</v>
      </c>
      <c r="AQ244" t="s">
        <v>74</v>
      </c>
      <c r="AR244" t="s">
        <v>74</v>
      </c>
      <c r="AS244" t="s">
        <v>74</v>
      </c>
      <c r="AT244" t="s">
        <v>82</v>
      </c>
      <c r="AU244">
        <v>2020</v>
      </c>
      <c r="AV244">
        <v>192</v>
      </c>
      <c r="AW244">
        <v>12</v>
      </c>
      <c r="AX244" t="s">
        <v>74</v>
      </c>
      <c r="AY244" t="s">
        <v>74</v>
      </c>
      <c r="AZ244" t="s">
        <v>74</v>
      </c>
      <c r="BA244" t="s">
        <v>74</v>
      </c>
      <c r="BB244" t="s">
        <v>74</v>
      </c>
      <c r="BC244" t="s">
        <v>74</v>
      </c>
      <c r="BD244">
        <v>792</v>
      </c>
      <c r="BE244" t="s">
        <v>1970</v>
      </c>
      <c r="BF244" t="str">
        <f>HYPERLINK("http://dx.doi.org/10.1007/s10661-020-08766-5","http://dx.doi.org/10.1007/s10661-020-08766-5")</f>
        <v>http://dx.doi.org/10.1007/s10661-020-08766-5</v>
      </c>
      <c r="BG244" t="s">
        <v>74</v>
      </c>
      <c r="BH244" t="s">
        <v>74</v>
      </c>
      <c r="BI244" t="s">
        <v>74</v>
      </c>
      <c r="BJ244" t="s">
        <v>74</v>
      </c>
      <c r="BK244" t="s">
        <v>74</v>
      </c>
      <c r="BL244" t="s">
        <v>74</v>
      </c>
      <c r="BM244" t="s">
        <v>74</v>
      </c>
      <c r="BN244">
        <v>33242179</v>
      </c>
      <c r="BO244" t="s">
        <v>74</v>
      </c>
      <c r="BP244" t="s">
        <v>74</v>
      </c>
      <c r="BQ244" t="s">
        <v>74</v>
      </c>
      <c r="BR244" t="s">
        <v>74</v>
      </c>
      <c r="BS244" t="s">
        <v>1971</v>
      </c>
      <c r="BT244" t="str">
        <f>HYPERLINK("https%3A%2F%2Fwww.webofscience.com%2Fwos%2Fwoscc%2Ffull-record%2FWOS:000595751100003","View Full Record in Web of Science")</f>
        <v>View Full Record in Web of Science</v>
      </c>
    </row>
    <row r="245" spans="1:72" x14ac:dyDescent="0.2">
      <c r="A245" t="s">
        <v>72</v>
      </c>
      <c r="B245" t="s">
        <v>1972</v>
      </c>
      <c r="C245" t="s">
        <v>74</v>
      </c>
      <c r="D245" t="s">
        <v>74</v>
      </c>
      <c r="E245" t="s">
        <v>74</v>
      </c>
      <c r="F245" t="s">
        <v>1973</v>
      </c>
      <c r="G245" t="s">
        <v>74</v>
      </c>
      <c r="H245" t="s">
        <v>74</v>
      </c>
      <c r="I245" t="s">
        <v>1974</v>
      </c>
      <c r="J245" t="s">
        <v>331</v>
      </c>
      <c r="K245" t="s">
        <v>74</v>
      </c>
      <c r="L245" t="s">
        <v>74</v>
      </c>
      <c r="M245" t="s">
        <v>74</v>
      </c>
      <c r="N245" t="s">
        <v>74</v>
      </c>
      <c r="O245" t="s">
        <v>74</v>
      </c>
      <c r="P245" t="s">
        <v>74</v>
      </c>
      <c r="Q245" t="s">
        <v>74</v>
      </c>
      <c r="R245" t="s">
        <v>74</v>
      </c>
      <c r="S245" t="s">
        <v>74</v>
      </c>
      <c r="T245" t="s">
        <v>74</v>
      </c>
      <c r="U245" t="s">
        <v>74</v>
      </c>
      <c r="V245" t="s">
        <v>74</v>
      </c>
      <c r="W245" t="s">
        <v>74</v>
      </c>
      <c r="X245" t="s">
        <v>74</v>
      </c>
      <c r="Y245" t="s">
        <v>74</v>
      </c>
      <c r="Z245" t="s">
        <v>74</v>
      </c>
      <c r="AA245" t="s">
        <v>6910</v>
      </c>
      <c r="AB245" t="s">
        <v>6911</v>
      </c>
      <c r="AC245" t="s">
        <v>74</v>
      </c>
      <c r="AD245" t="s">
        <v>74</v>
      </c>
      <c r="AE245" t="s">
        <v>74</v>
      </c>
      <c r="AF245" t="s">
        <v>74</v>
      </c>
      <c r="AG245" t="s">
        <v>74</v>
      </c>
      <c r="AH245" t="s">
        <v>74</v>
      </c>
      <c r="AI245" t="s">
        <v>74</v>
      </c>
      <c r="AJ245" t="s">
        <v>74</v>
      </c>
      <c r="AK245" t="s">
        <v>74</v>
      </c>
      <c r="AL245" t="s">
        <v>74</v>
      </c>
      <c r="AM245" t="s">
        <v>74</v>
      </c>
      <c r="AN245" t="s">
        <v>74</v>
      </c>
      <c r="AO245" t="s">
        <v>74</v>
      </c>
      <c r="AP245" t="s">
        <v>334</v>
      </c>
      <c r="AQ245" t="s">
        <v>74</v>
      </c>
      <c r="AR245" t="s">
        <v>74</v>
      </c>
      <c r="AS245" t="s">
        <v>74</v>
      </c>
      <c r="AT245" t="s">
        <v>82</v>
      </c>
      <c r="AU245">
        <v>2020</v>
      </c>
      <c r="AV245">
        <v>12</v>
      </c>
      <c r="AW245">
        <v>12</v>
      </c>
      <c r="AX245" t="s">
        <v>74</v>
      </c>
      <c r="AY245" t="s">
        <v>74</v>
      </c>
      <c r="AZ245" t="s">
        <v>74</v>
      </c>
      <c r="BA245" t="s">
        <v>74</v>
      </c>
      <c r="BB245" t="s">
        <v>74</v>
      </c>
      <c r="BC245" t="s">
        <v>74</v>
      </c>
      <c r="BD245">
        <v>3416</v>
      </c>
      <c r="BE245" t="s">
        <v>1975</v>
      </c>
      <c r="BF245" t="str">
        <f>HYPERLINK("http://dx.doi.org/10.3390/w12123416","http://dx.doi.org/10.3390/w12123416")</f>
        <v>http://dx.doi.org/10.3390/w12123416</v>
      </c>
      <c r="BG245" t="s">
        <v>74</v>
      </c>
      <c r="BH245" t="s">
        <v>74</v>
      </c>
      <c r="BI245" t="s">
        <v>74</v>
      </c>
      <c r="BJ245" t="s">
        <v>74</v>
      </c>
      <c r="BK245" t="s">
        <v>74</v>
      </c>
      <c r="BL245" t="s">
        <v>74</v>
      </c>
      <c r="BM245" t="s">
        <v>74</v>
      </c>
      <c r="BN245" t="s">
        <v>74</v>
      </c>
      <c r="BO245" t="s">
        <v>74</v>
      </c>
      <c r="BP245" t="s">
        <v>74</v>
      </c>
      <c r="BQ245" t="s">
        <v>74</v>
      </c>
      <c r="BR245" t="s">
        <v>74</v>
      </c>
      <c r="BS245" t="s">
        <v>1976</v>
      </c>
      <c r="BT245" t="str">
        <f>HYPERLINK("https%3A%2F%2Fwww.webofscience.com%2Fwos%2Fwoscc%2Ffull-record%2FWOS:000603019000001","View Full Record in Web of Science")</f>
        <v>View Full Record in Web of Science</v>
      </c>
    </row>
    <row r="246" spans="1:72" x14ac:dyDescent="0.2">
      <c r="A246" t="s">
        <v>72</v>
      </c>
      <c r="B246" t="s">
        <v>1977</v>
      </c>
      <c r="C246" t="s">
        <v>74</v>
      </c>
      <c r="D246" t="s">
        <v>74</v>
      </c>
      <c r="E246" t="s">
        <v>74</v>
      </c>
      <c r="F246" t="s">
        <v>1978</v>
      </c>
      <c r="G246" t="s">
        <v>74</v>
      </c>
      <c r="H246" t="s">
        <v>74</v>
      </c>
      <c r="I246" t="s">
        <v>1979</v>
      </c>
      <c r="J246" t="s">
        <v>1063</v>
      </c>
      <c r="K246" t="s">
        <v>74</v>
      </c>
      <c r="L246" t="s">
        <v>74</v>
      </c>
      <c r="M246" t="s">
        <v>74</v>
      </c>
      <c r="N246" t="s">
        <v>74</v>
      </c>
      <c r="O246" t="s">
        <v>74</v>
      </c>
      <c r="P246" t="s">
        <v>74</v>
      </c>
      <c r="Q246" t="s">
        <v>74</v>
      </c>
      <c r="R246" t="s">
        <v>74</v>
      </c>
      <c r="S246" t="s">
        <v>74</v>
      </c>
      <c r="T246" t="s">
        <v>74</v>
      </c>
      <c r="U246" t="s">
        <v>74</v>
      </c>
      <c r="V246" t="s">
        <v>74</v>
      </c>
      <c r="W246" t="s">
        <v>74</v>
      </c>
      <c r="X246" t="s">
        <v>74</v>
      </c>
      <c r="Y246" t="s">
        <v>74</v>
      </c>
      <c r="Z246" t="s">
        <v>74</v>
      </c>
      <c r="AA246" t="s">
        <v>1980</v>
      </c>
      <c r="AB246" t="s">
        <v>74</v>
      </c>
      <c r="AC246" t="s">
        <v>74</v>
      </c>
      <c r="AD246" t="s">
        <v>74</v>
      </c>
      <c r="AE246" t="s">
        <v>74</v>
      </c>
      <c r="AF246" t="s">
        <v>74</v>
      </c>
      <c r="AG246" t="s">
        <v>74</v>
      </c>
      <c r="AH246" t="s">
        <v>74</v>
      </c>
      <c r="AI246" t="s">
        <v>74</v>
      </c>
      <c r="AJ246" t="s">
        <v>74</v>
      </c>
      <c r="AK246" t="s">
        <v>74</v>
      </c>
      <c r="AL246" t="s">
        <v>74</v>
      </c>
      <c r="AM246" t="s">
        <v>74</v>
      </c>
      <c r="AN246" t="s">
        <v>74</v>
      </c>
      <c r="AO246" t="s">
        <v>1065</v>
      </c>
      <c r="AP246" t="s">
        <v>1066</v>
      </c>
      <c r="AQ246" t="s">
        <v>74</v>
      </c>
      <c r="AR246" t="s">
        <v>74</v>
      </c>
      <c r="AS246" t="s">
        <v>74</v>
      </c>
      <c r="AT246" t="s">
        <v>82</v>
      </c>
      <c r="AU246">
        <v>2020</v>
      </c>
      <c r="AV246">
        <v>260</v>
      </c>
      <c r="AW246" t="s">
        <v>74</v>
      </c>
      <c r="AX246" t="s">
        <v>74</v>
      </c>
      <c r="AY246" t="s">
        <v>74</v>
      </c>
      <c r="AZ246" t="s">
        <v>74</v>
      </c>
      <c r="BA246" t="s">
        <v>74</v>
      </c>
      <c r="BB246" t="s">
        <v>74</v>
      </c>
      <c r="BC246" t="s">
        <v>74</v>
      </c>
      <c r="BD246">
        <v>127594</v>
      </c>
      <c r="BE246" t="s">
        <v>1981</v>
      </c>
      <c r="BF246" t="str">
        <f>HYPERLINK("http://dx.doi.org/10.1016/j.chemosphere.2020.127594","http://dx.doi.org/10.1016/j.chemosphere.2020.127594")</f>
        <v>http://dx.doi.org/10.1016/j.chemosphere.2020.127594</v>
      </c>
      <c r="BG246" t="s">
        <v>74</v>
      </c>
      <c r="BH246" t="s">
        <v>74</v>
      </c>
      <c r="BI246" t="s">
        <v>74</v>
      </c>
      <c r="BJ246" t="s">
        <v>74</v>
      </c>
      <c r="BK246" t="s">
        <v>74</v>
      </c>
      <c r="BL246" t="s">
        <v>74</v>
      </c>
      <c r="BM246" t="s">
        <v>74</v>
      </c>
      <c r="BN246">
        <v>32673874</v>
      </c>
      <c r="BO246" t="s">
        <v>74</v>
      </c>
      <c r="BP246" t="s">
        <v>74</v>
      </c>
      <c r="BQ246" t="s">
        <v>74</v>
      </c>
      <c r="BR246" t="s">
        <v>74</v>
      </c>
      <c r="BS246" t="s">
        <v>1982</v>
      </c>
      <c r="BT246" t="str">
        <f>HYPERLINK("https%3A%2F%2Fwww.webofscience.com%2Fwos%2Fwoscc%2Ffull-record%2FWOS:000575197000072","View Full Record in Web of Science")</f>
        <v>View Full Record in Web of Science</v>
      </c>
    </row>
    <row r="247" spans="1:72" x14ac:dyDescent="0.2">
      <c r="A247" t="s">
        <v>72</v>
      </c>
      <c r="B247" t="s">
        <v>1983</v>
      </c>
      <c r="C247" t="s">
        <v>74</v>
      </c>
      <c r="D247" t="s">
        <v>74</v>
      </c>
      <c r="E247" t="s">
        <v>74</v>
      </c>
      <c r="F247" t="s">
        <v>1984</v>
      </c>
      <c r="G247" t="s">
        <v>74</v>
      </c>
      <c r="H247" t="s">
        <v>74</v>
      </c>
      <c r="I247" t="s">
        <v>1985</v>
      </c>
      <c r="J247" t="s">
        <v>1377</v>
      </c>
      <c r="K247" t="s">
        <v>74</v>
      </c>
      <c r="L247" t="s">
        <v>74</v>
      </c>
      <c r="M247" t="s">
        <v>74</v>
      </c>
      <c r="N247" t="s">
        <v>74</v>
      </c>
      <c r="O247" t="s">
        <v>74</v>
      </c>
      <c r="P247" t="s">
        <v>74</v>
      </c>
      <c r="Q247" t="s">
        <v>74</v>
      </c>
      <c r="R247" t="s">
        <v>74</v>
      </c>
      <c r="S247" t="s">
        <v>74</v>
      </c>
      <c r="T247" t="s">
        <v>74</v>
      </c>
      <c r="U247" t="s">
        <v>74</v>
      </c>
      <c r="V247" t="s">
        <v>74</v>
      </c>
      <c r="W247" t="s">
        <v>74</v>
      </c>
      <c r="X247" t="s">
        <v>74</v>
      </c>
      <c r="Y247" t="s">
        <v>74</v>
      </c>
      <c r="Z247" t="s">
        <v>74</v>
      </c>
      <c r="AA247" t="s">
        <v>6912</v>
      </c>
      <c r="AB247" t="s">
        <v>6913</v>
      </c>
      <c r="AC247" t="s">
        <v>74</v>
      </c>
      <c r="AD247" t="s">
        <v>74</v>
      </c>
      <c r="AE247" t="s">
        <v>74</v>
      </c>
      <c r="AF247" t="s">
        <v>74</v>
      </c>
      <c r="AG247" t="s">
        <v>74</v>
      </c>
      <c r="AH247" t="s">
        <v>74</v>
      </c>
      <c r="AI247" t="s">
        <v>74</v>
      </c>
      <c r="AJ247" t="s">
        <v>74</v>
      </c>
      <c r="AK247" t="s">
        <v>74</v>
      </c>
      <c r="AL247" t="s">
        <v>74</v>
      </c>
      <c r="AM247" t="s">
        <v>74</v>
      </c>
      <c r="AN247" t="s">
        <v>74</v>
      </c>
      <c r="AO247" t="s">
        <v>1380</v>
      </c>
      <c r="AP247" t="s">
        <v>1381</v>
      </c>
      <c r="AQ247" t="s">
        <v>74</v>
      </c>
      <c r="AR247" t="s">
        <v>74</v>
      </c>
      <c r="AS247" t="s">
        <v>74</v>
      </c>
      <c r="AT247" t="s">
        <v>451</v>
      </c>
      <c r="AU247">
        <v>2021</v>
      </c>
      <c r="AV247">
        <v>109</v>
      </c>
      <c r="AW247">
        <v>9</v>
      </c>
      <c r="AX247" t="s">
        <v>74</v>
      </c>
      <c r="AY247" t="s">
        <v>74</v>
      </c>
      <c r="AZ247" t="s">
        <v>74</v>
      </c>
      <c r="BA247" t="s">
        <v>74</v>
      </c>
      <c r="BB247">
        <v>3182</v>
      </c>
      <c r="BC247">
        <v>3194</v>
      </c>
      <c r="BD247" t="s">
        <v>74</v>
      </c>
      <c r="BE247" t="s">
        <v>1986</v>
      </c>
      <c r="BF247" t="str">
        <f>HYPERLINK("http://dx.doi.org/10.1111/1365-2745.13544","http://dx.doi.org/10.1111/1365-2745.13544")</f>
        <v>http://dx.doi.org/10.1111/1365-2745.13544</v>
      </c>
      <c r="BG247" t="s">
        <v>74</v>
      </c>
      <c r="BH247" t="s">
        <v>1987</v>
      </c>
      <c r="BI247" t="s">
        <v>74</v>
      </c>
      <c r="BJ247" t="s">
        <v>74</v>
      </c>
      <c r="BK247" t="s">
        <v>74</v>
      </c>
      <c r="BL247" t="s">
        <v>74</v>
      </c>
      <c r="BM247" t="s">
        <v>74</v>
      </c>
      <c r="BN247" t="s">
        <v>74</v>
      </c>
      <c r="BO247" t="s">
        <v>74</v>
      </c>
      <c r="BP247" t="s">
        <v>74</v>
      </c>
      <c r="BQ247" t="s">
        <v>74</v>
      </c>
      <c r="BR247" t="s">
        <v>74</v>
      </c>
      <c r="BS247" t="s">
        <v>1988</v>
      </c>
      <c r="BT247" t="str">
        <f>HYPERLINK("https%3A%2F%2Fwww.webofscience.com%2Fwos%2Fwoscc%2Ffull-record%2FWOS:000593644800001","View Full Record in Web of Science")</f>
        <v>View Full Record in Web of Science</v>
      </c>
    </row>
    <row r="248" spans="1:72" x14ac:dyDescent="0.2">
      <c r="A248" t="s">
        <v>72</v>
      </c>
      <c r="B248" t="s">
        <v>1989</v>
      </c>
      <c r="C248" t="s">
        <v>74</v>
      </c>
      <c r="D248" t="s">
        <v>74</v>
      </c>
      <c r="E248" t="s">
        <v>74</v>
      </c>
      <c r="F248" t="s">
        <v>1990</v>
      </c>
      <c r="G248" t="s">
        <v>74</v>
      </c>
      <c r="H248" t="s">
        <v>74</v>
      </c>
      <c r="I248" t="s">
        <v>1991</v>
      </c>
      <c r="J248" t="s">
        <v>1992</v>
      </c>
      <c r="K248" t="s">
        <v>74</v>
      </c>
      <c r="L248" t="s">
        <v>74</v>
      </c>
      <c r="M248" t="s">
        <v>74</v>
      </c>
      <c r="N248" t="s">
        <v>74</v>
      </c>
      <c r="O248" t="s">
        <v>74</v>
      </c>
      <c r="P248" t="s">
        <v>74</v>
      </c>
      <c r="Q248" t="s">
        <v>74</v>
      </c>
      <c r="R248" t="s">
        <v>74</v>
      </c>
      <c r="S248" t="s">
        <v>74</v>
      </c>
      <c r="T248" t="s">
        <v>74</v>
      </c>
      <c r="U248" t="s">
        <v>74</v>
      </c>
      <c r="V248" t="s">
        <v>74</v>
      </c>
      <c r="W248" t="s">
        <v>74</v>
      </c>
      <c r="X248" t="s">
        <v>74</v>
      </c>
      <c r="Y248" t="s">
        <v>74</v>
      </c>
      <c r="Z248" t="s">
        <v>74</v>
      </c>
      <c r="AA248" t="s">
        <v>1993</v>
      </c>
      <c r="AB248" t="s">
        <v>1994</v>
      </c>
      <c r="AC248" t="s">
        <v>74</v>
      </c>
      <c r="AD248" t="s">
        <v>74</v>
      </c>
      <c r="AE248" t="s">
        <v>74</v>
      </c>
      <c r="AF248" t="s">
        <v>74</v>
      </c>
      <c r="AG248" t="s">
        <v>74</v>
      </c>
      <c r="AH248" t="s">
        <v>74</v>
      </c>
      <c r="AI248" t="s">
        <v>74</v>
      </c>
      <c r="AJ248" t="s">
        <v>74</v>
      </c>
      <c r="AK248" t="s">
        <v>74</v>
      </c>
      <c r="AL248" t="s">
        <v>74</v>
      </c>
      <c r="AM248" t="s">
        <v>74</v>
      </c>
      <c r="AN248" t="s">
        <v>74</v>
      </c>
      <c r="AO248" t="s">
        <v>1995</v>
      </c>
      <c r="AP248" t="s">
        <v>1996</v>
      </c>
      <c r="AQ248" t="s">
        <v>74</v>
      </c>
      <c r="AR248" t="s">
        <v>74</v>
      </c>
      <c r="AS248" t="s">
        <v>74</v>
      </c>
      <c r="AT248" t="s">
        <v>1997</v>
      </c>
      <c r="AU248">
        <v>2020</v>
      </c>
      <c r="AV248">
        <v>4877</v>
      </c>
      <c r="AW248">
        <v>3</v>
      </c>
      <c r="AX248" t="s">
        <v>74</v>
      </c>
      <c r="AY248" t="s">
        <v>74</v>
      </c>
      <c r="AZ248" t="s">
        <v>74</v>
      </c>
      <c r="BA248" t="s">
        <v>74</v>
      </c>
      <c r="BB248">
        <v>468</v>
      </c>
      <c r="BC248">
        <v>504</v>
      </c>
      <c r="BD248" t="s">
        <v>74</v>
      </c>
      <c r="BE248" t="s">
        <v>1998</v>
      </c>
      <c r="BF248" t="str">
        <f>HYPERLINK("http://dx.doi.org/10.11646/zootaxa.4877.3.5","http://dx.doi.org/10.11646/zootaxa.4877.3.5")</f>
        <v>http://dx.doi.org/10.11646/zootaxa.4877.3.5</v>
      </c>
      <c r="BG248" t="s">
        <v>74</v>
      </c>
      <c r="BH248" t="s">
        <v>74</v>
      </c>
      <c r="BI248" t="s">
        <v>74</v>
      </c>
      <c r="BJ248" t="s">
        <v>74</v>
      </c>
      <c r="BK248" t="s">
        <v>74</v>
      </c>
      <c r="BL248" t="s">
        <v>74</v>
      </c>
      <c r="BM248" t="s">
        <v>74</v>
      </c>
      <c r="BN248">
        <v>33311180</v>
      </c>
      <c r="BO248" t="s">
        <v>74</v>
      </c>
      <c r="BP248" t="s">
        <v>74</v>
      </c>
      <c r="BQ248" t="s">
        <v>74</v>
      </c>
      <c r="BR248" t="s">
        <v>74</v>
      </c>
      <c r="BS248" t="s">
        <v>1999</v>
      </c>
      <c r="BT248" t="str">
        <f>HYPERLINK("https%3A%2F%2Fwww.webofscience.com%2Fwos%2Fwoscc%2Ffull-record%2FWOS:000589411500005","View Full Record in Web of Science")</f>
        <v>View Full Record in Web of Science</v>
      </c>
    </row>
    <row r="249" spans="1:72" x14ac:dyDescent="0.2">
      <c r="A249" t="s">
        <v>72</v>
      </c>
      <c r="B249" t="s">
        <v>2000</v>
      </c>
      <c r="C249" t="s">
        <v>74</v>
      </c>
      <c r="D249" t="s">
        <v>74</v>
      </c>
      <c r="E249" t="s">
        <v>74</v>
      </c>
      <c r="F249" t="s">
        <v>2001</v>
      </c>
      <c r="G249" t="s">
        <v>74</v>
      </c>
      <c r="H249" t="s">
        <v>74</v>
      </c>
      <c r="I249" t="s">
        <v>2002</v>
      </c>
      <c r="J249" t="s">
        <v>1323</v>
      </c>
      <c r="K249" t="s">
        <v>74</v>
      </c>
      <c r="L249" t="s">
        <v>74</v>
      </c>
      <c r="M249" t="s">
        <v>74</v>
      </c>
      <c r="N249" t="s">
        <v>74</v>
      </c>
      <c r="O249" t="s">
        <v>74</v>
      </c>
      <c r="P249" t="s">
        <v>74</v>
      </c>
      <c r="Q249" t="s">
        <v>74</v>
      </c>
      <c r="R249" t="s">
        <v>74</v>
      </c>
      <c r="S249" t="s">
        <v>74</v>
      </c>
      <c r="T249" t="s">
        <v>74</v>
      </c>
      <c r="U249" t="s">
        <v>74</v>
      </c>
      <c r="V249" t="s">
        <v>74</v>
      </c>
      <c r="W249" t="s">
        <v>74</v>
      </c>
      <c r="X249" t="s">
        <v>74</v>
      </c>
      <c r="Y249" t="s">
        <v>74</v>
      </c>
      <c r="Z249" t="s">
        <v>74</v>
      </c>
      <c r="AA249" t="s">
        <v>6914</v>
      </c>
      <c r="AB249" t="s">
        <v>2003</v>
      </c>
      <c r="AC249" t="s">
        <v>74</v>
      </c>
      <c r="AD249" t="s">
        <v>74</v>
      </c>
      <c r="AE249" t="s">
        <v>74</v>
      </c>
      <c r="AF249" t="s">
        <v>74</v>
      </c>
      <c r="AG249" t="s">
        <v>74</v>
      </c>
      <c r="AH249" t="s">
        <v>74</v>
      </c>
      <c r="AI249" t="s">
        <v>74</v>
      </c>
      <c r="AJ249" t="s">
        <v>74</v>
      </c>
      <c r="AK249" t="s">
        <v>74</v>
      </c>
      <c r="AL249" t="s">
        <v>74</v>
      </c>
      <c r="AM249" t="s">
        <v>74</v>
      </c>
      <c r="AN249" t="s">
        <v>74</v>
      </c>
      <c r="AO249" t="s">
        <v>1326</v>
      </c>
      <c r="AP249" t="s">
        <v>1327</v>
      </c>
      <c r="AQ249" t="s">
        <v>74</v>
      </c>
      <c r="AR249" t="s">
        <v>74</v>
      </c>
      <c r="AS249" t="s">
        <v>74</v>
      </c>
      <c r="AT249" t="s">
        <v>2004</v>
      </c>
      <c r="AU249">
        <v>2020</v>
      </c>
      <c r="AV249">
        <v>83</v>
      </c>
      <c r="AW249">
        <v>1</v>
      </c>
      <c r="AX249" t="s">
        <v>74</v>
      </c>
      <c r="AY249" t="s">
        <v>74</v>
      </c>
      <c r="AZ249" t="s">
        <v>74</v>
      </c>
      <c r="BA249" t="s">
        <v>74</v>
      </c>
      <c r="BB249" t="s">
        <v>74</v>
      </c>
      <c r="BC249" t="s">
        <v>74</v>
      </c>
      <c r="BD249">
        <v>10</v>
      </c>
      <c r="BE249" t="s">
        <v>2005</v>
      </c>
      <c r="BF249" t="str">
        <f>HYPERLINK("http://dx.doi.org/10.1007/s00027-020-00763-7","http://dx.doi.org/10.1007/s00027-020-00763-7")</f>
        <v>http://dx.doi.org/10.1007/s00027-020-00763-7</v>
      </c>
      <c r="BG249" t="s">
        <v>74</v>
      </c>
      <c r="BH249" t="s">
        <v>74</v>
      </c>
      <c r="BI249" t="s">
        <v>74</v>
      </c>
      <c r="BJ249" t="s">
        <v>74</v>
      </c>
      <c r="BK249" t="s">
        <v>74</v>
      </c>
      <c r="BL249" t="s">
        <v>74</v>
      </c>
      <c r="BM249" t="s">
        <v>74</v>
      </c>
      <c r="BN249" t="s">
        <v>74</v>
      </c>
      <c r="BO249" t="s">
        <v>74</v>
      </c>
      <c r="BP249" t="s">
        <v>74</v>
      </c>
      <c r="BQ249" t="s">
        <v>74</v>
      </c>
      <c r="BR249" t="s">
        <v>74</v>
      </c>
      <c r="BS249" t="s">
        <v>2006</v>
      </c>
      <c r="BT249" t="str">
        <f>HYPERLINK("https%3A%2F%2Fwww.webofscience.com%2Fwos%2Fwoscc%2Ffull-record%2FWOS:000590055500002","View Full Record in Web of Science")</f>
        <v>View Full Record in Web of Science</v>
      </c>
    </row>
    <row r="250" spans="1:72" x14ac:dyDescent="0.2">
      <c r="A250" t="s">
        <v>72</v>
      </c>
      <c r="B250" t="s">
        <v>2007</v>
      </c>
      <c r="C250" t="s">
        <v>74</v>
      </c>
      <c r="D250" t="s">
        <v>74</v>
      </c>
      <c r="E250" t="s">
        <v>74</v>
      </c>
      <c r="F250" t="s">
        <v>2008</v>
      </c>
      <c r="G250" t="s">
        <v>74</v>
      </c>
      <c r="H250" t="s">
        <v>74</v>
      </c>
      <c r="I250" t="s">
        <v>2009</v>
      </c>
      <c r="J250" t="s">
        <v>2010</v>
      </c>
      <c r="K250" t="s">
        <v>74</v>
      </c>
      <c r="L250" t="s">
        <v>74</v>
      </c>
      <c r="M250" t="s">
        <v>74</v>
      </c>
      <c r="N250" t="s">
        <v>74</v>
      </c>
      <c r="O250" t="s">
        <v>74</v>
      </c>
      <c r="P250" t="s">
        <v>74</v>
      </c>
      <c r="Q250" t="s">
        <v>74</v>
      </c>
      <c r="R250" t="s">
        <v>74</v>
      </c>
      <c r="S250" t="s">
        <v>74</v>
      </c>
      <c r="T250" t="s">
        <v>74</v>
      </c>
      <c r="U250" t="s">
        <v>74</v>
      </c>
      <c r="V250" t="s">
        <v>74</v>
      </c>
      <c r="W250" t="s">
        <v>74</v>
      </c>
      <c r="X250" t="s">
        <v>74</v>
      </c>
      <c r="Y250" t="s">
        <v>74</v>
      </c>
      <c r="Z250" t="s">
        <v>74</v>
      </c>
      <c r="AA250" t="s">
        <v>2011</v>
      </c>
      <c r="AB250" t="s">
        <v>2012</v>
      </c>
      <c r="AC250" t="s">
        <v>74</v>
      </c>
      <c r="AD250" t="s">
        <v>74</v>
      </c>
      <c r="AE250" t="s">
        <v>74</v>
      </c>
      <c r="AF250" t="s">
        <v>74</v>
      </c>
      <c r="AG250" t="s">
        <v>74</v>
      </c>
      <c r="AH250" t="s">
        <v>74</v>
      </c>
      <c r="AI250" t="s">
        <v>74</v>
      </c>
      <c r="AJ250" t="s">
        <v>74</v>
      </c>
      <c r="AK250" t="s">
        <v>74</v>
      </c>
      <c r="AL250" t="s">
        <v>74</v>
      </c>
      <c r="AM250" t="s">
        <v>74</v>
      </c>
      <c r="AN250" t="s">
        <v>74</v>
      </c>
      <c r="AO250" t="s">
        <v>74</v>
      </c>
      <c r="AP250" t="s">
        <v>2013</v>
      </c>
      <c r="AQ250" t="s">
        <v>74</v>
      </c>
      <c r="AR250" t="s">
        <v>74</v>
      </c>
      <c r="AS250" t="s">
        <v>74</v>
      </c>
      <c r="AT250" t="s">
        <v>335</v>
      </c>
      <c r="AU250">
        <v>2020</v>
      </c>
      <c r="AV250">
        <v>6</v>
      </c>
      <c r="AW250">
        <v>11</v>
      </c>
      <c r="AX250" t="s">
        <v>74</v>
      </c>
      <c r="AY250" t="s">
        <v>74</v>
      </c>
      <c r="AZ250" t="s">
        <v>74</v>
      </c>
      <c r="BA250" t="s">
        <v>74</v>
      </c>
      <c r="BB250" t="s">
        <v>74</v>
      </c>
      <c r="BC250" t="s">
        <v>74</v>
      </c>
      <c r="BD250" t="s">
        <v>2014</v>
      </c>
      <c r="BE250" t="s">
        <v>2015</v>
      </c>
      <c r="BF250" t="str">
        <f>HYPERLINK("http://dx.doi.org/10.1016/j.heliyon.2020.e05582","http://dx.doi.org/10.1016/j.heliyon.2020.e05582")</f>
        <v>http://dx.doi.org/10.1016/j.heliyon.2020.e05582</v>
      </c>
      <c r="BG250" t="s">
        <v>74</v>
      </c>
      <c r="BH250" t="s">
        <v>74</v>
      </c>
      <c r="BI250" t="s">
        <v>74</v>
      </c>
      <c r="BJ250" t="s">
        <v>74</v>
      </c>
      <c r="BK250" t="s">
        <v>74</v>
      </c>
      <c r="BL250" t="s">
        <v>74</v>
      </c>
      <c r="BM250" t="s">
        <v>74</v>
      </c>
      <c r="BN250">
        <v>33294708</v>
      </c>
      <c r="BO250" t="s">
        <v>74</v>
      </c>
      <c r="BP250" t="s">
        <v>74</v>
      </c>
      <c r="BQ250" t="s">
        <v>74</v>
      </c>
      <c r="BR250" t="s">
        <v>74</v>
      </c>
      <c r="BS250" t="s">
        <v>2016</v>
      </c>
      <c r="BT250" t="str">
        <f>HYPERLINK("https%3A%2F%2Fwww.webofscience.com%2Fwos%2Fwoscc%2Ffull-record%2FWOS:000649388700146","View Full Record in Web of Science")</f>
        <v>View Full Record in Web of Science</v>
      </c>
    </row>
    <row r="251" spans="1:72" x14ac:dyDescent="0.2">
      <c r="A251" t="s">
        <v>72</v>
      </c>
      <c r="B251" t="s">
        <v>2017</v>
      </c>
      <c r="C251" t="s">
        <v>74</v>
      </c>
      <c r="D251" t="s">
        <v>74</v>
      </c>
      <c r="E251" t="s">
        <v>74</v>
      </c>
      <c r="F251" t="s">
        <v>2018</v>
      </c>
      <c r="G251" t="s">
        <v>74</v>
      </c>
      <c r="H251" t="s">
        <v>74</v>
      </c>
      <c r="I251" t="s">
        <v>2019</v>
      </c>
      <c r="J251" t="s">
        <v>2020</v>
      </c>
      <c r="K251" t="s">
        <v>74</v>
      </c>
      <c r="L251" t="s">
        <v>74</v>
      </c>
      <c r="M251" t="s">
        <v>74</v>
      </c>
      <c r="N251" t="s">
        <v>74</v>
      </c>
      <c r="O251" t="s">
        <v>74</v>
      </c>
      <c r="P251" t="s">
        <v>74</v>
      </c>
      <c r="Q251" t="s">
        <v>74</v>
      </c>
      <c r="R251" t="s">
        <v>74</v>
      </c>
      <c r="S251" t="s">
        <v>74</v>
      </c>
      <c r="T251" t="s">
        <v>74</v>
      </c>
      <c r="U251" t="s">
        <v>74</v>
      </c>
      <c r="V251" t="s">
        <v>74</v>
      </c>
      <c r="W251" t="s">
        <v>74</v>
      </c>
      <c r="X251" t="s">
        <v>74</v>
      </c>
      <c r="Y251" t="s">
        <v>74</v>
      </c>
      <c r="Z251" t="s">
        <v>74</v>
      </c>
      <c r="AA251" t="s">
        <v>2021</v>
      </c>
      <c r="AB251" t="s">
        <v>6915</v>
      </c>
      <c r="AC251" t="s">
        <v>74</v>
      </c>
      <c r="AD251" t="s">
        <v>74</v>
      </c>
      <c r="AE251" t="s">
        <v>74</v>
      </c>
      <c r="AF251" t="s">
        <v>74</v>
      </c>
      <c r="AG251" t="s">
        <v>74</v>
      </c>
      <c r="AH251" t="s">
        <v>74</v>
      </c>
      <c r="AI251" t="s">
        <v>74</v>
      </c>
      <c r="AJ251" t="s">
        <v>74</v>
      </c>
      <c r="AK251" t="s">
        <v>74</v>
      </c>
      <c r="AL251" t="s">
        <v>74</v>
      </c>
      <c r="AM251" t="s">
        <v>74</v>
      </c>
      <c r="AN251" t="s">
        <v>74</v>
      </c>
      <c r="AO251" t="s">
        <v>2022</v>
      </c>
      <c r="AP251" t="s">
        <v>2023</v>
      </c>
      <c r="AQ251" t="s">
        <v>74</v>
      </c>
      <c r="AR251" t="s">
        <v>74</v>
      </c>
      <c r="AS251" t="s">
        <v>74</v>
      </c>
      <c r="AT251" t="s">
        <v>1007</v>
      </c>
      <c r="AU251">
        <v>2020</v>
      </c>
      <c r="AV251">
        <v>35</v>
      </c>
      <c r="AW251">
        <v>4</v>
      </c>
      <c r="AX251" t="s">
        <v>74</v>
      </c>
      <c r="AY251" t="s">
        <v>74</v>
      </c>
      <c r="AZ251" t="s">
        <v>74</v>
      </c>
      <c r="BA251" t="s">
        <v>74</v>
      </c>
      <c r="BB251">
        <v>315</v>
      </c>
      <c r="BC251">
        <v>326</v>
      </c>
      <c r="BD251" t="s">
        <v>74</v>
      </c>
      <c r="BE251" t="s">
        <v>2024</v>
      </c>
      <c r="BF251" t="str">
        <f>HYPERLINK("http://dx.doi.org/10.1080/0269249X.2020.1828175","http://dx.doi.org/10.1080/0269249X.2020.1828175")</f>
        <v>http://dx.doi.org/10.1080/0269249X.2020.1828175</v>
      </c>
      <c r="BG251" t="s">
        <v>74</v>
      </c>
      <c r="BH251" t="s">
        <v>2025</v>
      </c>
      <c r="BI251" t="s">
        <v>74</v>
      </c>
      <c r="BJ251" t="s">
        <v>74</v>
      </c>
      <c r="BK251" t="s">
        <v>74</v>
      </c>
      <c r="BL251" t="s">
        <v>74</v>
      </c>
      <c r="BM251" t="s">
        <v>74</v>
      </c>
      <c r="BN251" t="s">
        <v>74</v>
      </c>
      <c r="BO251" t="s">
        <v>74</v>
      </c>
      <c r="BP251" t="s">
        <v>74</v>
      </c>
      <c r="BQ251" t="s">
        <v>74</v>
      </c>
      <c r="BR251" t="s">
        <v>74</v>
      </c>
      <c r="BS251" t="s">
        <v>2026</v>
      </c>
      <c r="BT251" t="str">
        <f>HYPERLINK("https%3A%2F%2Fwww.webofscience.com%2Fwos%2Fwoscc%2Ffull-record%2FWOS:000580516300001","View Full Record in Web of Science")</f>
        <v>View Full Record in Web of Science</v>
      </c>
    </row>
    <row r="252" spans="1:72" x14ac:dyDescent="0.2">
      <c r="A252" t="s">
        <v>72</v>
      </c>
      <c r="B252" t="s">
        <v>2027</v>
      </c>
      <c r="C252" t="s">
        <v>74</v>
      </c>
      <c r="D252" t="s">
        <v>74</v>
      </c>
      <c r="E252" t="s">
        <v>74</v>
      </c>
      <c r="F252" t="s">
        <v>2028</v>
      </c>
      <c r="G252" t="s">
        <v>74</v>
      </c>
      <c r="H252" t="s">
        <v>74</v>
      </c>
      <c r="I252" t="s">
        <v>2029</v>
      </c>
      <c r="J252" t="s">
        <v>1100</v>
      </c>
      <c r="K252" t="s">
        <v>74</v>
      </c>
      <c r="L252" t="s">
        <v>74</v>
      </c>
      <c r="M252" t="s">
        <v>74</v>
      </c>
      <c r="N252" t="s">
        <v>74</v>
      </c>
      <c r="O252" t="s">
        <v>74</v>
      </c>
      <c r="P252" t="s">
        <v>74</v>
      </c>
      <c r="Q252" t="s">
        <v>74</v>
      </c>
      <c r="R252" t="s">
        <v>74</v>
      </c>
      <c r="S252" t="s">
        <v>74</v>
      </c>
      <c r="T252" t="s">
        <v>74</v>
      </c>
      <c r="U252" t="s">
        <v>74</v>
      </c>
      <c r="V252" t="s">
        <v>74</v>
      </c>
      <c r="W252" t="s">
        <v>74</v>
      </c>
      <c r="X252" t="s">
        <v>74</v>
      </c>
      <c r="Y252" t="s">
        <v>74</v>
      </c>
      <c r="Z252" t="s">
        <v>74</v>
      </c>
      <c r="AA252" t="s">
        <v>74</v>
      </c>
      <c r="AB252" t="s">
        <v>6916</v>
      </c>
      <c r="AC252" t="s">
        <v>74</v>
      </c>
      <c r="AD252" t="s">
        <v>74</v>
      </c>
      <c r="AE252" t="s">
        <v>74</v>
      </c>
      <c r="AF252" t="s">
        <v>74</v>
      </c>
      <c r="AG252" t="s">
        <v>74</v>
      </c>
      <c r="AH252" t="s">
        <v>74</v>
      </c>
      <c r="AI252" t="s">
        <v>74</v>
      </c>
      <c r="AJ252" t="s">
        <v>74</v>
      </c>
      <c r="AK252" t="s">
        <v>74</v>
      </c>
      <c r="AL252" t="s">
        <v>74</v>
      </c>
      <c r="AM252" t="s">
        <v>74</v>
      </c>
      <c r="AN252" t="s">
        <v>74</v>
      </c>
      <c r="AO252" t="s">
        <v>74</v>
      </c>
      <c r="AP252" t="s">
        <v>1101</v>
      </c>
      <c r="AQ252" t="s">
        <v>74</v>
      </c>
      <c r="AR252" t="s">
        <v>74</v>
      </c>
      <c r="AS252" t="s">
        <v>74</v>
      </c>
      <c r="AT252" t="s">
        <v>2030</v>
      </c>
      <c r="AU252">
        <v>2020</v>
      </c>
      <c r="AV252">
        <v>8</v>
      </c>
      <c r="AW252" t="s">
        <v>74</v>
      </c>
      <c r="AX252" t="s">
        <v>74</v>
      </c>
      <c r="AY252" t="s">
        <v>74</v>
      </c>
      <c r="AZ252" t="s">
        <v>74</v>
      </c>
      <c r="BA252" t="s">
        <v>74</v>
      </c>
      <c r="BB252" t="s">
        <v>74</v>
      </c>
      <c r="BC252" t="s">
        <v>74</v>
      </c>
      <c r="BD252">
        <v>540607</v>
      </c>
      <c r="BE252" t="s">
        <v>2031</v>
      </c>
      <c r="BF252" t="str">
        <f>HYPERLINK("http://dx.doi.org/10.3389/fenvs.2020.540607","http://dx.doi.org/10.3389/fenvs.2020.540607")</f>
        <v>http://dx.doi.org/10.3389/fenvs.2020.540607</v>
      </c>
      <c r="BG252" t="s">
        <v>74</v>
      </c>
      <c r="BH252" t="s">
        <v>74</v>
      </c>
      <c r="BI252" t="s">
        <v>74</v>
      </c>
      <c r="BJ252" t="s">
        <v>74</v>
      </c>
      <c r="BK252" t="s">
        <v>74</v>
      </c>
      <c r="BL252" t="s">
        <v>74</v>
      </c>
      <c r="BM252" t="s">
        <v>74</v>
      </c>
      <c r="BN252" t="s">
        <v>74</v>
      </c>
      <c r="BO252" t="s">
        <v>74</v>
      </c>
      <c r="BP252" t="s">
        <v>74</v>
      </c>
      <c r="BQ252" t="s">
        <v>74</v>
      </c>
      <c r="BR252" t="s">
        <v>74</v>
      </c>
      <c r="BS252" t="s">
        <v>2032</v>
      </c>
      <c r="BT252" t="str">
        <f>HYPERLINK("https%3A%2F%2Fwww.webofscience.com%2Fwos%2Fwoscc%2Ffull-record%2FWOS:000583415600001","View Full Record in Web of Science")</f>
        <v>View Full Record in Web of Science</v>
      </c>
    </row>
    <row r="253" spans="1:72" x14ac:dyDescent="0.2">
      <c r="A253" t="s">
        <v>72</v>
      </c>
      <c r="B253" t="s">
        <v>2033</v>
      </c>
      <c r="C253" t="s">
        <v>74</v>
      </c>
      <c r="D253" t="s">
        <v>74</v>
      </c>
      <c r="E253" t="s">
        <v>74</v>
      </c>
      <c r="F253" t="s">
        <v>2034</v>
      </c>
      <c r="G253" t="s">
        <v>74</v>
      </c>
      <c r="H253" t="s">
        <v>74</v>
      </c>
      <c r="I253" t="s">
        <v>2035</v>
      </c>
      <c r="J253" t="s">
        <v>596</v>
      </c>
      <c r="K253" t="s">
        <v>74</v>
      </c>
      <c r="L253" t="s">
        <v>74</v>
      </c>
      <c r="M253" t="s">
        <v>74</v>
      </c>
      <c r="N253" t="s">
        <v>74</v>
      </c>
      <c r="O253" t="s">
        <v>74</v>
      </c>
      <c r="P253" t="s">
        <v>74</v>
      </c>
      <c r="Q253" t="s">
        <v>74</v>
      </c>
      <c r="R253" t="s">
        <v>74</v>
      </c>
      <c r="S253" t="s">
        <v>74</v>
      </c>
      <c r="T253" t="s">
        <v>74</v>
      </c>
      <c r="U253" t="s">
        <v>74</v>
      </c>
      <c r="V253" t="s">
        <v>74</v>
      </c>
      <c r="W253" t="s">
        <v>74</v>
      </c>
      <c r="X253" t="s">
        <v>74</v>
      </c>
      <c r="Y253" t="s">
        <v>74</v>
      </c>
      <c r="Z253" t="s">
        <v>74</v>
      </c>
      <c r="AA253" t="s">
        <v>74</v>
      </c>
      <c r="AB253" t="s">
        <v>6917</v>
      </c>
      <c r="AC253" t="s">
        <v>74</v>
      </c>
      <c r="AD253" t="s">
        <v>74</v>
      </c>
      <c r="AE253" t="s">
        <v>74</v>
      </c>
      <c r="AF253" t="s">
        <v>74</v>
      </c>
      <c r="AG253" t="s">
        <v>74</v>
      </c>
      <c r="AH253" t="s">
        <v>74</v>
      </c>
      <c r="AI253" t="s">
        <v>74</v>
      </c>
      <c r="AJ253" t="s">
        <v>74</v>
      </c>
      <c r="AK253" t="s">
        <v>74</v>
      </c>
      <c r="AL253" t="s">
        <v>74</v>
      </c>
      <c r="AM253" t="s">
        <v>74</v>
      </c>
      <c r="AN253" t="s">
        <v>74</v>
      </c>
      <c r="AO253" t="s">
        <v>597</v>
      </c>
      <c r="AP253" t="s">
        <v>74</v>
      </c>
      <c r="AQ253" t="s">
        <v>74</v>
      </c>
      <c r="AR253" t="s">
        <v>74</v>
      </c>
      <c r="AS253" t="s">
        <v>74</v>
      </c>
      <c r="AT253" t="s">
        <v>406</v>
      </c>
      <c r="AU253">
        <v>2020</v>
      </c>
      <c r="AV253">
        <v>11</v>
      </c>
      <c r="AW253">
        <v>10</v>
      </c>
      <c r="AX253" t="s">
        <v>74</v>
      </c>
      <c r="AY253" t="s">
        <v>74</v>
      </c>
      <c r="AZ253" t="s">
        <v>74</v>
      </c>
      <c r="BA253" t="s">
        <v>74</v>
      </c>
      <c r="BB253" t="s">
        <v>74</v>
      </c>
      <c r="BC253" t="s">
        <v>74</v>
      </c>
      <c r="BD253" t="s">
        <v>2036</v>
      </c>
      <c r="BE253" t="s">
        <v>2037</v>
      </c>
      <c r="BF253" t="str">
        <f>HYPERLINK("http://dx.doi.org/10.1002/ecs2.3196","http://dx.doi.org/10.1002/ecs2.3196")</f>
        <v>http://dx.doi.org/10.1002/ecs2.3196</v>
      </c>
      <c r="BG253" t="s">
        <v>74</v>
      </c>
      <c r="BH253" t="s">
        <v>74</v>
      </c>
      <c r="BI253" t="s">
        <v>74</v>
      </c>
      <c r="BJ253" t="s">
        <v>74</v>
      </c>
      <c r="BK253" t="s">
        <v>74</v>
      </c>
      <c r="BL253" t="s">
        <v>74</v>
      </c>
      <c r="BM253" t="s">
        <v>74</v>
      </c>
      <c r="BN253" t="s">
        <v>74</v>
      </c>
      <c r="BO253" t="s">
        <v>74</v>
      </c>
      <c r="BP253" t="s">
        <v>74</v>
      </c>
      <c r="BQ253" t="s">
        <v>74</v>
      </c>
      <c r="BR253" t="s">
        <v>74</v>
      </c>
      <c r="BS253" t="s">
        <v>2038</v>
      </c>
      <c r="BT253" t="str">
        <f>HYPERLINK("https%3A%2F%2Fwww.webofscience.com%2Fwos%2Fwoscc%2Ffull-record%2FWOS:000588068600015","View Full Record in Web of Science")</f>
        <v>View Full Record in Web of Science</v>
      </c>
    </row>
    <row r="254" spans="1:72" x14ac:dyDescent="0.2">
      <c r="A254" t="s">
        <v>72</v>
      </c>
      <c r="B254" t="s">
        <v>2039</v>
      </c>
      <c r="C254" t="s">
        <v>74</v>
      </c>
      <c r="D254" t="s">
        <v>74</v>
      </c>
      <c r="E254" t="s">
        <v>74</v>
      </c>
      <c r="F254" t="s">
        <v>2040</v>
      </c>
      <c r="G254" t="s">
        <v>74</v>
      </c>
      <c r="H254" t="s">
        <v>74</v>
      </c>
      <c r="I254" t="s">
        <v>2041</v>
      </c>
      <c r="J254" t="s">
        <v>423</v>
      </c>
      <c r="K254" t="s">
        <v>74</v>
      </c>
      <c r="L254" t="s">
        <v>74</v>
      </c>
      <c r="M254" t="s">
        <v>74</v>
      </c>
      <c r="N254" t="s">
        <v>74</v>
      </c>
      <c r="O254" t="s">
        <v>74</v>
      </c>
      <c r="P254" t="s">
        <v>74</v>
      </c>
      <c r="Q254" t="s">
        <v>74</v>
      </c>
      <c r="R254" t="s">
        <v>74</v>
      </c>
      <c r="S254" t="s">
        <v>74</v>
      </c>
      <c r="T254" t="s">
        <v>74</v>
      </c>
      <c r="U254" t="s">
        <v>74</v>
      </c>
      <c r="V254" t="s">
        <v>74</v>
      </c>
      <c r="W254" t="s">
        <v>74</v>
      </c>
      <c r="X254" t="s">
        <v>74</v>
      </c>
      <c r="Y254" t="s">
        <v>74</v>
      </c>
      <c r="Z254" t="s">
        <v>74</v>
      </c>
      <c r="AA254" t="s">
        <v>6918</v>
      </c>
      <c r="AB254" t="s">
        <v>6919</v>
      </c>
      <c r="AC254" t="s">
        <v>74</v>
      </c>
      <c r="AD254" t="s">
        <v>74</v>
      </c>
      <c r="AE254" t="s">
        <v>74</v>
      </c>
      <c r="AF254" t="s">
        <v>74</v>
      </c>
      <c r="AG254" t="s">
        <v>74</v>
      </c>
      <c r="AH254" t="s">
        <v>74</v>
      </c>
      <c r="AI254" t="s">
        <v>74</v>
      </c>
      <c r="AJ254" t="s">
        <v>74</v>
      </c>
      <c r="AK254" t="s">
        <v>74</v>
      </c>
      <c r="AL254" t="s">
        <v>74</v>
      </c>
      <c r="AM254" t="s">
        <v>74</v>
      </c>
      <c r="AN254" t="s">
        <v>74</v>
      </c>
      <c r="AO254" t="s">
        <v>425</v>
      </c>
      <c r="AP254" t="s">
        <v>426</v>
      </c>
      <c r="AQ254" t="s">
        <v>74</v>
      </c>
      <c r="AR254" t="s">
        <v>74</v>
      </c>
      <c r="AS254" t="s">
        <v>74</v>
      </c>
      <c r="AT254" t="s">
        <v>315</v>
      </c>
      <c r="AU254">
        <v>2021</v>
      </c>
      <c r="AV254">
        <v>66</v>
      </c>
      <c r="AW254">
        <v>1</v>
      </c>
      <c r="AX254" t="s">
        <v>74</v>
      </c>
      <c r="AY254" t="s">
        <v>74</v>
      </c>
      <c r="AZ254" t="s">
        <v>74</v>
      </c>
      <c r="BA254" t="s">
        <v>74</v>
      </c>
      <c r="BB254">
        <v>130</v>
      </c>
      <c r="BC254">
        <v>141</v>
      </c>
      <c r="BD254" t="s">
        <v>74</v>
      </c>
      <c r="BE254" t="s">
        <v>2042</v>
      </c>
      <c r="BF254" t="str">
        <f>HYPERLINK("http://dx.doi.org/10.1111/fwb.13623","http://dx.doi.org/10.1111/fwb.13623")</f>
        <v>http://dx.doi.org/10.1111/fwb.13623</v>
      </c>
      <c r="BG254" t="s">
        <v>74</v>
      </c>
      <c r="BH254" t="s">
        <v>2043</v>
      </c>
      <c r="BI254" t="s">
        <v>74</v>
      </c>
      <c r="BJ254" t="s">
        <v>74</v>
      </c>
      <c r="BK254" t="s">
        <v>74</v>
      </c>
      <c r="BL254" t="s">
        <v>74</v>
      </c>
      <c r="BM254" t="s">
        <v>74</v>
      </c>
      <c r="BN254" t="s">
        <v>74</v>
      </c>
      <c r="BO254" t="s">
        <v>74</v>
      </c>
      <c r="BP254" t="s">
        <v>74</v>
      </c>
      <c r="BQ254" t="s">
        <v>74</v>
      </c>
      <c r="BR254" t="s">
        <v>74</v>
      </c>
      <c r="BS254" t="s">
        <v>2044</v>
      </c>
      <c r="BT254" t="str">
        <f>HYPERLINK("https%3A%2F%2Fwww.webofscience.com%2Fwos%2Fwoscc%2Ffull-record%2FWOS:000573518300001","View Full Record in Web of Science")</f>
        <v>View Full Record in Web of Science</v>
      </c>
    </row>
    <row r="255" spans="1:72" x14ac:dyDescent="0.2">
      <c r="A255" t="s">
        <v>72</v>
      </c>
      <c r="B255" t="s">
        <v>2045</v>
      </c>
      <c r="C255" t="s">
        <v>74</v>
      </c>
      <c r="D255" t="s">
        <v>74</v>
      </c>
      <c r="E255" t="s">
        <v>74</v>
      </c>
      <c r="F255" t="s">
        <v>2046</v>
      </c>
      <c r="G255" t="s">
        <v>74</v>
      </c>
      <c r="H255" t="s">
        <v>74</v>
      </c>
      <c r="I255" t="s">
        <v>2047</v>
      </c>
      <c r="J255" t="s">
        <v>2048</v>
      </c>
      <c r="K255" t="s">
        <v>74</v>
      </c>
      <c r="L255" t="s">
        <v>74</v>
      </c>
      <c r="M255" t="s">
        <v>74</v>
      </c>
      <c r="N255" t="s">
        <v>74</v>
      </c>
      <c r="O255" t="s">
        <v>74</v>
      </c>
      <c r="P255" t="s">
        <v>74</v>
      </c>
      <c r="Q255" t="s">
        <v>74</v>
      </c>
      <c r="R255" t="s">
        <v>74</v>
      </c>
      <c r="S255" t="s">
        <v>74</v>
      </c>
      <c r="T255" t="s">
        <v>74</v>
      </c>
      <c r="U255" t="s">
        <v>74</v>
      </c>
      <c r="V255" t="s">
        <v>74</v>
      </c>
      <c r="W255" t="s">
        <v>74</v>
      </c>
      <c r="X255" t="s">
        <v>74</v>
      </c>
      <c r="Y255" t="s">
        <v>74</v>
      </c>
      <c r="Z255" t="s">
        <v>74</v>
      </c>
      <c r="AA255" t="s">
        <v>2049</v>
      </c>
      <c r="AB255" t="s">
        <v>6920</v>
      </c>
      <c r="AC255" t="s">
        <v>74</v>
      </c>
      <c r="AD255" t="s">
        <v>74</v>
      </c>
      <c r="AE255" t="s">
        <v>74</v>
      </c>
      <c r="AF255" t="s">
        <v>74</v>
      </c>
      <c r="AG255" t="s">
        <v>74</v>
      </c>
      <c r="AH255" t="s">
        <v>74</v>
      </c>
      <c r="AI255" t="s">
        <v>74</v>
      </c>
      <c r="AJ255" t="s">
        <v>74</v>
      </c>
      <c r="AK255" t="s">
        <v>74</v>
      </c>
      <c r="AL255" t="s">
        <v>74</v>
      </c>
      <c r="AM255" t="s">
        <v>74</v>
      </c>
      <c r="AN255" t="s">
        <v>74</v>
      </c>
      <c r="AO255" t="s">
        <v>2050</v>
      </c>
      <c r="AP255" t="s">
        <v>74</v>
      </c>
      <c r="AQ255" t="s">
        <v>74</v>
      </c>
      <c r="AR255" t="s">
        <v>74</v>
      </c>
      <c r="AS255" t="s">
        <v>74</v>
      </c>
      <c r="AT255" t="s">
        <v>451</v>
      </c>
      <c r="AU255">
        <v>2020</v>
      </c>
      <c r="AV255">
        <v>24</v>
      </c>
      <c r="AW255" t="s">
        <v>74</v>
      </c>
      <c r="AX255" t="s">
        <v>74</v>
      </c>
      <c r="AY255" t="s">
        <v>74</v>
      </c>
      <c r="AZ255" t="s">
        <v>74</v>
      </c>
      <c r="BA255" t="s">
        <v>74</v>
      </c>
      <c r="BB255" t="s">
        <v>74</v>
      </c>
      <c r="BC255" t="s">
        <v>74</v>
      </c>
      <c r="BD255" t="s">
        <v>2051</v>
      </c>
      <c r="BE255" t="s">
        <v>2052</v>
      </c>
      <c r="BF255" t="str">
        <f>HYPERLINK("http://dx.doi.org/10.1016/j.fooweb.2020.e00145","http://dx.doi.org/10.1016/j.fooweb.2020.e00145")</f>
        <v>http://dx.doi.org/10.1016/j.fooweb.2020.e00145</v>
      </c>
      <c r="BG255" t="s">
        <v>74</v>
      </c>
      <c r="BH255" t="s">
        <v>74</v>
      </c>
      <c r="BI255" t="s">
        <v>74</v>
      </c>
      <c r="BJ255" t="s">
        <v>74</v>
      </c>
      <c r="BK255" t="s">
        <v>74</v>
      </c>
      <c r="BL255" t="s">
        <v>74</v>
      </c>
      <c r="BM255" t="s">
        <v>74</v>
      </c>
      <c r="BN255" t="s">
        <v>74</v>
      </c>
      <c r="BO255" t="s">
        <v>74</v>
      </c>
      <c r="BP255" t="s">
        <v>74</v>
      </c>
      <c r="BQ255" t="s">
        <v>74</v>
      </c>
      <c r="BR255" t="s">
        <v>74</v>
      </c>
      <c r="BS255" t="s">
        <v>2053</v>
      </c>
      <c r="BT255" t="str">
        <f>HYPERLINK("https%3A%2F%2Fwww.webofscience.com%2Fwos%2Fwoscc%2Ffull-record%2FWOS:000646860800002","View Full Record in Web of Science")</f>
        <v>View Full Record in Web of Science</v>
      </c>
    </row>
    <row r="256" spans="1:72" x14ac:dyDescent="0.2">
      <c r="A256" t="s">
        <v>72</v>
      </c>
      <c r="B256" t="s">
        <v>2054</v>
      </c>
      <c r="C256" t="s">
        <v>74</v>
      </c>
      <c r="D256" t="s">
        <v>74</v>
      </c>
      <c r="E256" t="s">
        <v>74</v>
      </c>
      <c r="F256" t="s">
        <v>2055</v>
      </c>
      <c r="G256" t="s">
        <v>74</v>
      </c>
      <c r="H256" t="s">
        <v>74</v>
      </c>
      <c r="I256" t="s">
        <v>2056</v>
      </c>
      <c r="J256" t="s">
        <v>2057</v>
      </c>
      <c r="K256" t="s">
        <v>74</v>
      </c>
      <c r="L256" t="s">
        <v>74</v>
      </c>
      <c r="M256" t="s">
        <v>74</v>
      </c>
      <c r="N256" t="s">
        <v>74</v>
      </c>
      <c r="O256" t="s">
        <v>74</v>
      </c>
      <c r="P256" t="s">
        <v>74</v>
      </c>
      <c r="Q256" t="s">
        <v>74</v>
      </c>
      <c r="R256" t="s">
        <v>74</v>
      </c>
      <c r="S256" t="s">
        <v>74</v>
      </c>
      <c r="T256" t="s">
        <v>74</v>
      </c>
      <c r="U256" t="s">
        <v>74</v>
      </c>
      <c r="V256" t="s">
        <v>74</v>
      </c>
      <c r="W256" t="s">
        <v>74</v>
      </c>
      <c r="X256" t="s">
        <v>74</v>
      </c>
      <c r="Y256" t="s">
        <v>74</v>
      </c>
      <c r="Z256" t="s">
        <v>74</v>
      </c>
      <c r="AA256" t="s">
        <v>2058</v>
      </c>
      <c r="AB256" t="s">
        <v>6921</v>
      </c>
      <c r="AC256" t="s">
        <v>74</v>
      </c>
      <c r="AD256" t="s">
        <v>74</v>
      </c>
      <c r="AE256" t="s">
        <v>74</v>
      </c>
      <c r="AF256" t="s">
        <v>74</v>
      </c>
      <c r="AG256" t="s">
        <v>74</v>
      </c>
      <c r="AH256" t="s">
        <v>74</v>
      </c>
      <c r="AI256" t="s">
        <v>74</v>
      </c>
      <c r="AJ256" t="s">
        <v>74</v>
      </c>
      <c r="AK256" t="s">
        <v>74</v>
      </c>
      <c r="AL256" t="s">
        <v>74</v>
      </c>
      <c r="AM256" t="s">
        <v>74</v>
      </c>
      <c r="AN256" t="s">
        <v>74</v>
      </c>
      <c r="AO256" t="s">
        <v>2059</v>
      </c>
      <c r="AP256" t="s">
        <v>2060</v>
      </c>
      <c r="AQ256" t="s">
        <v>74</v>
      </c>
      <c r="AR256" t="s">
        <v>74</v>
      </c>
      <c r="AS256" t="s">
        <v>74</v>
      </c>
      <c r="AT256" t="s">
        <v>451</v>
      </c>
      <c r="AU256">
        <v>2020</v>
      </c>
      <c r="AV256">
        <v>41</v>
      </c>
      <c r="AW256">
        <v>5</v>
      </c>
      <c r="AX256" t="s">
        <v>74</v>
      </c>
      <c r="AY256" t="s">
        <v>74</v>
      </c>
      <c r="AZ256" t="s">
        <v>632</v>
      </c>
      <c r="BA256" t="s">
        <v>74</v>
      </c>
      <c r="BB256">
        <v>1215</v>
      </c>
      <c r="BC256">
        <v>1223</v>
      </c>
      <c r="BD256" t="s">
        <v>74</v>
      </c>
      <c r="BE256" t="s">
        <v>2061</v>
      </c>
      <c r="BF256" t="str">
        <f>HYPERLINK("http://dx.doi.org/10.22438/jeb/41/5(SI)/MS_13","http://dx.doi.org/10.22438/jeb/41/5(SI)/MS_13")</f>
        <v>http://dx.doi.org/10.22438/jeb/41/5(SI)/MS_13</v>
      </c>
      <c r="BG256" t="s">
        <v>74</v>
      </c>
      <c r="BH256" t="s">
        <v>74</v>
      </c>
      <c r="BI256" t="s">
        <v>74</v>
      </c>
      <c r="BJ256" t="s">
        <v>74</v>
      </c>
      <c r="BK256" t="s">
        <v>74</v>
      </c>
      <c r="BL256" t="s">
        <v>74</v>
      </c>
      <c r="BM256" t="s">
        <v>74</v>
      </c>
      <c r="BN256" t="s">
        <v>74</v>
      </c>
      <c r="BO256" t="s">
        <v>74</v>
      </c>
      <c r="BP256" t="s">
        <v>74</v>
      </c>
      <c r="BQ256" t="s">
        <v>74</v>
      </c>
      <c r="BR256" t="s">
        <v>74</v>
      </c>
      <c r="BS256" t="s">
        <v>2062</v>
      </c>
      <c r="BT256" t="str">
        <f>HYPERLINK("https%3A%2F%2Fwww.webofscience.com%2Fwos%2Fwoscc%2Ffull-record%2FWOS:000582918100014","View Full Record in Web of Science")</f>
        <v>View Full Record in Web of Science</v>
      </c>
    </row>
    <row r="257" spans="1:72" x14ac:dyDescent="0.2">
      <c r="A257" t="s">
        <v>72</v>
      </c>
      <c r="B257" t="s">
        <v>2063</v>
      </c>
      <c r="C257" t="s">
        <v>74</v>
      </c>
      <c r="D257" t="s">
        <v>74</v>
      </c>
      <c r="E257" t="s">
        <v>74</v>
      </c>
      <c r="F257" t="s">
        <v>2064</v>
      </c>
      <c r="G257" t="s">
        <v>74</v>
      </c>
      <c r="H257" t="s">
        <v>74</v>
      </c>
      <c r="I257" t="s">
        <v>2065</v>
      </c>
      <c r="J257" t="s">
        <v>1523</v>
      </c>
      <c r="K257" t="s">
        <v>74</v>
      </c>
      <c r="L257" t="s">
        <v>74</v>
      </c>
      <c r="M257" t="s">
        <v>74</v>
      </c>
      <c r="N257" t="s">
        <v>74</v>
      </c>
      <c r="O257" t="s">
        <v>74</v>
      </c>
      <c r="P257" t="s">
        <v>74</v>
      </c>
      <c r="Q257" t="s">
        <v>74</v>
      </c>
      <c r="R257" t="s">
        <v>74</v>
      </c>
      <c r="S257" t="s">
        <v>74</v>
      </c>
      <c r="T257" t="s">
        <v>74</v>
      </c>
      <c r="U257" t="s">
        <v>74</v>
      </c>
      <c r="V257" t="s">
        <v>74</v>
      </c>
      <c r="W257" t="s">
        <v>74</v>
      </c>
      <c r="X257" t="s">
        <v>74</v>
      </c>
      <c r="Y257" t="s">
        <v>74</v>
      </c>
      <c r="Z257" t="s">
        <v>74</v>
      </c>
      <c r="AA257" t="s">
        <v>6922</v>
      </c>
      <c r="AB257" t="s">
        <v>6923</v>
      </c>
      <c r="AC257" t="s">
        <v>74</v>
      </c>
      <c r="AD257" t="s">
        <v>74</v>
      </c>
      <c r="AE257" t="s">
        <v>74</v>
      </c>
      <c r="AF257" t="s">
        <v>74</v>
      </c>
      <c r="AG257" t="s">
        <v>74</v>
      </c>
      <c r="AH257" t="s">
        <v>74</v>
      </c>
      <c r="AI257" t="s">
        <v>74</v>
      </c>
      <c r="AJ257" t="s">
        <v>74</v>
      </c>
      <c r="AK257" t="s">
        <v>74</v>
      </c>
      <c r="AL257" t="s">
        <v>74</v>
      </c>
      <c r="AM257" t="s">
        <v>74</v>
      </c>
      <c r="AN257" t="s">
        <v>74</v>
      </c>
      <c r="AO257" t="s">
        <v>1524</v>
      </c>
      <c r="AP257" t="s">
        <v>1525</v>
      </c>
      <c r="AQ257" t="s">
        <v>74</v>
      </c>
      <c r="AR257" t="s">
        <v>74</v>
      </c>
      <c r="AS257" t="s">
        <v>74</v>
      </c>
      <c r="AT257" t="s">
        <v>335</v>
      </c>
      <c r="AU257">
        <v>2020</v>
      </c>
      <c r="AV257">
        <v>101</v>
      </c>
      <c r="AW257">
        <v>11</v>
      </c>
      <c r="AX257" t="s">
        <v>74</v>
      </c>
      <c r="AY257" t="s">
        <v>74</v>
      </c>
      <c r="AZ257" t="s">
        <v>74</v>
      </c>
      <c r="BA257" t="s">
        <v>74</v>
      </c>
      <c r="BB257" t="s">
        <v>74</v>
      </c>
      <c r="BC257" t="s">
        <v>74</v>
      </c>
      <c r="BD257" t="s">
        <v>74</v>
      </c>
      <c r="BE257" t="s">
        <v>2066</v>
      </c>
      <c r="BF257" t="str">
        <f>HYPERLINK("http://dx.doi.org/10.1002/ecy.3145","http://dx.doi.org/10.1002/ecy.3145")</f>
        <v>http://dx.doi.org/10.1002/ecy.3145</v>
      </c>
      <c r="BG257" t="s">
        <v>74</v>
      </c>
      <c r="BH257" t="s">
        <v>2067</v>
      </c>
      <c r="BI257" t="s">
        <v>74</v>
      </c>
      <c r="BJ257" t="s">
        <v>74</v>
      </c>
      <c r="BK257" t="s">
        <v>74</v>
      </c>
      <c r="BL257" t="s">
        <v>74</v>
      </c>
      <c r="BM257" t="s">
        <v>74</v>
      </c>
      <c r="BN257">
        <v>32740928</v>
      </c>
      <c r="BO257" t="s">
        <v>74</v>
      </c>
      <c r="BP257" t="s">
        <v>74</v>
      </c>
      <c r="BQ257" t="s">
        <v>74</v>
      </c>
      <c r="BR257" t="s">
        <v>74</v>
      </c>
      <c r="BS257" t="s">
        <v>2068</v>
      </c>
      <c r="BT257" t="str">
        <f>HYPERLINK("https%3A%2F%2Fwww.webofscience.com%2Fwos%2Fwoscc%2Ffull-record%2FWOS:000567662000001","View Full Record in Web of Science")</f>
        <v>View Full Record in Web of Science</v>
      </c>
    </row>
    <row r="258" spans="1:72" x14ac:dyDescent="0.2">
      <c r="A258" t="s">
        <v>72</v>
      </c>
      <c r="B258" t="s">
        <v>2069</v>
      </c>
      <c r="C258" t="s">
        <v>74</v>
      </c>
      <c r="D258" t="s">
        <v>74</v>
      </c>
      <c r="E258" t="s">
        <v>74</v>
      </c>
      <c r="F258" t="s">
        <v>2070</v>
      </c>
      <c r="G258" t="s">
        <v>74</v>
      </c>
      <c r="H258" t="s">
        <v>74</v>
      </c>
      <c r="I258" t="s">
        <v>2071</v>
      </c>
      <c r="J258" t="s">
        <v>949</v>
      </c>
      <c r="K258" t="s">
        <v>74</v>
      </c>
      <c r="L258" t="s">
        <v>74</v>
      </c>
      <c r="M258" t="s">
        <v>74</v>
      </c>
      <c r="N258" t="s">
        <v>74</v>
      </c>
      <c r="O258" t="s">
        <v>74</v>
      </c>
      <c r="P258" t="s">
        <v>74</v>
      </c>
      <c r="Q258" t="s">
        <v>74</v>
      </c>
      <c r="R258" t="s">
        <v>74</v>
      </c>
      <c r="S258" t="s">
        <v>74</v>
      </c>
      <c r="T258" t="s">
        <v>74</v>
      </c>
      <c r="U258" t="s">
        <v>74</v>
      </c>
      <c r="V258" t="s">
        <v>74</v>
      </c>
      <c r="W258" t="s">
        <v>74</v>
      </c>
      <c r="X258" t="s">
        <v>74</v>
      </c>
      <c r="Y258" t="s">
        <v>74</v>
      </c>
      <c r="Z258" t="s">
        <v>74</v>
      </c>
      <c r="AA258" t="s">
        <v>2072</v>
      </c>
      <c r="AB258" t="s">
        <v>2073</v>
      </c>
      <c r="AC258" t="s">
        <v>74</v>
      </c>
      <c r="AD258" t="s">
        <v>74</v>
      </c>
      <c r="AE258" t="s">
        <v>74</v>
      </c>
      <c r="AF258" t="s">
        <v>74</v>
      </c>
      <c r="AG258" t="s">
        <v>74</v>
      </c>
      <c r="AH258" t="s">
        <v>74</v>
      </c>
      <c r="AI258" t="s">
        <v>74</v>
      </c>
      <c r="AJ258" t="s">
        <v>74</v>
      </c>
      <c r="AK258" t="s">
        <v>74</v>
      </c>
      <c r="AL258" t="s">
        <v>74</v>
      </c>
      <c r="AM258" t="s">
        <v>74</v>
      </c>
      <c r="AN258" t="s">
        <v>74</v>
      </c>
      <c r="AO258" t="s">
        <v>74</v>
      </c>
      <c r="AP258" t="s">
        <v>951</v>
      </c>
      <c r="AQ258" t="s">
        <v>74</v>
      </c>
      <c r="AR258" t="s">
        <v>74</v>
      </c>
      <c r="AS258" t="s">
        <v>74</v>
      </c>
      <c r="AT258" t="s">
        <v>2074</v>
      </c>
      <c r="AU258">
        <v>2020</v>
      </c>
      <c r="AV258">
        <v>7</v>
      </c>
      <c r="AW258" t="s">
        <v>74</v>
      </c>
      <c r="AX258" t="s">
        <v>74</v>
      </c>
      <c r="AY258" t="s">
        <v>74</v>
      </c>
      <c r="AZ258" t="s">
        <v>74</v>
      </c>
      <c r="BA258" t="s">
        <v>74</v>
      </c>
      <c r="BB258" t="s">
        <v>74</v>
      </c>
      <c r="BC258" t="s">
        <v>74</v>
      </c>
      <c r="BD258">
        <v>670</v>
      </c>
      <c r="BE258" t="s">
        <v>2075</v>
      </c>
      <c r="BF258" t="str">
        <f>HYPERLINK("http://dx.doi.org/10.3389/fmars.2020.00670","http://dx.doi.org/10.3389/fmars.2020.00670")</f>
        <v>http://dx.doi.org/10.3389/fmars.2020.00670</v>
      </c>
      <c r="BG258" t="s">
        <v>74</v>
      </c>
      <c r="BH258" t="s">
        <v>74</v>
      </c>
      <c r="BI258" t="s">
        <v>74</v>
      </c>
      <c r="BJ258" t="s">
        <v>74</v>
      </c>
      <c r="BK258" t="s">
        <v>74</v>
      </c>
      <c r="BL258" t="s">
        <v>74</v>
      </c>
      <c r="BM258" t="s">
        <v>74</v>
      </c>
      <c r="BN258" t="s">
        <v>74</v>
      </c>
      <c r="BO258" t="s">
        <v>74</v>
      </c>
      <c r="BP258" t="s">
        <v>74</v>
      </c>
      <c r="BQ258" t="s">
        <v>74</v>
      </c>
      <c r="BR258" t="s">
        <v>74</v>
      </c>
      <c r="BS258" t="s">
        <v>2076</v>
      </c>
      <c r="BT258" t="str">
        <f>HYPERLINK("https%3A%2F%2Fwww.webofscience.com%2Fwos%2Fwoscc%2Ffull-record%2FWOS:000563824200001","View Full Record in Web of Science")</f>
        <v>View Full Record in Web of Science</v>
      </c>
    </row>
    <row r="259" spans="1:72" x14ac:dyDescent="0.2">
      <c r="A259" t="s">
        <v>72</v>
      </c>
      <c r="B259" t="s">
        <v>2077</v>
      </c>
      <c r="C259" t="s">
        <v>74</v>
      </c>
      <c r="D259" t="s">
        <v>74</v>
      </c>
      <c r="E259" t="s">
        <v>74</v>
      </c>
      <c r="F259" t="s">
        <v>2078</v>
      </c>
      <c r="G259" t="s">
        <v>74</v>
      </c>
      <c r="H259" t="s">
        <v>74</v>
      </c>
      <c r="I259" t="s">
        <v>2079</v>
      </c>
      <c r="J259" t="s">
        <v>145</v>
      </c>
      <c r="K259" t="s">
        <v>74</v>
      </c>
      <c r="L259" t="s">
        <v>74</v>
      </c>
      <c r="M259" t="s">
        <v>74</v>
      </c>
      <c r="N259" t="s">
        <v>74</v>
      </c>
      <c r="O259" t="s">
        <v>74</v>
      </c>
      <c r="P259" t="s">
        <v>74</v>
      </c>
      <c r="Q259" t="s">
        <v>74</v>
      </c>
      <c r="R259" t="s">
        <v>74</v>
      </c>
      <c r="S259" t="s">
        <v>74</v>
      </c>
      <c r="T259" t="s">
        <v>74</v>
      </c>
      <c r="U259" t="s">
        <v>74</v>
      </c>
      <c r="V259" t="s">
        <v>74</v>
      </c>
      <c r="W259" t="s">
        <v>74</v>
      </c>
      <c r="X259" t="s">
        <v>74</v>
      </c>
      <c r="Y259" t="s">
        <v>74</v>
      </c>
      <c r="Z259" t="s">
        <v>74</v>
      </c>
      <c r="AA259" t="s">
        <v>74</v>
      </c>
      <c r="AB259" t="s">
        <v>2080</v>
      </c>
      <c r="AC259" t="s">
        <v>74</v>
      </c>
      <c r="AD259" t="s">
        <v>74</v>
      </c>
      <c r="AE259" t="s">
        <v>74</v>
      </c>
      <c r="AF259" t="s">
        <v>74</v>
      </c>
      <c r="AG259" t="s">
        <v>74</v>
      </c>
      <c r="AH259" t="s">
        <v>74</v>
      </c>
      <c r="AI259" t="s">
        <v>74</v>
      </c>
      <c r="AJ259" t="s">
        <v>74</v>
      </c>
      <c r="AK259" t="s">
        <v>74</v>
      </c>
      <c r="AL259" t="s">
        <v>74</v>
      </c>
      <c r="AM259" t="s">
        <v>74</v>
      </c>
      <c r="AN259" t="s">
        <v>74</v>
      </c>
      <c r="AO259" t="s">
        <v>146</v>
      </c>
      <c r="AP259" t="s">
        <v>147</v>
      </c>
      <c r="AQ259" t="s">
        <v>74</v>
      </c>
      <c r="AR259" t="s">
        <v>74</v>
      </c>
      <c r="AS259" t="s">
        <v>74</v>
      </c>
      <c r="AT259" t="s">
        <v>489</v>
      </c>
      <c r="AU259">
        <v>2020</v>
      </c>
      <c r="AV259">
        <v>730</v>
      </c>
      <c r="AW259" t="s">
        <v>74</v>
      </c>
      <c r="AX259" t="s">
        <v>74</v>
      </c>
      <c r="AY259" t="s">
        <v>74</v>
      </c>
      <c r="AZ259" t="s">
        <v>74</v>
      </c>
      <c r="BA259" t="s">
        <v>74</v>
      </c>
      <c r="BB259" t="s">
        <v>74</v>
      </c>
      <c r="BC259" t="s">
        <v>74</v>
      </c>
      <c r="BD259">
        <v>139044</v>
      </c>
      <c r="BE259" t="s">
        <v>2081</v>
      </c>
      <c r="BF259" t="str">
        <f>HYPERLINK("http://dx.doi.org/10.1016/j.scitotenv.2020.139044","http://dx.doi.org/10.1016/j.scitotenv.2020.139044")</f>
        <v>http://dx.doi.org/10.1016/j.scitotenv.2020.139044</v>
      </c>
      <c r="BG259" t="s">
        <v>74</v>
      </c>
      <c r="BH259" t="s">
        <v>74</v>
      </c>
      <c r="BI259" t="s">
        <v>74</v>
      </c>
      <c r="BJ259" t="s">
        <v>74</v>
      </c>
      <c r="BK259" t="s">
        <v>74</v>
      </c>
      <c r="BL259" t="s">
        <v>74</v>
      </c>
      <c r="BM259" t="s">
        <v>74</v>
      </c>
      <c r="BN259">
        <v>32402967</v>
      </c>
      <c r="BO259" t="s">
        <v>74</v>
      </c>
      <c r="BP259" t="s">
        <v>74</v>
      </c>
      <c r="BQ259" t="s">
        <v>74</v>
      </c>
      <c r="BR259" t="s">
        <v>74</v>
      </c>
      <c r="BS259" t="s">
        <v>2082</v>
      </c>
      <c r="BT259" t="str">
        <f>HYPERLINK("https%3A%2F%2Fwww.webofscience.com%2Fwos%2Fwoscc%2Ffull-record%2FWOS:000537447300012","View Full Record in Web of Science")</f>
        <v>View Full Record in Web of Science</v>
      </c>
    </row>
    <row r="260" spans="1:72" x14ac:dyDescent="0.2">
      <c r="A260" t="s">
        <v>72</v>
      </c>
      <c r="B260" t="s">
        <v>2083</v>
      </c>
      <c r="C260" t="s">
        <v>74</v>
      </c>
      <c r="D260" t="s">
        <v>74</v>
      </c>
      <c r="E260" t="s">
        <v>74</v>
      </c>
      <c r="F260" t="s">
        <v>2084</v>
      </c>
      <c r="G260" t="s">
        <v>74</v>
      </c>
      <c r="H260" t="s">
        <v>74</v>
      </c>
      <c r="I260" t="s">
        <v>2085</v>
      </c>
      <c r="J260" t="s">
        <v>2086</v>
      </c>
      <c r="K260" t="s">
        <v>74</v>
      </c>
      <c r="L260" t="s">
        <v>74</v>
      </c>
      <c r="M260" t="s">
        <v>74</v>
      </c>
      <c r="N260" t="s">
        <v>74</v>
      </c>
      <c r="O260" t="s">
        <v>74</v>
      </c>
      <c r="P260" t="s">
        <v>74</v>
      </c>
      <c r="Q260" t="s">
        <v>74</v>
      </c>
      <c r="R260" t="s">
        <v>74</v>
      </c>
      <c r="S260" t="s">
        <v>74</v>
      </c>
      <c r="T260" t="s">
        <v>74</v>
      </c>
      <c r="U260" t="s">
        <v>74</v>
      </c>
      <c r="V260" t="s">
        <v>74</v>
      </c>
      <c r="W260" t="s">
        <v>74</v>
      </c>
      <c r="X260" t="s">
        <v>74</v>
      </c>
      <c r="Y260" t="s">
        <v>74</v>
      </c>
      <c r="Z260" t="s">
        <v>74</v>
      </c>
      <c r="AA260" t="s">
        <v>2087</v>
      </c>
      <c r="AB260" t="s">
        <v>2088</v>
      </c>
      <c r="AC260" t="s">
        <v>74</v>
      </c>
      <c r="AD260" t="s">
        <v>74</v>
      </c>
      <c r="AE260" t="s">
        <v>74</v>
      </c>
      <c r="AF260" t="s">
        <v>74</v>
      </c>
      <c r="AG260" t="s">
        <v>74</v>
      </c>
      <c r="AH260" t="s">
        <v>74</v>
      </c>
      <c r="AI260" t="s">
        <v>74</v>
      </c>
      <c r="AJ260" t="s">
        <v>74</v>
      </c>
      <c r="AK260" t="s">
        <v>74</v>
      </c>
      <c r="AL260" t="s">
        <v>74</v>
      </c>
      <c r="AM260" t="s">
        <v>74</v>
      </c>
      <c r="AN260" t="s">
        <v>74</v>
      </c>
      <c r="AO260" t="s">
        <v>2089</v>
      </c>
      <c r="AP260" t="s">
        <v>2090</v>
      </c>
      <c r="AQ260" t="s">
        <v>74</v>
      </c>
      <c r="AR260" t="s">
        <v>74</v>
      </c>
      <c r="AS260" t="s">
        <v>74</v>
      </c>
      <c r="AT260" t="s">
        <v>489</v>
      </c>
      <c r="AU260">
        <v>2020</v>
      </c>
      <c r="AV260">
        <v>552</v>
      </c>
      <c r="AW260" t="s">
        <v>74</v>
      </c>
      <c r="AX260" t="s">
        <v>74</v>
      </c>
      <c r="AY260" t="s">
        <v>74</v>
      </c>
      <c r="AZ260" t="s">
        <v>74</v>
      </c>
      <c r="BA260" t="s">
        <v>74</v>
      </c>
      <c r="BB260" t="s">
        <v>74</v>
      </c>
      <c r="BC260" t="s">
        <v>74</v>
      </c>
      <c r="BD260">
        <v>109734</v>
      </c>
      <c r="BE260" t="s">
        <v>2091</v>
      </c>
      <c r="BF260" t="str">
        <f>HYPERLINK("http://dx.doi.org/10.1016/j.palaeo.2020.109734","http://dx.doi.org/10.1016/j.palaeo.2020.109734")</f>
        <v>http://dx.doi.org/10.1016/j.palaeo.2020.109734</v>
      </c>
      <c r="BG260" t="s">
        <v>74</v>
      </c>
      <c r="BH260" t="s">
        <v>74</v>
      </c>
      <c r="BI260" t="s">
        <v>74</v>
      </c>
      <c r="BJ260" t="s">
        <v>74</v>
      </c>
      <c r="BK260" t="s">
        <v>74</v>
      </c>
      <c r="BL260" t="s">
        <v>74</v>
      </c>
      <c r="BM260" t="s">
        <v>74</v>
      </c>
      <c r="BN260" t="s">
        <v>74</v>
      </c>
      <c r="BO260" t="s">
        <v>74</v>
      </c>
      <c r="BP260" t="s">
        <v>74</v>
      </c>
      <c r="BQ260" t="s">
        <v>74</v>
      </c>
      <c r="BR260" t="s">
        <v>74</v>
      </c>
      <c r="BS260" t="s">
        <v>2092</v>
      </c>
      <c r="BT260" t="str">
        <f>HYPERLINK("https%3A%2F%2Fwww.webofscience.com%2Fwos%2Fwoscc%2Ffull-record%2FWOS:000538140400003","View Full Record in Web of Science")</f>
        <v>View Full Record in Web of Science</v>
      </c>
    </row>
    <row r="261" spans="1:72" x14ac:dyDescent="0.2">
      <c r="A261" t="s">
        <v>72</v>
      </c>
      <c r="B261" t="s">
        <v>2093</v>
      </c>
      <c r="C261" t="s">
        <v>74</v>
      </c>
      <c r="D261" t="s">
        <v>74</v>
      </c>
      <c r="E261" t="s">
        <v>74</v>
      </c>
      <c r="F261" t="s">
        <v>2094</v>
      </c>
      <c r="G261" t="s">
        <v>74</v>
      </c>
      <c r="H261" t="s">
        <v>74</v>
      </c>
      <c r="I261" t="s">
        <v>2095</v>
      </c>
      <c r="J261" t="s">
        <v>2096</v>
      </c>
      <c r="K261" t="s">
        <v>74</v>
      </c>
      <c r="L261" t="s">
        <v>74</v>
      </c>
      <c r="M261" t="s">
        <v>74</v>
      </c>
      <c r="N261" t="s">
        <v>74</v>
      </c>
      <c r="O261" t="s">
        <v>74</v>
      </c>
      <c r="P261" t="s">
        <v>74</v>
      </c>
      <c r="Q261" t="s">
        <v>74</v>
      </c>
      <c r="R261" t="s">
        <v>74</v>
      </c>
      <c r="S261" t="s">
        <v>74</v>
      </c>
      <c r="T261" t="s">
        <v>74</v>
      </c>
      <c r="U261" t="s">
        <v>74</v>
      </c>
      <c r="V261" t="s">
        <v>74</v>
      </c>
      <c r="W261" t="s">
        <v>74</v>
      </c>
      <c r="X261" t="s">
        <v>74</v>
      </c>
      <c r="Y261" t="s">
        <v>74</v>
      </c>
      <c r="Z261" t="s">
        <v>74</v>
      </c>
      <c r="AA261" t="s">
        <v>74</v>
      </c>
      <c r="AB261" t="s">
        <v>6924</v>
      </c>
      <c r="AC261" t="s">
        <v>74</v>
      </c>
      <c r="AD261" t="s">
        <v>74</v>
      </c>
      <c r="AE261" t="s">
        <v>74</v>
      </c>
      <c r="AF261" t="s">
        <v>74</v>
      </c>
      <c r="AG261" t="s">
        <v>74</v>
      </c>
      <c r="AH261" t="s">
        <v>74</v>
      </c>
      <c r="AI261" t="s">
        <v>74</v>
      </c>
      <c r="AJ261" t="s">
        <v>74</v>
      </c>
      <c r="AK261" t="s">
        <v>74</v>
      </c>
      <c r="AL261" t="s">
        <v>74</v>
      </c>
      <c r="AM261" t="s">
        <v>74</v>
      </c>
      <c r="AN261" t="s">
        <v>74</v>
      </c>
      <c r="AO261" t="s">
        <v>2097</v>
      </c>
      <c r="AP261" t="s">
        <v>2098</v>
      </c>
      <c r="AQ261" t="s">
        <v>74</v>
      </c>
      <c r="AR261" t="s">
        <v>74</v>
      </c>
      <c r="AS261" t="s">
        <v>74</v>
      </c>
      <c r="AT261" t="s">
        <v>520</v>
      </c>
      <c r="AU261">
        <v>2020</v>
      </c>
      <c r="AV261">
        <v>175</v>
      </c>
      <c r="AW261" t="s">
        <v>74</v>
      </c>
      <c r="AX261" t="s">
        <v>74</v>
      </c>
      <c r="AY261" t="s">
        <v>74</v>
      </c>
      <c r="AZ261" t="s">
        <v>74</v>
      </c>
      <c r="BA261" t="s">
        <v>74</v>
      </c>
      <c r="BB261" t="s">
        <v>74</v>
      </c>
      <c r="BC261" t="s">
        <v>74</v>
      </c>
      <c r="BD261">
        <v>105971</v>
      </c>
      <c r="BE261" t="s">
        <v>2099</v>
      </c>
      <c r="BF261" t="str">
        <f>HYPERLINK("http://dx.doi.org/10.1016/j.mimet.2020.105971","http://dx.doi.org/10.1016/j.mimet.2020.105971")</f>
        <v>http://dx.doi.org/10.1016/j.mimet.2020.105971</v>
      </c>
      <c r="BG261" t="s">
        <v>74</v>
      </c>
      <c r="BH261" t="s">
        <v>74</v>
      </c>
      <c r="BI261" t="s">
        <v>74</v>
      </c>
      <c r="BJ261" t="s">
        <v>74</v>
      </c>
      <c r="BK261" t="s">
        <v>74</v>
      </c>
      <c r="BL261" t="s">
        <v>74</v>
      </c>
      <c r="BM261" t="s">
        <v>74</v>
      </c>
      <c r="BN261">
        <v>32544485</v>
      </c>
      <c r="BO261" t="s">
        <v>74</v>
      </c>
      <c r="BP261" t="s">
        <v>74</v>
      </c>
      <c r="BQ261" t="s">
        <v>74</v>
      </c>
      <c r="BR261" t="s">
        <v>74</v>
      </c>
      <c r="BS261" t="s">
        <v>2100</v>
      </c>
      <c r="BT261" t="str">
        <f>HYPERLINK("https%3A%2F%2Fwww.webofscience.com%2Fwos%2Fwoscc%2Ffull-record%2FWOS:000555699100004","View Full Record in Web of Science")</f>
        <v>View Full Record in Web of Science</v>
      </c>
    </row>
    <row r="262" spans="1:72" x14ac:dyDescent="0.2">
      <c r="A262" t="s">
        <v>72</v>
      </c>
      <c r="B262" t="s">
        <v>2101</v>
      </c>
      <c r="C262" t="s">
        <v>74</v>
      </c>
      <c r="D262" t="s">
        <v>74</v>
      </c>
      <c r="E262" t="s">
        <v>74</v>
      </c>
      <c r="F262" t="s">
        <v>2102</v>
      </c>
      <c r="G262" t="s">
        <v>74</v>
      </c>
      <c r="H262" t="s">
        <v>74</v>
      </c>
      <c r="I262" t="s">
        <v>2103</v>
      </c>
      <c r="J262" t="s">
        <v>502</v>
      </c>
      <c r="K262" t="s">
        <v>74</v>
      </c>
      <c r="L262" t="s">
        <v>74</v>
      </c>
      <c r="M262" t="s">
        <v>74</v>
      </c>
      <c r="N262" t="s">
        <v>74</v>
      </c>
      <c r="O262" t="s">
        <v>74</v>
      </c>
      <c r="P262" t="s">
        <v>74</v>
      </c>
      <c r="Q262" t="s">
        <v>74</v>
      </c>
      <c r="R262" t="s">
        <v>74</v>
      </c>
      <c r="S262" t="s">
        <v>74</v>
      </c>
      <c r="T262" t="s">
        <v>74</v>
      </c>
      <c r="U262" t="s">
        <v>74</v>
      </c>
      <c r="V262" t="s">
        <v>74</v>
      </c>
      <c r="W262" t="s">
        <v>74</v>
      </c>
      <c r="X262" t="s">
        <v>74</v>
      </c>
      <c r="Y262" t="s">
        <v>74</v>
      </c>
      <c r="Z262" t="s">
        <v>74</v>
      </c>
      <c r="AA262" t="s">
        <v>4285</v>
      </c>
      <c r="AB262" t="s">
        <v>4286</v>
      </c>
      <c r="AC262" t="s">
        <v>74</v>
      </c>
      <c r="AD262" t="s">
        <v>74</v>
      </c>
      <c r="AE262" t="s">
        <v>74</v>
      </c>
      <c r="AF262" t="s">
        <v>74</v>
      </c>
      <c r="AG262" t="s">
        <v>74</v>
      </c>
      <c r="AH262" t="s">
        <v>74</v>
      </c>
      <c r="AI262" t="s">
        <v>74</v>
      </c>
      <c r="AJ262" t="s">
        <v>74</v>
      </c>
      <c r="AK262" t="s">
        <v>74</v>
      </c>
      <c r="AL262" t="s">
        <v>74</v>
      </c>
      <c r="AM262" t="s">
        <v>74</v>
      </c>
      <c r="AN262" t="s">
        <v>74</v>
      </c>
      <c r="AO262" t="s">
        <v>503</v>
      </c>
      <c r="AP262" t="s">
        <v>504</v>
      </c>
      <c r="AQ262" t="s">
        <v>74</v>
      </c>
      <c r="AR262" t="s">
        <v>74</v>
      </c>
      <c r="AS262" t="s">
        <v>74</v>
      </c>
      <c r="AT262" t="s">
        <v>520</v>
      </c>
      <c r="AU262">
        <v>2020</v>
      </c>
      <c r="AV262">
        <v>115</v>
      </c>
      <c r="AW262" t="s">
        <v>74</v>
      </c>
      <c r="AX262" t="s">
        <v>74</v>
      </c>
      <c r="AY262" t="s">
        <v>74</v>
      </c>
      <c r="AZ262" t="s">
        <v>74</v>
      </c>
      <c r="BA262" t="s">
        <v>74</v>
      </c>
      <c r="BB262" t="s">
        <v>74</v>
      </c>
      <c r="BC262" t="s">
        <v>74</v>
      </c>
      <c r="BD262">
        <v>106466</v>
      </c>
      <c r="BE262" t="s">
        <v>2104</v>
      </c>
      <c r="BF262" t="str">
        <f>HYPERLINK("http://dx.doi.org/10.1016/j.ecolind.2020.106466","http://dx.doi.org/10.1016/j.ecolind.2020.106466")</f>
        <v>http://dx.doi.org/10.1016/j.ecolind.2020.106466</v>
      </c>
      <c r="BG262" t="s">
        <v>74</v>
      </c>
      <c r="BH262" t="s">
        <v>74</v>
      </c>
      <c r="BI262" t="s">
        <v>74</v>
      </c>
      <c r="BJ262" t="s">
        <v>74</v>
      </c>
      <c r="BK262" t="s">
        <v>74</v>
      </c>
      <c r="BL262" t="s">
        <v>74</v>
      </c>
      <c r="BM262" t="s">
        <v>74</v>
      </c>
      <c r="BN262" t="s">
        <v>74</v>
      </c>
      <c r="BO262" t="s">
        <v>74</v>
      </c>
      <c r="BP262" t="s">
        <v>74</v>
      </c>
      <c r="BQ262" t="s">
        <v>74</v>
      </c>
      <c r="BR262" t="s">
        <v>74</v>
      </c>
      <c r="BS262" t="s">
        <v>2105</v>
      </c>
      <c r="BT262" t="str">
        <f>HYPERLINK("https%3A%2F%2Fwww.webofscience.com%2Fwos%2Fwoscc%2Ffull-record%2FWOS:000561438700037","View Full Record in Web of Science")</f>
        <v>View Full Record in Web of Science</v>
      </c>
    </row>
    <row r="263" spans="1:72" x14ac:dyDescent="0.2">
      <c r="A263" t="s">
        <v>72</v>
      </c>
      <c r="B263" t="s">
        <v>2106</v>
      </c>
      <c r="C263" t="s">
        <v>74</v>
      </c>
      <c r="D263" t="s">
        <v>74</v>
      </c>
      <c r="E263" t="s">
        <v>74</v>
      </c>
      <c r="F263" t="s">
        <v>2107</v>
      </c>
      <c r="G263" t="s">
        <v>74</v>
      </c>
      <c r="H263" t="s">
        <v>74</v>
      </c>
      <c r="I263" t="s">
        <v>2108</v>
      </c>
      <c r="J263" t="s">
        <v>124</v>
      </c>
      <c r="K263" t="s">
        <v>74</v>
      </c>
      <c r="L263" t="s">
        <v>74</v>
      </c>
      <c r="M263" t="s">
        <v>74</v>
      </c>
      <c r="N263" t="s">
        <v>74</v>
      </c>
      <c r="O263" t="s">
        <v>74</v>
      </c>
      <c r="P263" t="s">
        <v>74</v>
      </c>
      <c r="Q263" t="s">
        <v>74</v>
      </c>
      <c r="R263" t="s">
        <v>74</v>
      </c>
      <c r="S263" t="s">
        <v>74</v>
      </c>
      <c r="T263" t="s">
        <v>74</v>
      </c>
      <c r="U263" t="s">
        <v>74</v>
      </c>
      <c r="V263" t="s">
        <v>74</v>
      </c>
      <c r="W263" t="s">
        <v>74</v>
      </c>
      <c r="X263" t="s">
        <v>74</v>
      </c>
      <c r="Y263" t="s">
        <v>74</v>
      </c>
      <c r="Z263" t="s">
        <v>74</v>
      </c>
      <c r="AA263" t="s">
        <v>6925</v>
      </c>
      <c r="AB263" t="s">
        <v>6926</v>
      </c>
      <c r="AC263" t="s">
        <v>74</v>
      </c>
      <c r="AD263" t="s">
        <v>74</v>
      </c>
      <c r="AE263" t="s">
        <v>74</v>
      </c>
      <c r="AF263" t="s">
        <v>74</v>
      </c>
      <c r="AG263" t="s">
        <v>74</v>
      </c>
      <c r="AH263" t="s">
        <v>74</v>
      </c>
      <c r="AI263" t="s">
        <v>74</v>
      </c>
      <c r="AJ263" t="s">
        <v>74</v>
      </c>
      <c r="AK263" t="s">
        <v>74</v>
      </c>
      <c r="AL263" t="s">
        <v>74</v>
      </c>
      <c r="AM263" t="s">
        <v>74</v>
      </c>
      <c r="AN263" t="s">
        <v>74</v>
      </c>
      <c r="AO263" t="s">
        <v>127</v>
      </c>
      <c r="AP263" t="s">
        <v>128</v>
      </c>
      <c r="AQ263" t="s">
        <v>74</v>
      </c>
      <c r="AR263" t="s">
        <v>74</v>
      </c>
      <c r="AS263" t="s">
        <v>74</v>
      </c>
      <c r="AT263" t="s">
        <v>315</v>
      </c>
      <c r="AU263">
        <v>2021</v>
      </c>
      <c r="AV263">
        <v>848</v>
      </c>
      <c r="AW263">
        <v>1</v>
      </c>
      <c r="AX263" t="s">
        <v>74</v>
      </c>
      <c r="AY263" t="s">
        <v>74</v>
      </c>
      <c r="AZ263" t="s">
        <v>632</v>
      </c>
      <c r="BA263" t="s">
        <v>74</v>
      </c>
      <c r="BB263">
        <v>113</v>
      </c>
      <c r="BC263">
        <v>129</v>
      </c>
      <c r="BD263" t="s">
        <v>74</v>
      </c>
      <c r="BE263" t="s">
        <v>2109</v>
      </c>
      <c r="BF263" t="str">
        <f>HYPERLINK("http://dx.doi.org/10.1007/s10750-020-04340-9","http://dx.doi.org/10.1007/s10750-020-04340-9")</f>
        <v>http://dx.doi.org/10.1007/s10750-020-04340-9</v>
      </c>
      <c r="BG263" t="s">
        <v>74</v>
      </c>
      <c r="BH263" t="s">
        <v>2110</v>
      </c>
      <c r="BI263" t="s">
        <v>74</v>
      </c>
      <c r="BJ263" t="s">
        <v>74</v>
      </c>
      <c r="BK263" t="s">
        <v>74</v>
      </c>
      <c r="BL263" t="s">
        <v>74</v>
      </c>
      <c r="BM263" t="s">
        <v>74</v>
      </c>
      <c r="BN263" t="s">
        <v>74</v>
      </c>
      <c r="BO263" t="s">
        <v>74</v>
      </c>
      <c r="BP263" t="s">
        <v>74</v>
      </c>
      <c r="BQ263" t="s">
        <v>74</v>
      </c>
      <c r="BR263" t="s">
        <v>74</v>
      </c>
      <c r="BS263" t="s">
        <v>2111</v>
      </c>
      <c r="BT263" t="str">
        <f>HYPERLINK("https%3A%2F%2Fwww.webofscience.com%2Fwos%2Fwoscc%2Ffull-record%2FWOS:000547349600001","View Full Record in Web of Science")</f>
        <v>View Full Record in Web of Science</v>
      </c>
    </row>
    <row r="264" spans="1:72" x14ac:dyDescent="0.2">
      <c r="A264" t="s">
        <v>72</v>
      </c>
      <c r="B264" t="s">
        <v>2112</v>
      </c>
      <c r="C264" t="s">
        <v>74</v>
      </c>
      <c r="D264" t="s">
        <v>74</v>
      </c>
      <c r="E264" t="s">
        <v>74</v>
      </c>
      <c r="F264" t="s">
        <v>2113</v>
      </c>
      <c r="G264" t="s">
        <v>74</v>
      </c>
      <c r="H264" t="s">
        <v>74</v>
      </c>
      <c r="I264" t="s">
        <v>2114</v>
      </c>
      <c r="J264" t="s">
        <v>124</v>
      </c>
      <c r="K264" t="s">
        <v>74</v>
      </c>
      <c r="L264" t="s">
        <v>74</v>
      </c>
      <c r="M264" t="s">
        <v>74</v>
      </c>
      <c r="N264" t="s">
        <v>74</v>
      </c>
      <c r="O264" t="s">
        <v>74</v>
      </c>
      <c r="P264" t="s">
        <v>74</v>
      </c>
      <c r="Q264" t="s">
        <v>74</v>
      </c>
      <c r="R264" t="s">
        <v>74</v>
      </c>
      <c r="S264" t="s">
        <v>74</v>
      </c>
      <c r="T264" t="s">
        <v>74</v>
      </c>
      <c r="U264" t="s">
        <v>74</v>
      </c>
      <c r="V264" t="s">
        <v>74</v>
      </c>
      <c r="W264" t="s">
        <v>74</v>
      </c>
      <c r="X264" t="s">
        <v>74</v>
      </c>
      <c r="Y264" t="s">
        <v>74</v>
      </c>
      <c r="Z264" t="s">
        <v>74</v>
      </c>
      <c r="AA264" t="s">
        <v>6927</v>
      </c>
      <c r="AB264" t="s">
        <v>6928</v>
      </c>
      <c r="AC264" t="s">
        <v>74</v>
      </c>
      <c r="AD264" t="s">
        <v>74</v>
      </c>
      <c r="AE264" t="s">
        <v>74</v>
      </c>
      <c r="AF264" t="s">
        <v>74</v>
      </c>
      <c r="AG264" t="s">
        <v>74</v>
      </c>
      <c r="AH264" t="s">
        <v>74</v>
      </c>
      <c r="AI264" t="s">
        <v>74</v>
      </c>
      <c r="AJ264" t="s">
        <v>74</v>
      </c>
      <c r="AK264" t="s">
        <v>74</v>
      </c>
      <c r="AL264" t="s">
        <v>74</v>
      </c>
      <c r="AM264" t="s">
        <v>74</v>
      </c>
      <c r="AN264" t="s">
        <v>74</v>
      </c>
      <c r="AO264" t="s">
        <v>127</v>
      </c>
      <c r="AP264" t="s">
        <v>128</v>
      </c>
      <c r="AQ264" t="s">
        <v>74</v>
      </c>
      <c r="AR264" t="s">
        <v>74</v>
      </c>
      <c r="AS264" t="s">
        <v>74</v>
      </c>
      <c r="AT264" t="s">
        <v>315</v>
      </c>
      <c r="AU264">
        <v>2021</v>
      </c>
      <c r="AV264">
        <v>848</v>
      </c>
      <c r="AW264">
        <v>1</v>
      </c>
      <c r="AX264" t="s">
        <v>74</v>
      </c>
      <c r="AY264" t="s">
        <v>74</v>
      </c>
      <c r="AZ264" t="s">
        <v>632</v>
      </c>
      <c r="BA264" t="s">
        <v>74</v>
      </c>
      <c r="BB264">
        <v>53</v>
      </c>
      <c r="BC264">
        <v>75</v>
      </c>
      <c r="BD264" t="s">
        <v>74</v>
      </c>
      <c r="BE264" t="s">
        <v>2115</v>
      </c>
      <c r="BF264" t="str">
        <f>HYPERLINK("http://dx.doi.org/10.1007/s10750-020-04332-9","http://dx.doi.org/10.1007/s10750-020-04332-9")</f>
        <v>http://dx.doi.org/10.1007/s10750-020-04332-9</v>
      </c>
      <c r="BG264" t="s">
        <v>74</v>
      </c>
      <c r="BH264" t="s">
        <v>2110</v>
      </c>
      <c r="BI264" t="s">
        <v>74</v>
      </c>
      <c r="BJ264" t="s">
        <v>74</v>
      </c>
      <c r="BK264" t="s">
        <v>74</v>
      </c>
      <c r="BL264" t="s">
        <v>74</v>
      </c>
      <c r="BM264" t="s">
        <v>74</v>
      </c>
      <c r="BN264">
        <v>32836348</v>
      </c>
      <c r="BO264" t="s">
        <v>74</v>
      </c>
      <c r="BP264" t="s">
        <v>74</v>
      </c>
      <c r="BQ264" t="s">
        <v>74</v>
      </c>
      <c r="BR264" t="s">
        <v>74</v>
      </c>
      <c r="BS264" t="s">
        <v>2116</v>
      </c>
      <c r="BT264" t="str">
        <f>HYPERLINK("https%3A%2F%2Fwww.webofscience.com%2Fwos%2Fwoscc%2Ffull-record%2FWOS:000545306000001","View Full Record in Web of Science")</f>
        <v>View Full Record in Web of Science</v>
      </c>
    </row>
    <row r="265" spans="1:72" x14ac:dyDescent="0.2">
      <c r="A265" t="s">
        <v>72</v>
      </c>
      <c r="B265" t="s">
        <v>2117</v>
      </c>
      <c r="C265" t="s">
        <v>74</v>
      </c>
      <c r="D265" t="s">
        <v>74</v>
      </c>
      <c r="E265" t="s">
        <v>74</v>
      </c>
      <c r="F265" t="s">
        <v>2118</v>
      </c>
      <c r="G265" t="s">
        <v>74</v>
      </c>
      <c r="H265" t="s">
        <v>74</v>
      </c>
      <c r="I265" t="s">
        <v>2119</v>
      </c>
      <c r="J265" t="s">
        <v>934</v>
      </c>
      <c r="K265" t="s">
        <v>74</v>
      </c>
      <c r="L265" t="s">
        <v>74</v>
      </c>
      <c r="M265" t="s">
        <v>74</v>
      </c>
      <c r="N265" t="s">
        <v>74</v>
      </c>
      <c r="O265" t="s">
        <v>74</v>
      </c>
      <c r="P265" t="s">
        <v>74</v>
      </c>
      <c r="Q265" t="s">
        <v>74</v>
      </c>
      <c r="R265" t="s">
        <v>74</v>
      </c>
      <c r="S265" t="s">
        <v>74</v>
      </c>
      <c r="T265" t="s">
        <v>74</v>
      </c>
      <c r="U265" t="s">
        <v>74</v>
      </c>
      <c r="V265" t="s">
        <v>74</v>
      </c>
      <c r="W265" t="s">
        <v>74</v>
      </c>
      <c r="X265" t="s">
        <v>74</v>
      </c>
      <c r="Y265" t="s">
        <v>74</v>
      </c>
      <c r="Z265" t="s">
        <v>74</v>
      </c>
      <c r="AA265" t="s">
        <v>6929</v>
      </c>
      <c r="AB265" t="s">
        <v>6930</v>
      </c>
      <c r="AC265" t="s">
        <v>74</v>
      </c>
      <c r="AD265" t="s">
        <v>74</v>
      </c>
      <c r="AE265" t="s">
        <v>74</v>
      </c>
      <c r="AF265" t="s">
        <v>74</v>
      </c>
      <c r="AG265" t="s">
        <v>74</v>
      </c>
      <c r="AH265" t="s">
        <v>74</v>
      </c>
      <c r="AI265" t="s">
        <v>74</v>
      </c>
      <c r="AJ265" t="s">
        <v>74</v>
      </c>
      <c r="AK265" t="s">
        <v>74</v>
      </c>
      <c r="AL265" t="s">
        <v>74</v>
      </c>
      <c r="AM265" t="s">
        <v>74</v>
      </c>
      <c r="AN265" t="s">
        <v>74</v>
      </c>
      <c r="AO265" t="s">
        <v>936</v>
      </c>
      <c r="AP265" t="s">
        <v>937</v>
      </c>
      <c r="AQ265" t="s">
        <v>74</v>
      </c>
      <c r="AR265" t="s">
        <v>74</v>
      </c>
      <c r="AS265" t="s">
        <v>74</v>
      </c>
      <c r="AT265" t="s">
        <v>624</v>
      </c>
      <c r="AU265">
        <v>2020</v>
      </c>
      <c r="AV265">
        <v>97</v>
      </c>
      <c r="AW265">
        <v>1</v>
      </c>
      <c r="AX265" t="s">
        <v>74</v>
      </c>
      <c r="AY265" t="s">
        <v>74</v>
      </c>
      <c r="AZ265" t="s">
        <v>74</v>
      </c>
      <c r="BA265" t="s">
        <v>74</v>
      </c>
      <c r="BB265">
        <v>64</v>
      </c>
      <c r="BC265">
        <v>74</v>
      </c>
      <c r="BD265" t="s">
        <v>74</v>
      </c>
      <c r="BE265" t="s">
        <v>2120</v>
      </c>
      <c r="BF265" t="str">
        <f>HYPERLINK("http://dx.doi.org/10.1111/jfb.14326","http://dx.doi.org/10.1111/jfb.14326")</f>
        <v>http://dx.doi.org/10.1111/jfb.14326</v>
      </c>
      <c r="BG265" t="s">
        <v>74</v>
      </c>
      <c r="BH265" t="s">
        <v>74</v>
      </c>
      <c r="BI265" t="s">
        <v>74</v>
      </c>
      <c r="BJ265" t="s">
        <v>74</v>
      </c>
      <c r="BK265" t="s">
        <v>74</v>
      </c>
      <c r="BL265" t="s">
        <v>74</v>
      </c>
      <c r="BM265" t="s">
        <v>74</v>
      </c>
      <c r="BN265">
        <v>32189344</v>
      </c>
      <c r="BO265" t="s">
        <v>74</v>
      </c>
      <c r="BP265" t="s">
        <v>74</v>
      </c>
      <c r="BQ265" t="s">
        <v>74</v>
      </c>
      <c r="BR265" t="s">
        <v>74</v>
      </c>
      <c r="BS265" t="s">
        <v>2121</v>
      </c>
      <c r="BT265" t="str">
        <f>HYPERLINK("https%3A%2F%2Fwww.webofscience.com%2Fwos%2Fwoscc%2Ffull-record%2FWOS:000549533100007","View Full Record in Web of Science")</f>
        <v>View Full Record in Web of Science</v>
      </c>
    </row>
    <row r="266" spans="1:72" x14ac:dyDescent="0.2">
      <c r="A266" t="s">
        <v>72</v>
      </c>
      <c r="B266" t="s">
        <v>2122</v>
      </c>
      <c r="C266" t="s">
        <v>74</v>
      </c>
      <c r="D266" t="s">
        <v>74</v>
      </c>
      <c r="E266" t="s">
        <v>74</v>
      </c>
      <c r="F266" t="s">
        <v>2123</v>
      </c>
      <c r="G266" t="s">
        <v>74</v>
      </c>
      <c r="H266" t="s">
        <v>74</v>
      </c>
      <c r="I266" t="s">
        <v>2124</v>
      </c>
      <c r="J266" t="s">
        <v>2125</v>
      </c>
      <c r="K266" t="s">
        <v>74</v>
      </c>
      <c r="L266" t="s">
        <v>74</v>
      </c>
      <c r="M266" t="s">
        <v>74</v>
      </c>
      <c r="N266" t="s">
        <v>74</v>
      </c>
      <c r="O266" t="s">
        <v>74</v>
      </c>
      <c r="P266" t="s">
        <v>74</v>
      </c>
      <c r="Q266" t="s">
        <v>74</v>
      </c>
      <c r="R266" t="s">
        <v>74</v>
      </c>
      <c r="S266" t="s">
        <v>74</v>
      </c>
      <c r="T266" t="s">
        <v>74</v>
      </c>
      <c r="U266" t="s">
        <v>74</v>
      </c>
      <c r="V266" t="s">
        <v>74</v>
      </c>
      <c r="W266" t="s">
        <v>74</v>
      </c>
      <c r="X266" t="s">
        <v>74</v>
      </c>
      <c r="Y266" t="s">
        <v>74</v>
      </c>
      <c r="Z266" t="s">
        <v>74</v>
      </c>
      <c r="AA266" t="s">
        <v>2126</v>
      </c>
      <c r="AB266" t="s">
        <v>74</v>
      </c>
      <c r="AC266" t="s">
        <v>74</v>
      </c>
      <c r="AD266" t="s">
        <v>74</v>
      </c>
      <c r="AE266" t="s">
        <v>74</v>
      </c>
      <c r="AF266" t="s">
        <v>74</v>
      </c>
      <c r="AG266" t="s">
        <v>74</v>
      </c>
      <c r="AH266" t="s">
        <v>74</v>
      </c>
      <c r="AI266" t="s">
        <v>74</v>
      </c>
      <c r="AJ266" t="s">
        <v>74</v>
      </c>
      <c r="AK266" t="s">
        <v>74</v>
      </c>
      <c r="AL266" t="s">
        <v>74</v>
      </c>
      <c r="AM266" t="s">
        <v>74</v>
      </c>
      <c r="AN266" t="s">
        <v>74</v>
      </c>
      <c r="AO266" t="s">
        <v>2127</v>
      </c>
      <c r="AP266" t="s">
        <v>2128</v>
      </c>
      <c r="AQ266" t="s">
        <v>74</v>
      </c>
      <c r="AR266" t="s">
        <v>74</v>
      </c>
      <c r="AS266" t="s">
        <v>74</v>
      </c>
      <c r="AT266" t="s">
        <v>624</v>
      </c>
      <c r="AU266">
        <v>2020</v>
      </c>
      <c r="AV266">
        <v>89</v>
      </c>
      <c r="AW266">
        <v>4</v>
      </c>
      <c r="AX266" t="s">
        <v>74</v>
      </c>
      <c r="AY266" t="s">
        <v>74</v>
      </c>
      <c r="AZ266" t="s">
        <v>74</v>
      </c>
      <c r="BA266" t="s">
        <v>74</v>
      </c>
      <c r="BB266">
        <v>450</v>
      </c>
      <c r="BC266">
        <v>470</v>
      </c>
      <c r="BD266" t="s">
        <v>74</v>
      </c>
      <c r="BE266" t="s">
        <v>2129</v>
      </c>
      <c r="BF266" t="str">
        <f>HYPERLINK("http://dx.doi.org/10.1163/18759866-bja10011","http://dx.doi.org/10.1163/18759866-bja10011")</f>
        <v>http://dx.doi.org/10.1163/18759866-bja10011</v>
      </c>
      <c r="BG266" t="s">
        <v>74</v>
      </c>
      <c r="BH266" t="s">
        <v>74</v>
      </c>
      <c r="BI266" t="s">
        <v>74</v>
      </c>
      <c r="BJ266" t="s">
        <v>74</v>
      </c>
      <c r="BK266" t="s">
        <v>74</v>
      </c>
      <c r="BL266" t="s">
        <v>74</v>
      </c>
      <c r="BM266" t="s">
        <v>74</v>
      </c>
      <c r="BN266" t="s">
        <v>74</v>
      </c>
      <c r="BO266" t="s">
        <v>74</v>
      </c>
      <c r="BP266" t="s">
        <v>74</v>
      </c>
      <c r="BQ266" t="s">
        <v>74</v>
      </c>
      <c r="BR266" t="s">
        <v>74</v>
      </c>
      <c r="BS266" t="s">
        <v>2130</v>
      </c>
      <c r="BT266" t="str">
        <f>HYPERLINK("https%3A%2F%2Fwww.webofscience.com%2Fwos%2Fwoscc%2Ffull-record%2FWOS:000549773700006","View Full Record in Web of Science")</f>
        <v>View Full Record in Web of Science</v>
      </c>
    </row>
    <row r="267" spans="1:72" x14ac:dyDescent="0.2">
      <c r="A267" t="s">
        <v>72</v>
      </c>
      <c r="B267" t="s">
        <v>2131</v>
      </c>
      <c r="C267" t="s">
        <v>74</v>
      </c>
      <c r="D267" t="s">
        <v>74</v>
      </c>
      <c r="E267" t="s">
        <v>74</v>
      </c>
      <c r="F267" t="s">
        <v>2132</v>
      </c>
      <c r="G267" t="s">
        <v>74</v>
      </c>
      <c r="H267" t="s">
        <v>74</v>
      </c>
      <c r="I267" t="s">
        <v>2133</v>
      </c>
      <c r="J267" t="s">
        <v>596</v>
      </c>
      <c r="K267" t="s">
        <v>74</v>
      </c>
      <c r="L267" t="s">
        <v>74</v>
      </c>
      <c r="M267" t="s">
        <v>74</v>
      </c>
      <c r="N267" t="s">
        <v>74</v>
      </c>
      <c r="O267" t="s">
        <v>74</v>
      </c>
      <c r="P267" t="s">
        <v>74</v>
      </c>
      <c r="Q267" t="s">
        <v>74</v>
      </c>
      <c r="R267" t="s">
        <v>74</v>
      </c>
      <c r="S267" t="s">
        <v>74</v>
      </c>
      <c r="T267" t="s">
        <v>74</v>
      </c>
      <c r="U267" t="s">
        <v>74</v>
      </c>
      <c r="V267" t="s">
        <v>74</v>
      </c>
      <c r="W267" t="s">
        <v>74</v>
      </c>
      <c r="X267" t="s">
        <v>74</v>
      </c>
      <c r="Y267" t="s">
        <v>74</v>
      </c>
      <c r="Z267" t="s">
        <v>74</v>
      </c>
      <c r="AA267" t="s">
        <v>2134</v>
      </c>
      <c r="AB267" t="s">
        <v>2135</v>
      </c>
      <c r="AC267" t="s">
        <v>74</v>
      </c>
      <c r="AD267" t="s">
        <v>74</v>
      </c>
      <c r="AE267" t="s">
        <v>74</v>
      </c>
      <c r="AF267" t="s">
        <v>74</v>
      </c>
      <c r="AG267" t="s">
        <v>74</v>
      </c>
      <c r="AH267" t="s">
        <v>74</v>
      </c>
      <c r="AI267" t="s">
        <v>74</v>
      </c>
      <c r="AJ267" t="s">
        <v>74</v>
      </c>
      <c r="AK267" t="s">
        <v>74</v>
      </c>
      <c r="AL267" t="s">
        <v>74</v>
      </c>
      <c r="AM267" t="s">
        <v>74</v>
      </c>
      <c r="AN267" t="s">
        <v>74</v>
      </c>
      <c r="AO267" t="s">
        <v>597</v>
      </c>
      <c r="AP267" t="s">
        <v>74</v>
      </c>
      <c r="AQ267" t="s">
        <v>74</v>
      </c>
      <c r="AR267" t="s">
        <v>74</v>
      </c>
      <c r="AS267" t="s">
        <v>74</v>
      </c>
      <c r="AT267" t="s">
        <v>624</v>
      </c>
      <c r="AU267">
        <v>2020</v>
      </c>
      <c r="AV267">
        <v>11</v>
      </c>
      <c r="AW267">
        <v>7</v>
      </c>
      <c r="AX267" t="s">
        <v>74</v>
      </c>
      <c r="AY267" t="s">
        <v>74</v>
      </c>
      <c r="AZ267" t="s">
        <v>74</v>
      </c>
      <c r="BA267" t="s">
        <v>74</v>
      </c>
      <c r="BB267" t="s">
        <v>74</v>
      </c>
      <c r="BC267" t="s">
        <v>74</v>
      </c>
      <c r="BD267" t="s">
        <v>2136</v>
      </c>
      <c r="BE267" t="s">
        <v>2137</v>
      </c>
      <c r="BF267" t="str">
        <f>HYPERLINK("http://dx.doi.org/10.1002/ecs2.3192","http://dx.doi.org/10.1002/ecs2.3192")</f>
        <v>http://dx.doi.org/10.1002/ecs2.3192</v>
      </c>
      <c r="BG267" t="s">
        <v>74</v>
      </c>
      <c r="BH267" t="s">
        <v>74</v>
      </c>
      <c r="BI267" t="s">
        <v>74</v>
      </c>
      <c r="BJ267" t="s">
        <v>74</v>
      </c>
      <c r="BK267" t="s">
        <v>74</v>
      </c>
      <c r="BL267" t="s">
        <v>74</v>
      </c>
      <c r="BM267" t="s">
        <v>74</v>
      </c>
      <c r="BN267" t="s">
        <v>74</v>
      </c>
      <c r="BO267" t="s">
        <v>74</v>
      </c>
      <c r="BP267" t="s">
        <v>74</v>
      </c>
      <c r="BQ267" t="s">
        <v>74</v>
      </c>
      <c r="BR267" t="s">
        <v>74</v>
      </c>
      <c r="BS267" t="s">
        <v>2138</v>
      </c>
      <c r="BT267" t="str">
        <f>HYPERLINK("https%3A%2F%2Fwww.webofscience.com%2Fwos%2Fwoscc%2Ffull-record%2FWOS:000567408500023","View Full Record in Web of Science")</f>
        <v>View Full Record in Web of Science</v>
      </c>
    </row>
    <row r="268" spans="1:72" x14ac:dyDescent="0.2">
      <c r="A268" t="s">
        <v>72</v>
      </c>
      <c r="B268" t="s">
        <v>2139</v>
      </c>
      <c r="C268" t="s">
        <v>74</v>
      </c>
      <c r="D268" t="s">
        <v>74</v>
      </c>
      <c r="E268" t="s">
        <v>74</v>
      </c>
      <c r="F268" t="s">
        <v>2140</v>
      </c>
      <c r="G268" t="s">
        <v>74</v>
      </c>
      <c r="H268" t="s">
        <v>74</v>
      </c>
      <c r="I268" t="s">
        <v>2141</v>
      </c>
      <c r="J268" t="s">
        <v>145</v>
      </c>
      <c r="K268" t="s">
        <v>74</v>
      </c>
      <c r="L268" t="s">
        <v>74</v>
      </c>
      <c r="M268" t="s">
        <v>74</v>
      </c>
      <c r="N268" t="s">
        <v>74</v>
      </c>
      <c r="O268" t="s">
        <v>74</v>
      </c>
      <c r="P268" t="s">
        <v>74</v>
      </c>
      <c r="Q268" t="s">
        <v>74</v>
      </c>
      <c r="R268" t="s">
        <v>74</v>
      </c>
      <c r="S268" t="s">
        <v>74</v>
      </c>
      <c r="T268" t="s">
        <v>74</v>
      </c>
      <c r="U268" t="s">
        <v>74</v>
      </c>
      <c r="V268" t="s">
        <v>74</v>
      </c>
      <c r="W268" t="s">
        <v>74</v>
      </c>
      <c r="X268" t="s">
        <v>74</v>
      </c>
      <c r="Y268" t="s">
        <v>74</v>
      </c>
      <c r="Z268" t="s">
        <v>74</v>
      </c>
      <c r="AA268" t="s">
        <v>74</v>
      </c>
      <c r="AB268" t="s">
        <v>2142</v>
      </c>
      <c r="AC268" t="s">
        <v>74</v>
      </c>
      <c r="AD268" t="s">
        <v>74</v>
      </c>
      <c r="AE268" t="s">
        <v>74</v>
      </c>
      <c r="AF268" t="s">
        <v>74</v>
      </c>
      <c r="AG268" t="s">
        <v>74</v>
      </c>
      <c r="AH268" t="s">
        <v>74</v>
      </c>
      <c r="AI268" t="s">
        <v>74</v>
      </c>
      <c r="AJ268" t="s">
        <v>74</v>
      </c>
      <c r="AK268" t="s">
        <v>74</v>
      </c>
      <c r="AL268" t="s">
        <v>74</v>
      </c>
      <c r="AM268" t="s">
        <v>74</v>
      </c>
      <c r="AN268" t="s">
        <v>74</v>
      </c>
      <c r="AO268" t="s">
        <v>146</v>
      </c>
      <c r="AP268" t="s">
        <v>147</v>
      </c>
      <c r="AQ268" t="s">
        <v>74</v>
      </c>
      <c r="AR268" t="s">
        <v>74</v>
      </c>
      <c r="AS268" t="s">
        <v>74</v>
      </c>
      <c r="AT268" t="s">
        <v>2143</v>
      </c>
      <c r="AU268">
        <v>2020</v>
      </c>
      <c r="AV268">
        <v>723</v>
      </c>
      <c r="AW268" t="s">
        <v>74</v>
      </c>
      <c r="AX268" t="s">
        <v>74</v>
      </c>
      <c r="AY268" t="s">
        <v>74</v>
      </c>
      <c r="AZ268" t="s">
        <v>74</v>
      </c>
      <c r="BA268" t="s">
        <v>74</v>
      </c>
      <c r="BB268" t="s">
        <v>74</v>
      </c>
      <c r="BC268" t="s">
        <v>74</v>
      </c>
      <c r="BD268">
        <v>137963</v>
      </c>
      <c r="BE268" t="s">
        <v>2144</v>
      </c>
      <c r="BF268" t="str">
        <f>HYPERLINK("http://dx.doi.org/10.1016/j.scitotenv.2020.137963","http://dx.doi.org/10.1016/j.scitotenv.2020.137963")</f>
        <v>http://dx.doi.org/10.1016/j.scitotenv.2020.137963</v>
      </c>
      <c r="BG268" t="s">
        <v>74</v>
      </c>
      <c r="BH268" t="s">
        <v>74</v>
      </c>
      <c r="BI268" t="s">
        <v>74</v>
      </c>
      <c r="BJ268" t="s">
        <v>74</v>
      </c>
      <c r="BK268" t="s">
        <v>74</v>
      </c>
      <c r="BL268" t="s">
        <v>74</v>
      </c>
      <c r="BM268" t="s">
        <v>74</v>
      </c>
      <c r="BN268">
        <v>32217401</v>
      </c>
      <c r="BO268" t="s">
        <v>74</v>
      </c>
      <c r="BP268" t="s">
        <v>74</v>
      </c>
      <c r="BQ268" t="s">
        <v>74</v>
      </c>
      <c r="BR268" t="s">
        <v>74</v>
      </c>
      <c r="BS268" t="s">
        <v>2145</v>
      </c>
      <c r="BT268" t="str">
        <f>HYPERLINK("https%3A%2F%2Fwww.webofscience.com%2Fwos%2Fwoscc%2Ffull-record%2FWOS:000535465200006","View Full Record in Web of Science")</f>
        <v>View Full Record in Web of Science</v>
      </c>
    </row>
    <row r="269" spans="1:72" x14ac:dyDescent="0.2">
      <c r="A269" t="s">
        <v>72</v>
      </c>
      <c r="B269" t="s">
        <v>2146</v>
      </c>
      <c r="C269" t="s">
        <v>74</v>
      </c>
      <c r="D269" t="s">
        <v>74</v>
      </c>
      <c r="E269" t="s">
        <v>74</v>
      </c>
      <c r="F269" t="s">
        <v>2147</v>
      </c>
      <c r="G269" t="s">
        <v>74</v>
      </c>
      <c r="H269" t="s">
        <v>74</v>
      </c>
      <c r="I269" t="s">
        <v>2148</v>
      </c>
      <c r="J269" t="s">
        <v>673</v>
      </c>
      <c r="K269" t="s">
        <v>74</v>
      </c>
      <c r="L269" t="s">
        <v>74</v>
      </c>
      <c r="M269" t="s">
        <v>74</v>
      </c>
      <c r="N269" t="s">
        <v>74</v>
      </c>
      <c r="O269" t="s">
        <v>74</v>
      </c>
      <c r="P269" t="s">
        <v>74</v>
      </c>
      <c r="Q269" t="s">
        <v>74</v>
      </c>
      <c r="R269" t="s">
        <v>74</v>
      </c>
      <c r="S269" t="s">
        <v>74</v>
      </c>
      <c r="T269" t="s">
        <v>74</v>
      </c>
      <c r="U269" t="s">
        <v>74</v>
      </c>
      <c r="V269" t="s">
        <v>74</v>
      </c>
      <c r="W269" t="s">
        <v>74</v>
      </c>
      <c r="X269" t="s">
        <v>74</v>
      </c>
      <c r="Y269" t="s">
        <v>74</v>
      </c>
      <c r="Z269" t="s">
        <v>74</v>
      </c>
      <c r="AA269" t="s">
        <v>74</v>
      </c>
      <c r="AB269" t="s">
        <v>2149</v>
      </c>
      <c r="AC269" t="s">
        <v>74</v>
      </c>
      <c r="AD269" t="s">
        <v>74</v>
      </c>
      <c r="AE269" t="s">
        <v>74</v>
      </c>
      <c r="AF269" t="s">
        <v>74</v>
      </c>
      <c r="AG269" t="s">
        <v>74</v>
      </c>
      <c r="AH269" t="s">
        <v>74</v>
      </c>
      <c r="AI269" t="s">
        <v>74</v>
      </c>
      <c r="AJ269" t="s">
        <v>74</v>
      </c>
      <c r="AK269" t="s">
        <v>74</v>
      </c>
      <c r="AL269" t="s">
        <v>74</v>
      </c>
      <c r="AM269" t="s">
        <v>74</v>
      </c>
      <c r="AN269" t="s">
        <v>74</v>
      </c>
      <c r="AO269" t="s">
        <v>674</v>
      </c>
      <c r="AP269" t="s">
        <v>675</v>
      </c>
      <c r="AQ269" t="s">
        <v>74</v>
      </c>
      <c r="AR269" t="s">
        <v>74</v>
      </c>
      <c r="AS269" t="s">
        <v>74</v>
      </c>
      <c r="AT269" t="s">
        <v>1208</v>
      </c>
      <c r="AU269">
        <v>2020</v>
      </c>
      <c r="AV269">
        <v>196</v>
      </c>
      <c r="AW269" t="s">
        <v>74</v>
      </c>
      <c r="AX269" t="s">
        <v>74</v>
      </c>
      <c r="AY269" t="s">
        <v>74</v>
      </c>
      <c r="AZ269" t="s">
        <v>74</v>
      </c>
      <c r="BA269" t="s">
        <v>74</v>
      </c>
      <c r="BB269" t="s">
        <v>74</v>
      </c>
      <c r="BC269" t="s">
        <v>74</v>
      </c>
      <c r="BD269">
        <v>110501</v>
      </c>
      <c r="BE269" t="s">
        <v>2150</v>
      </c>
      <c r="BF269" t="str">
        <f>HYPERLINK("http://dx.doi.org/10.1016/j.ecoenv.2020.110501","http://dx.doi.org/10.1016/j.ecoenv.2020.110501")</f>
        <v>http://dx.doi.org/10.1016/j.ecoenv.2020.110501</v>
      </c>
      <c r="BG269" t="s">
        <v>74</v>
      </c>
      <c r="BH269" t="s">
        <v>74</v>
      </c>
      <c r="BI269" t="s">
        <v>74</v>
      </c>
      <c r="BJ269" t="s">
        <v>74</v>
      </c>
      <c r="BK269" t="s">
        <v>74</v>
      </c>
      <c r="BL269" t="s">
        <v>74</v>
      </c>
      <c r="BM269" t="s">
        <v>74</v>
      </c>
      <c r="BN269">
        <v>32247958</v>
      </c>
      <c r="BO269" t="s">
        <v>74</v>
      </c>
      <c r="BP269" t="s">
        <v>74</v>
      </c>
      <c r="BQ269" t="s">
        <v>74</v>
      </c>
      <c r="BR269" t="s">
        <v>74</v>
      </c>
      <c r="BS269" t="s">
        <v>2151</v>
      </c>
      <c r="BT269" t="str">
        <f>HYPERLINK("https%3A%2F%2Fwww.webofscience.com%2Fwos%2Fwoscc%2Ffull-record%2FWOS:000525763800020","View Full Record in Web of Science")</f>
        <v>View Full Record in Web of Science</v>
      </c>
    </row>
    <row r="270" spans="1:72" x14ac:dyDescent="0.2">
      <c r="A270" t="s">
        <v>72</v>
      </c>
      <c r="B270" t="s">
        <v>2152</v>
      </c>
      <c r="C270" t="s">
        <v>74</v>
      </c>
      <c r="D270" t="s">
        <v>74</v>
      </c>
      <c r="E270" t="s">
        <v>74</v>
      </c>
      <c r="F270" t="s">
        <v>2153</v>
      </c>
      <c r="G270" t="s">
        <v>74</v>
      </c>
      <c r="H270" t="s">
        <v>74</v>
      </c>
      <c r="I270" t="s">
        <v>2154</v>
      </c>
      <c r="J270" t="s">
        <v>171</v>
      </c>
      <c r="K270" t="s">
        <v>74</v>
      </c>
      <c r="L270" t="s">
        <v>74</v>
      </c>
      <c r="M270" t="s">
        <v>74</v>
      </c>
      <c r="N270" t="s">
        <v>74</v>
      </c>
      <c r="O270" t="s">
        <v>74</v>
      </c>
      <c r="P270" t="s">
        <v>74</v>
      </c>
      <c r="Q270" t="s">
        <v>74</v>
      </c>
      <c r="R270" t="s">
        <v>74</v>
      </c>
      <c r="S270" t="s">
        <v>74</v>
      </c>
      <c r="T270" t="s">
        <v>74</v>
      </c>
      <c r="U270" t="s">
        <v>74</v>
      </c>
      <c r="V270" t="s">
        <v>74</v>
      </c>
      <c r="W270" t="s">
        <v>74</v>
      </c>
      <c r="X270" t="s">
        <v>74</v>
      </c>
      <c r="Y270" t="s">
        <v>74</v>
      </c>
      <c r="Z270" t="s">
        <v>74</v>
      </c>
      <c r="AA270" t="s">
        <v>2155</v>
      </c>
      <c r="AB270" t="s">
        <v>6931</v>
      </c>
      <c r="AC270" t="s">
        <v>74</v>
      </c>
      <c r="AD270" t="s">
        <v>74</v>
      </c>
      <c r="AE270" t="s">
        <v>74</v>
      </c>
      <c r="AF270" t="s">
        <v>74</v>
      </c>
      <c r="AG270" t="s">
        <v>74</v>
      </c>
      <c r="AH270" t="s">
        <v>74</v>
      </c>
      <c r="AI270" t="s">
        <v>74</v>
      </c>
      <c r="AJ270" t="s">
        <v>74</v>
      </c>
      <c r="AK270" t="s">
        <v>74</v>
      </c>
      <c r="AL270" t="s">
        <v>74</v>
      </c>
      <c r="AM270" t="s">
        <v>74</v>
      </c>
      <c r="AN270" t="s">
        <v>74</v>
      </c>
      <c r="AO270" t="s">
        <v>172</v>
      </c>
      <c r="AP270" t="s">
        <v>74</v>
      </c>
      <c r="AQ270" t="s">
        <v>74</v>
      </c>
      <c r="AR270" t="s">
        <v>74</v>
      </c>
      <c r="AS270" t="s">
        <v>74</v>
      </c>
      <c r="AT270" t="s">
        <v>1208</v>
      </c>
      <c r="AU270">
        <v>2020</v>
      </c>
      <c r="AV270">
        <v>177</v>
      </c>
      <c r="AW270" t="s">
        <v>74</v>
      </c>
      <c r="AX270" t="s">
        <v>74</v>
      </c>
      <c r="AY270" t="s">
        <v>74</v>
      </c>
      <c r="AZ270" t="s">
        <v>74</v>
      </c>
      <c r="BA270" t="s">
        <v>74</v>
      </c>
      <c r="BB270" t="s">
        <v>74</v>
      </c>
      <c r="BC270" t="s">
        <v>74</v>
      </c>
      <c r="BD270">
        <v>115806</v>
      </c>
      <c r="BE270" t="s">
        <v>2156</v>
      </c>
      <c r="BF270" t="str">
        <f>HYPERLINK("http://dx.doi.org/10.1016/j.watres.2020.115806","http://dx.doi.org/10.1016/j.watres.2020.115806")</f>
        <v>http://dx.doi.org/10.1016/j.watres.2020.115806</v>
      </c>
      <c r="BG270" t="s">
        <v>74</v>
      </c>
      <c r="BH270" t="s">
        <v>74</v>
      </c>
      <c r="BI270" t="s">
        <v>74</v>
      </c>
      <c r="BJ270" t="s">
        <v>74</v>
      </c>
      <c r="BK270" t="s">
        <v>74</v>
      </c>
      <c r="BL270" t="s">
        <v>74</v>
      </c>
      <c r="BM270" t="s">
        <v>74</v>
      </c>
      <c r="BN270">
        <v>32311578</v>
      </c>
      <c r="BO270" t="s">
        <v>74</v>
      </c>
      <c r="BP270" t="s">
        <v>74</v>
      </c>
      <c r="BQ270" t="s">
        <v>74</v>
      </c>
      <c r="BR270" t="s">
        <v>74</v>
      </c>
      <c r="BS270" t="s">
        <v>2157</v>
      </c>
      <c r="BT270" t="str">
        <f>HYPERLINK("https%3A%2F%2Fwww.webofscience.com%2Fwos%2Fwoscc%2Ffull-record%2FWOS:000530241100030","View Full Record in Web of Science")</f>
        <v>View Full Record in Web of Science</v>
      </c>
    </row>
    <row r="271" spans="1:72" x14ac:dyDescent="0.2">
      <c r="A271" t="s">
        <v>72</v>
      </c>
      <c r="B271" t="s">
        <v>2158</v>
      </c>
      <c r="C271" t="s">
        <v>74</v>
      </c>
      <c r="D271" t="s">
        <v>74</v>
      </c>
      <c r="E271" t="s">
        <v>74</v>
      </c>
      <c r="F271" t="s">
        <v>2159</v>
      </c>
      <c r="G271" t="s">
        <v>74</v>
      </c>
      <c r="H271" t="s">
        <v>74</v>
      </c>
      <c r="I271" t="s">
        <v>2160</v>
      </c>
      <c r="J271" t="s">
        <v>1063</v>
      </c>
      <c r="K271" t="s">
        <v>74</v>
      </c>
      <c r="L271" t="s">
        <v>74</v>
      </c>
      <c r="M271" t="s">
        <v>74</v>
      </c>
      <c r="N271" t="s">
        <v>74</v>
      </c>
      <c r="O271" t="s">
        <v>74</v>
      </c>
      <c r="P271" t="s">
        <v>74</v>
      </c>
      <c r="Q271" t="s">
        <v>74</v>
      </c>
      <c r="R271" t="s">
        <v>74</v>
      </c>
      <c r="S271" t="s">
        <v>74</v>
      </c>
      <c r="T271" t="s">
        <v>74</v>
      </c>
      <c r="U271" t="s">
        <v>74</v>
      </c>
      <c r="V271" t="s">
        <v>74</v>
      </c>
      <c r="W271" t="s">
        <v>74</v>
      </c>
      <c r="X271" t="s">
        <v>74</v>
      </c>
      <c r="Y271" t="s">
        <v>74</v>
      </c>
      <c r="Z271" t="s">
        <v>74</v>
      </c>
      <c r="AA271" t="s">
        <v>6932</v>
      </c>
      <c r="AB271" t="s">
        <v>2287</v>
      </c>
      <c r="AC271" t="s">
        <v>74</v>
      </c>
      <c r="AD271" t="s">
        <v>74</v>
      </c>
      <c r="AE271" t="s">
        <v>74</v>
      </c>
      <c r="AF271" t="s">
        <v>74</v>
      </c>
      <c r="AG271" t="s">
        <v>74</v>
      </c>
      <c r="AH271" t="s">
        <v>74</v>
      </c>
      <c r="AI271" t="s">
        <v>74</v>
      </c>
      <c r="AJ271" t="s">
        <v>74</v>
      </c>
      <c r="AK271" t="s">
        <v>74</v>
      </c>
      <c r="AL271" t="s">
        <v>74</v>
      </c>
      <c r="AM271" t="s">
        <v>74</v>
      </c>
      <c r="AN271" t="s">
        <v>74</v>
      </c>
      <c r="AO271" t="s">
        <v>1065</v>
      </c>
      <c r="AP271" t="s">
        <v>1066</v>
      </c>
      <c r="AQ271" t="s">
        <v>74</v>
      </c>
      <c r="AR271" t="s">
        <v>74</v>
      </c>
      <c r="AS271" t="s">
        <v>74</v>
      </c>
      <c r="AT271" t="s">
        <v>569</v>
      </c>
      <c r="AU271">
        <v>2020</v>
      </c>
      <c r="AV271">
        <v>248</v>
      </c>
      <c r="AW271" t="s">
        <v>74</v>
      </c>
      <c r="AX271" t="s">
        <v>74</v>
      </c>
      <c r="AY271" t="s">
        <v>74</v>
      </c>
      <c r="AZ271" t="s">
        <v>74</v>
      </c>
      <c r="BA271" t="s">
        <v>74</v>
      </c>
      <c r="BB271" t="s">
        <v>74</v>
      </c>
      <c r="BC271" t="s">
        <v>74</v>
      </c>
      <c r="BD271">
        <v>126101</v>
      </c>
      <c r="BE271" t="s">
        <v>2162</v>
      </c>
      <c r="BF271" t="str">
        <f>HYPERLINK("http://dx.doi.org/10.1016/j.chemosphere.2020.126101","http://dx.doi.org/10.1016/j.chemosphere.2020.126101")</f>
        <v>http://dx.doi.org/10.1016/j.chemosphere.2020.126101</v>
      </c>
      <c r="BG271" t="s">
        <v>74</v>
      </c>
      <c r="BH271" t="s">
        <v>74</v>
      </c>
      <c r="BI271" t="s">
        <v>74</v>
      </c>
      <c r="BJ271" t="s">
        <v>74</v>
      </c>
      <c r="BK271" t="s">
        <v>74</v>
      </c>
      <c r="BL271" t="s">
        <v>74</v>
      </c>
      <c r="BM271" t="s">
        <v>74</v>
      </c>
      <c r="BN271">
        <v>32045977</v>
      </c>
      <c r="BO271" t="s">
        <v>74</v>
      </c>
      <c r="BP271" t="s">
        <v>74</v>
      </c>
      <c r="BQ271" t="s">
        <v>74</v>
      </c>
      <c r="BR271" t="s">
        <v>74</v>
      </c>
      <c r="BS271" t="s">
        <v>2163</v>
      </c>
      <c r="BT271" t="str">
        <f>HYPERLINK("https%3A%2F%2Fwww.webofscience.com%2Fwos%2Fwoscc%2Ffull-record%2FWOS:000527930600116","View Full Record in Web of Science")</f>
        <v>View Full Record in Web of Science</v>
      </c>
    </row>
    <row r="272" spans="1:72" x14ac:dyDescent="0.2">
      <c r="A272" t="s">
        <v>72</v>
      </c>
      <c r="B272" t="s">
        <v>2164</v>
      </c>
      <c r="C272" t="s">
        <v>74</v>
      </c>
      <c r="D272" t="s">
        <v>74</v>
      </c>
      <c r="E272" t="s">
        <v>74</v>
      </c>
      <c r="F272" t="s">
        <v>2165</v>
      </c>
      <c r="G272" t="s">
        <v>74</v>
      </c>
      <c r="H272" t="s">
        <v>74</v>
      </c>
      <c r="I272" t="s">
        <v>2166</v>
      </c>
      <c r="J272" t="s">
        <v>2167</v>
      </c>
      <c r="K272" t="s">
        <v>74</v>
      </c>
      <c r="L272" t="s">
        <v>74</v>
      </c>
      <c r="M272" t="s">
        <v>74</v>
      </c>
      <c r="N272" t="s">
        <v>74</v>
      </c>
      <c r="O272" t="s">
        <v>74</v>
      </c>
      <c r="P272" t="s">
        <v>74</v>
      </c>
      <c r="Q272" t="s">
        <v>74</v>
      </c>
      <c r="R272" t="s">
        <v>74</v>
      </c>
      <c r="S272" t="s">
        <v>74</v>
      </c>
      <c r="T272" t="s">
        <v>74</v>
      </c>
      <c r="U272" t="s">
        <v>74</v>
      </c>
      <c r="V272" t="s">
        <v>74</v>
      </c>
      <c r="W272" t="s">
        <v>74</v>
      </c>
      <c r="X272" t="s">
        <v>74</v>
      </c>
      <c r="Y272" t="s">
        <v>74</v>
      </c>
      <c r="Z272" t="s">
        <v>74</v>
      </c>
      <c r="AA272" t="s">
        <v>6933</v>
      </c>
      <c r="AB272" t="s">
        <v>2168</v>
      </c>
      <c r="AC272" t="s">
        <v>74</v>
      </c>
      <c r="AD272" t="s">
        <v>74</v>
      </c>
      <c r="AE272" t="s">
        <v>74</v>
      </c>
      <c r="AF272" t="s">
        <v>74</v>
      </c>
      <c r="AG272" t="s">
        <v>74</v>
      </c>
      <c r="AH272" t="s">
        <v>74</v>
      </c>
      <c r="AI272" t="s">
        <v>74</v>
      </c>
      <c r="AJ272" t="s">
        <v>74</v>
      </c>
      <c r="AK272" t="s">
        <v>74</v>
      </c>
      <c r="AL272" t="s">
        <v>74</v>
      </c>
      <c r="AM272" t="s">
        <v>74</v>
      </c>
      <c r="AN272" t="s">
        <v>74</v>
      </c>
      <c r="AO272" t="s">
        <v>2169</v>
      </c>
      <c r="AP272" t="s">
        <v>74</v>
      </c>
      <c r="AQ272" t="s">
        <v>74</v>
      </c>
      <c r="AR272" t="s">
        <v>74</v>
      </c>
      <c r="AS272" t="s">
        <v>74</v>
      </c>
      <c r="AT272" t="s">
        <v>569</v>
      </c>
      <c r="AU272">
        <v>2020</v>
      </c>
      <c r="AV272">
        <v>9</v>
      </c>
      <c r="AW272">
        <v>2</v>
      </c>
      <c r="AX272" t="s">
        <v>74</v>
      </c>
      <c r="AY272" t="s">
        <v>74</v>
      </c>
      <c r="AZ272" t="s">
        <v>74</v>
      </c>
      <c r="BA272" t="s">
        <v>74</v>
      </c>
      <c r="BB272">
        <v>287</v>
      </c>
      <c r="BC272">
        <v>302</v>
      </c>
      <c r="BD272" t="s">
        <v>74</v>
      </c>
      <c r="BE272" t="s">
        <v>2170</v>
      </c>
      <c r="BF272" t="str">
        <f>HYPERLINK("http://dx.doi.org/10.3391/bir.2020.9.2.14","http://dx.doi.org/10.3391/bir.2020.9.2.14")</f>
        <v>http://dx.doi.org/10.3391/bir.2020.9.2.14</v>
      </c>
      <c r="BG272" t="s">
        <v>74</v>
      </c>
      <c r="BH272" t="s">
        <v>74</v>
      </c>
      <c r="BI272" t="s">
        <v>74</v>
      </c>
      <c r="BJ272" t="s">
        <v>74</v>
      </c>
      <c r="BK272" t="s">
        <v>74</v>
      </c>
      <c r="BL272" t="s">
        <v>74</v>
      </c>
      <c r="BM272" t="s">
        <v>74</v>
      </c>
      <c r="BN272" t="s">
        <v>74</v>
      </c>
      <c r="BO272" t="s">
        <v>74</v>
      </c>
      <c r="BP272" t="s">
        <v>74</v>
      </c>
      <c r="BQ272" t="s">
        <v>74</v>
      </c>
      <c r="BR272" t="s">
        <v>74</v>
      </c>
      <c r="BS272" t="s">
        <v>2171</v>
      </c>
      <c r="BT272" t="str">
        <f>HYPERLINK("https%3A%2F%2Fwww.webofscience.com%2Fwos%2Fwoscc%2Ffull-record%2FWOS:000531866100014","View Full Record in Web of Science")</f>
        <v>View Full Record in Web of Science</v>
      </c>
    </row>
    <row r="273" spans="1:72" x14ac:dyDescent="0.2">
      <c r="A273" t="s">
        <v>72</v>
      </c>
      <c r="B273" t="s">
        <v>2172</v>
      </c>
      <c r="C273" t="s">
        <v>74</v>
      </c>
      <c r="D273" t="s">
        <v>74</v>
      </c>
      <c r="E273" t="s">
        <v>74</v>
      </c>
      <c r="F273" t="s">
        <v>2173</v>
      </c>
      <c r="G273" t="s">
        <v>74</v>
      </c>
      <c r="H273" t="s">
        <v>74</v>
      </c>
      <c r="I273" t="s">
        <v>2174</v>
      </c>
      <c r="J273" t="s">
        <v>124</v>
      </c>
      <c r="K273" t="s">
        <v>74</v>
      </c>
      <c r="L273" t="s">
        <v>74</v>
      </c>
      <c r="M273" t="s">
        <v>74</v>
      </c>
      <c r="N273" t="s">
        <v>74</v>
      </c>
      <c r="O273" t="s">
        <v>74</v>
      </c>
      <c r="P273" t="s">
        <v>74</v>
      </c>
      <c r="Q273" t="s">
        <v>74</v>
      </c>
      <c r="R273" t="s">
        <v>74</v>
      </c>
      <c r="S273" t="s">
        <v>74</v>
      </c>
      <c r="T273" t="s">
        <v>74</v>
      </c>
      <c r="U273" t="s">
        <v>74</v>
      </c>
      <c r="V273" t="s">
        <v>74</v>
      </c>
      <c r="W273" t="s">
        <v>74</v>
      </c>
      <c r="X273" t="s">
        <v>74</v>
      </c>
      <c r="Y273" t="s">
        <v>74</v>
      </c>
      <c r="Z273" t="s">
        <v>74</v>
      </c>
      <c r="AA273" t="s">
        <v>6934</v>
      </c>
      <c r="AB273" t="s">
        <v>6935</v>
      </c>
      <c r="AC273" t="s">
        <v>74</v>
      </c>
      <c r="AD273" t="s">
        <v>74</v>
      </c>
      <c r="AE273" t="s">
        <v>74</v>
      </c>
      <c r="AF273" t="s">
        <v>74</v>
      </c>
      <c r="AG273" t="s">
        <v>74</v>
      </c>
      <c r="AH273" t="s">
        <v>74</v>
      </c>
      <c r="AI273" t="s">
        <v>74</v>
      </c>
      <c r="AJ273" t="s">
        <v>74</v>
      </c>
      <c r="AK273" t="s">
        <v>74</v>
      </c>
      <c r="AL273" t="s">
        <v>74</v>
      </c>
      <c r="AM273" t="s">
        <v>74</v>
      </c>
      <c r="AN273" t="s">
        <v>74</v>
      </c>
      <c r="AO273" t="s">
        <v>127</v>
      </c>
      <c r="AP273" t="s">
        <v>128</v>
      </c>
      <c r="AQ273" t="s">
        <v>74</v>
      </c>
      <c r="AR273" t="s">
        <v>74</v>
      </c>
      <c r="AS273" t="s">
        <v>74</v>
      </c>
      <c r="AT273" t="s">
        <v>569</v>
      </c>
      <c r="AU273">
        <v>2020</v>
      </c>
      <c r="AV273">
        <v>847</v>
      </c>
      <c r="AW273">
        <v>10</v>
      </c>
      <c r="AX273" t="s">
        <v>74</v>
      </c>
      <c r="AY273" t="s">
        <v>74</v>
      </c>
      <c r="AZ273" t="s">
        <v>74</v>
      </c>
      <c r="BA273" t="s">
        <v>74</v>
      </c>
      <c r="BB273">
        <v>2307</v>
      </c>
      <c r="BC273">
        <v>2320</v>
      </c>
      <c r="BD273" t="s">
        <v>74</v>
      </c>
      <c r="BE273" t="s">
        <v>2175</v>
      </c>
      <c r="BF273" t="str">
        <f>HYPERLINK("http://dx.doi.org/10.1007/s10750-020-04255-5","http://dx.doi.org/10.1007/s10750-020-04255-5")</f>
        <v>http://dx.doi.org/10.1007/s10750-020-04255-5</v>
      </c>
      <c r="BG273" t="s">
        <v>74</v>
      </c>
      <c r="BH273" t="s">
        <v>74</v>
      </c>
      <c r="BI273" t="s">
        <v>74</v>
      </c>
      <c r="BJ273" t="s">
        <v>74</v>
      </c>
      <c r="BK273" t="s">
        <v>74</v>
      </c>
      <c r="BL273" t="s">
        <v>74</v>
      </c>
      <c r="BM273" t="s">
        <v>74</v>
      </c>
      <c r="BN273" t="s">
        <v>74</v>
      </c>
      <c r="BO273" t="s">
        <v>74</v>
      </c>
      <c r="BP273" t="s">
        <v>74</v>
      </c>
      <c r="BQ273" t="s">
        <v>74</v>
      </c>
      <c r="BR273" t="s">
        <v>74</v>
      </c>
      <c r="BS273" t="s">
        <v>2176</v>
      </c>
      <c r="BT273" t="str">
        <f>HYPERLINK("https%3A%2F%2Fwww.webofscience.com%2Fwos%2Fwoscc%2Ffull-record%2FWOS:000531813500008","View Full Record in Web of Science")</f>
        <v>View Full Record in Web of Science</v>
      </c>
    </row>
    <row r="274" spans="1:72" x14ac:dyDescent="0.2">
      <c r="A274" t="s">
        <v>72</v>
      </c>
      <c r="B274" t="s">
        <v>2177</v>
      </c>
      <c r="C274" t="s">
        <v>74</v>
      </c>
      <c r="D274" t="s">
        <v>74</v>
      </c>
      <c r="E274" t="s">
        <v>74</v>
      </c>
      <c r="F274" t="s">
        <v>2178</v>
      </c>
      <c r="G274" t="s">
        <v>74</v>
      </c>
      <c r="H274" t="s">
        <v>74</v>
      </c>
      <c r="I274" t="s">
        <v>2179</v>
      </c>
      <c r="J274" t="s">
        <v>2180</v>
      </c>
      <c r="K274" t="s">
        <v>74</v>
      </c>
      <c r="L274" t="s">
        <v>74</v>
      </c>
      <c r="M274" t="s">
        <v>74</v>
      </c>
      <c r="N274" t="s">
        <v>74</v>
      </c>
      <c r="O274" t="s">
        <v>2181</v>
      </c>
      <c r="P274" t="s">
        <v>2182</v>
      </c>
      <c r="Q274" t="s">
        <v>2183</v>
      </c>
      <c r="R274" t="s">
        <v>74</v>
      </c>
      <c r="S274" t="s">
        <v>74</v>
      </c>
      <c r="T274" t="s">
        <v>74</v>
      </c>
      <c r="U274" t="s">
        <v>74</v>
      </c>
      <c r="V274" t="s">
        <v>74</v>
      </c>
      <c r="W274" t="s">
        <v>74</v>
      </c>
      <c r="X274" t="s">
        <v>74</v>
      </c>
      <c r="Y274" t="s">
        <v>74</v>
      </c>
      <c r="Z274" t="s">
        <v>74</v>
      </c>
      <c r="AA274" t="s">
        <v>74</v>
      </c>
      <c r="AB274" t="s">
        <v>2184</v>
      </c>
      <c r="AC274" t="s">
        <v>74</v>
      </c>
      <c r="AD274" t="s">
        <v>74</v>
      </c>
      <c r="AE274" t="s">
        <v>74</v>
      </c>
      <c r="AF274" t="s">
        <v>74</v>
      </c>
      <c r="AG274" t="s">
        <v>74</v>
      </c>
      <c r="AH274" t="s">
        <v>74</v>
      </c>
      <c r="AI274" t="s">
        <v>74</v>
      </c>
      <c r="AJ274" t="s">
        <v>74</v>
      </c>
      <c r="AK274" t="s">
        <v>74</v>
      </c>
      <c r="AL274" t="s">
        <v>74</v>
      </c>
      <c r="AM274" t="s">
        <v>74</v>
      </c>
      <c r="AN274" t="s">
        <v>74</v>
      </c>
      <c r="AO274" t="s">
        <v>2185</v>
      </c>
      <c r="AP274" t="s">
        <v>2186</v>
      </c>
      <c r="AQ274" t="s">
        <v>74</v>
      </c>
      <c r="AR274" t="s">
        <v>74</v>
      </c>
      <c r="AS274" t="s">
        <v>74</v>
      </c>
      <c r="AT274" t="s">
        <v>569</v>
      </c>
      <c r="AU274">
        <v>2020</v>
      </c>
      <c r="AV274">
        <v>93</v>
      </c>
      <c r="AW274" t="s">
        <v>2187</v>
      </c>
      <c r="AX274" t="s">
        <v>74</v>
      </c>
      <c r="AY274" t="s">
        <v>74</v>
      </c>
      <c r="AZ274" t="s">
        <v>632</v>
      </c>
      <c r="BA274" t="s">
        <v>74</v>
      </c>
      <c r="BB274">
        <v>283</v>
      </c>
      <c r="BC274">
        <v>298</v>
      </c>
      <c r="BD274" t="s">
        <v>74</v>
      </c>
      <c r="BE274" t="s">
        <v>2188</v>
      </c>
      <c r="BF274" t="str">
        <f>HYPERLINK("http://dx.doi.org/10.1163/15685403-00004008","http://dx.doi.org/10.1163/15685403-00004008")</f>
        <v>http://dx.doi.org/10.1163/15685403-00004008</v>
      </c>
      <c r="BG274" t="s">
        <v>74</v>
      </c>
      <c r="BH274" t="s">
        <v>74</v>
      </c>
      <c r="BI274" t="s">
        <v>74</v>
      </c>
      <c r="BJ274" t="s">
        <v>74</v>
      </c>
      <c r="BK274" t="s">
        <v>74</v>
      </c>
      <c r="BL274" t="s">
        <v>74</v>
      </c>
      <c r="BM274" t="s">
        <v>74</v>
      </c>
      <c r="BN274" t="s">
        <v>74</v>
      </c>
      <c r="BO274" t="s">
        <v>74</v>
      </c>
      <c r="BP274" t="s">
        <v>74</v>
      </c>
      <c r="BQ274" t="s">
        <v>74</v>
      </c>
      <c r="BR274" t="s">
        <v>74</v>
      </c>
      <c r="BS274" t="s">
        <v>2189</v>
      </c>
      <c r="BT274" t="str">
        <f>HYPERLINK("https%3A%2F%2Fwww.webofscience.com%2Fwos%2Fwoscc%2Ffull-record%2FWOS:000540781400005","View Full Record in Web of Science")</f>
        <v>View Full Record in Web of Science</v>
      </c>
    </row>
    <row r="275" spans="1:72" x14ac:dyDescent="0.2">
      <c r="A275" t="s">
        <v>72</v>
      </c>
      <c r="B275" t="s">
        <v>2190</v>
      </c>
      <c r="C275" t="s">
        <v>74</v>
      </c>
      <c r="D275" t="s">
        <v>74</v>
      </c>
      <c r="E275" t="s">
        <v>74</v>
      </c>
      <c r="F275" t="s">
        <v>2191</v>
      </c>
      <c r="G275" t="s">
        <v>74</v>
      </c>
      <c r="H275" t="s">
        <v>74</v>
      </c>
      <c r="I275" t="s">
        <v>2192</v>
      </c>
      <c r="J275" t="s">
        <v>1323</v>
      </c>
      <c r="K275" t="s">
        <v>74</v>
      </c>
      <c r="L275" t="s">
        <v>74</v>
      </c>
      <c r="M275" t="s">
        <v>74</v>
      </c>
      <c r="N275" t="s">
        <v>74</v>
      </c>
      <c r="O275" t="s">
        <v>74</v>
      </c>
      <c r="P275" t="s">
        <v>74</v>
      </c>
      <c r="Q275" t="s">
        <v>74</v>
      </c>
      <c r="R275" t="s">
        <v>74</v>
      </c>
      <c r="S275" t="s">
        <v>74</v>
      </c>
      <c r="T275" t="s">
        <v>74</v>
      </c>
      <c r="U275" t="s">
        <v>74</v>
      </c>
      <c r="V275" t="s">
        <v>74</v>
      </c>
      <c r="W275" t="s">
        <v>74</v>
      </c>
      <c r="X275" t="s">
        <v>74</v>
      </c>
      <c r="Y275" t="s">
        <v>74</v>
      </c>
      <c r="Z275" t="s">
        <v>74</v>
      </c>
      <c r="AA275" t="s">
        <v>6936</v>
      </c>
      <c r="AB275" t="s">
        <v>2003</v>
      </c>
      <c r="AC275" t="s">
        <v>74</v>
      </c>
      <c r="AD275" t="s">
        <v>74</v>
      </c>
      <c r="AE275" t="s">
        <v>74</v>
      </c>
      <c r="AF275" t="s">
        <v>74</v>
      </c>
      <c r="AG275" t="s">
        <v>74</v>
      </c>
      <c r="AH275" t="s">
        <v>74</v>
      </c>
      <c r="AI275" t="s">
        <v>74</v>
      </c>
      <c r="AJ275" t="s">
        <v>74</v>
      </c>
      <c r="AK275" t="s">
        <v>74</v>
      </c>
      <c r="AL275" t="s">
        <v>74</v>
      </c>
      <c r="AM275" t="s">
        <v>74</v>
      </c>
      <c r="AN275" t="s">
        <v>74</v>
      </c>
      <c r="AO275" t="s">
        <v>1326</v>
      </c>
      <c r="AP275" t="s">
        <v>1327</v>
      </c>
      <c r="AQ275" t="s">
        <v>74</v>
      </c>
      <c r="AR275" t="s">
        <v>74</v>
      </c>
      <c r="AS275" t="s">
        <v>74</v>
      </c>
      <c r="AT275" t="s">
        <v>2193</v>
      </c>
      <c r="AU275">
        <v>2020</v>
      </c>
      <c r="AV275">
        <v>82</v>
      </c>
      <c r="AW275">
        <v>3</v>
      </c>
      <c r="AX275" t="s">
        <v>74</v>
      </c>
      <c r="AY275" t="s">
        <v>74</v>
      </c>
      <c r="AZ275" t="s">
        <v>74</v>
      </c>
      <c r="BA275" t="s">
        <v>74</v>
      </c>
      <c r="BB275" t="s">
        <v>74</v>
      </c>
      <c r="BC275" t="s">
        <v>74</v>
      </c>
      <c r="BD275">
        <v>59</v>
      </c>
      <c r="BE275" t="s">
        <v>2194</v>
      </c>
      <c r="BF275" t="str">
        <f>HYPERLINK("http://dx.doi.org/10.1007/s00027-020-00733-z","http://dx.doi.org/10.1007/s00027-020-00733-z")</f>
        <v>http://dx.doi.org/10.1007/s00027-020-00733-z</v>
      </c>
      <c r="BG275" t="s">
        <v>74</v>
      </c>
      <c r="BH275" t="s">
        <v>74</v>
      </c>
      <c r="BI275" t="s">
        <v>74</v>
      </c>
      <c r="BJ275" t="s">
        <v>74</v>
      </c>
      <c r="BK275" t="s">
        <v>74</v>
      </c>
      <c r="BL275" t="s">
        <v>74</v>
      </c>
      <c r="BM275" t="s">
        <v>74</v>
      </c>
      <c r="BN275" t="s">
        <v>74</v>
      </c>
      <c r="BO275" t="s">
        <v>74</v>
      </c>
      <c r="BP275" t="s">
        <v>74</v>
      </c>
      <c r="BQ275" t="s">
        <v>74</v>
      </c>
      <c r="BR275" t="s">
        <v>74</v>
      </c>
      <c r="BS275" t="s">
        <v>2195</v>
      </c>
      <c r="BT275" t="str">
        <f>HYPERLINK("https%3A%2F%2Fwww.webofscience.com%2Fwos%2Fwoscc%2Ffull-record%2FWOS:000544099800001","View Full Record in Web of Science")</f>
        <v>View Full Record in Web of Science</v>
      </c>
    </row>
    <row r="276" spans="1:72" x14ac:dyDescent="0.2">
      <c r="A276" t="s">
        <v>72</v>
      </c>
      <c r="B276" t="s">
        <v>2196</v>
      </c>
      <c r="C276" t="s">
        <v>74</v>
      </c>
      <c r="D276" t="s">
        <v>74</v>
      </c>
      <c r="E276" t="s">
        <v>74</v>
      </c>
      <c r="F276" t="s">
        <v>2197</v>
      </c>
      <c r="G276" t="s">
        <v>74</v>
      </c>
      <c r="H276" t="s">
        <v>74</v>
      </c>
      <c r="I276" t="s">
        <v>2198</v>
      </c>
      <c r="J276" t="s">
        <v>2199</v>
      </c>
      <c r="K276" t="s">
        <v>74</v>
      </c>
      <c r="L276" t="s">
        <v>74</v>
      </c>
      <c r="M276" t="s">
        <v>74</v>
      </c>
      <c r="N276" t="s">
        <v>74</v>
      </c>
      <c r="O276" t="s">
        <v>74</v>
      </c>
      <c r="P276" t="s">
        <v>74</v>
      </c>
      <c r="Q276" t="s">
        <v>74</v>
      </c>
      <c r="R276" t="s">
        <v>74</v>
      </c>
      <c r="S276" t="s">
        <v>74</v>
      </c>
      <c r="T276" t="s">
        <v>74</v>
      </c>
      <c r="U276" t="s">
        <v>74</v>
      </c>
      <c r="V276" t="s">
        <v>74</v>
      </c>
      <c r="W276" t="s">
        <v>74</v>
      </c>
      <c r="X276" t="s">
        <v>74</v>
      </c>
      <c r="Y276" t="s">
        <v>74</v>
      </c>
      <c r="Z276" t="s">
        <v>74</v>
      </c>
      <c r="AA276" t="s">
        <v>74</v>
      </c>
      <c r="AB276" t="s">
        <v>74</v>
      </c>
      <c r="AC276" t="s">
        <v>74</v>
      </c>
      <c r="AD276" t="s">
        <v>74</v>
      </c>
      <c r="AE276" t="s">
        <v>74</v>
      </c>
      <c r="AF276" t="s">
        <v>74</v>
      </c>
      <c r="AG276" t="s">
        <v>74</v>
      </c>
      <c r="AH276" t="s">
        <v>74</v>
      </c>
      <c r="AI276" t="s">
        <v>74</v>
      </c>
      <c r="AJ276" t="s">
        <v>74</v>
      </c>
      <c r="AK276" t="s">
        <v>74</v>
      </c>
      <c r="AL276" t="s">
        <v>74</v>
      </c>
      <c r="AM276" t="s">
        <v>74</v>
      </c>
      <c r="AN276" t="s">
        <v>74</v>
      </c>
      <c r="AO276" t="s">
        <v>2200</v>
      </c>
      <c r="AP276" t="s">
        <v>2201</v>
      </c>
      <c r="AQ276" t="s">
        <v>74</v>
      </c>
      <c r="AR276" t="s">
        <v>74</v>
      </c>
      <c r="AS276" t="s">
        <v>74</v>
      </c>
      <c r="AT276" t="s">
        <v>520</v>
      </c>
      <c r="AU276">
        <v>2020</v>
      </c>
      <c r="AV276">
        <v>29</v>
      </c>
      <c r="AW276">
        <v>6</v>
      </c>
      <c r="AX276" t="s">
        <v>74</v>
      </c>
      <c r="AY276" t="s">
        <v>74</v>
      </c>
      <c r="AZ276" t="s">
        <v>632</v>
      </c>
      <c r="BA276" t="s">
        <v>74</v>
      </c>
      <c r="BB276">
        <v>771</v>
      </c>
      <c r="BC276">
        <v>779</v>
      </c>
      <c r="BD276" t="s">
        <v>74</v>
      </c>
      <c r="BE276" t="s">
        <v>2202</v>
      </c>
      <c r="BF276" t="str">
        <f>HYPERLINK("http://dx.doi.org/10.1007/s10646-020-02220-5","http://dx.doi.org/10.1007/s10646-020-02220-5")</f>
        <v>http://dx.doi.org/10.1007/s10646-020-02220-5</v>
      </c>
      <c r="BG276" t="s">
        <v>74</v>
      </c>
      <c r="BH276" t="s">
        <v>2203</v>
      </c>
      <c r="BI276" t="s">
        <v>74</v>
      </c>
      <c r="BJ276" t="s">
        <v>74</v>
      </c>
      <c r="BK276" t="s">
        <v>74</v>
      </c>
      <c r="BL276" t="s">
        <v>74</v>
      </c>
      <c r="BM276" t="s">
        <v>74</v>
      </c>
      <c r="BN276">
        <v>32385599</v>
      </c>
      <c r="BO276" t="s">
        <v>74</v>
      </c>
      <c r="BP276" t="s">
        <v>74</v>
      </c>
      <c r="BQ276" t="s">
        <v>74</v>
      </c>
      <c r="BR276" t="s">
        <v>74</v>
      </c>
      <c r="BS276" t="s">
        <v>2204</v>
      </c>
      <c r="BT276" t="str">
        <f>HYPERLINK("https%3A%2F%2Fwww.webofscience.com%2Fwos%2Fwoscc%2Ffull-record%2FWOS:000531129300001","View Full Record in Web of Science")</f>
        <v>View Full Record in Web of Science</v>
      </c>
    </row>
    <row r="277" spans="1:72" x14ac:dyDescent="0.2">
      <c r="A277" t="s">
        <v>72</v>
      </c>
      <c r="B277" t="s">
        <v>2205</v>
      </c>
      <c r="C277" t="s">
        <v>74</v>
      </c>
      <c r="D277" t="s">
        <v>74</v>
      </c>
      <c r="E277" t="s">
        <v>74</v>
      </c>
      <c r="F277" t="s">
        <v>2206</v>
      </c>
      <c r="G277" t="s">
        <v>74</v>
      </c>
      <c r="H277" t="s">
        <v>74</v>
      </c>
      <c r="I277" t="s">
        <v>2207</v>
      </c>
      <c r="J277" t="s">
        <v>1377</v>
      </c>
      <c r="K277" t="s">
        <v>74</v>
      </c>
      <c r="L277" t="s">
        <v>74</v>
      </c>
      <c r="M277" t="s">
        <v>74</v>
      </c>
      <c r="N277" t="s">
        <v>74</v>
      </c>
      <c r="O277" t="s">
        <v>74</v>
      </c>
      <c r="P277" t="s">
        <v>74</v>
      </c>
      <c r="Q277" t="s">
        <v>74</v>
      </c>
      <c r="R277" t="s">
        <v>74</v>
      </c>
      <c r="S277" t="s">
        <v>74</v>
      </c>
      <c r="T277" t="s">
        <v>74</v>
      </c>
      <c r="U277" t="s">
        <v>74</v>
      </c>
      <c r="V277" t="s">
        <v>74</v>
      </c>
      <c r="W277" t="s">
        <v>74</v>
      </c>
      <c r="X277" t="s">
        <v>74</v>
      </c>
      <c r="Y277" t="s">
        <v>74</v>
      </c>
      <c r="Z277" t="s">
        <v>74</v>
      </c>
      <c r="AA277" t="s">
        <v>6937</v>
      </c>
      <c r="AB277" t="s">
        <v>6938</v>
      </c>
      <c r="AC277" t="s">
        <v>74</v>
      </c>
      <c r="AD277" t="s">
        <v>74</v>
      </c>
      <c r="AE277" t="s">
        <v>74</v>
      </c>
      <c r="AF277" t="s">
        <v>74</v>
      </c>
      <c r="AG277" t="s">
        <v>74</v>
      </c>
      <c r="AH277" t="s">
        <v>74</v>
      </c>
      <c r="AI277" t="s">
        <v>74</v>
      </c>
      <c r="AJ277" t="s">
        <v>74</v>
      </c>
      <c r="AK277" t="s">
        <v>74</v>
      </c>
      <c r="AL277" t="s">
        <v>74</v>
      </c>
      <c r="AM277" t="s">
        <v>74</v>
      </c>
      <c r="AN277" t="s">
        <v>74</v>
      </c>
      <c r="AO277" t="s">
        <v>1380</v>
      </c>
      <c r="AP277" t="s">
        <v>1381</v>
      </c>
      <c r="AQ277" t="s">
        <v>74</v>
      </c>
      <c r="AR277" t="s">
        <v>74</v>
      </c>
      <c r="AS277" t="s">
        <v>74</v>
      </c>
      <c r="AT277" t="s">
        <v>624</v>
      </c>
      <c r="AU277">
        <v>2020</v>
      </c>
      <c r="AV277">
        <v>108</v>
      </c>
      <c r="AW277">
        <v>4</v>
      </c>
      <c r="AX277" t="s">
        <v>74</v>
      </c>
      <c r="AY277" t="s">
        <v>74</v>
      </c>
      <c r="AZ277" t="s">
        <v>74</v>
      </c>
      <c r="BA277" t="s">
        <v>74</v>
      </c>
      <c r="BB277">
        <v>1649</v>
      </c>
      <c r="BC277">
        <v>1663</v>
      </c>
      <c r="BD277" t="s">
        <v>74</v>
      </c>
      <c r="BE277" t="s">
        <v>2208</v>
      </c>
      <c r="BF277" t="str">
        <f>HYPERLINK("http://dx.doi.org/10.1111/1365-2745.13395","http://dx.doi.org/10.1111/1365-2745.13395")</f>
        <v>http://dx.doi.org/10.1111/1365-2745.13395</v>
      </c>
      <c r="BG277" t="s">
        <v>74</v>
      </c>
      <c r="BH277" t="s">
        <v>2209</v>
      </c>
      <c r="BI277" t="s">
        <v>74</v>
      </c>
      <c r="BJ277" t="s">
        <v>74</v>
      </c>
      <c r="BK277" t="s">
        <v>74</v>
      </c>
      <c r="BL277" t="s">
        <v>74</v>
      </c>
      <c r="BM277" t="s">
        <v>74</v>
      </c>
      <c r="BN277" t="s">
        <v>74</v>
      </c>
      <c r="BO277" t="s">
        <v>74</v>
      </c>
      <c r="BP277" t="s">
        <v>74</v>
      </c>
      <c r="BQ277" t="s">
        <v>74</v>
      </c>
      <c r="BR277" t="s">
        <v>74</v>
      </c>
      <c r="BS277" t="s">
        <v>2210</v>
      </c>
      <c r="BT277" t="str">
        <f>HYPERLINK("https%3A%2F%2Fwww.webofscience.com%2Fwos%2Fwoscc%2Ffull-record%2FWOS:000529015900001","View Full Record in Web of Science")</f>
        <v>View Full Record in Web of Science</v>
      </c>
    </row>
    <row r="278" spans="1:72" x14ac:dyDescent="0.2">
      <c r="A278" t="s">
        <v>72</v>
      </c>
      <c r="B278" t="s">
        <v>2211</v>
      </c>
      <c r="C278" t="s">
        <v>74</v>
      </c>
      <c r="D278" t="s">
        <v>74</v>
      </c>
      <c r="E278" t="s">
        <v>74</v>
      </c>
      <c r="F278" t="s">
        <v>2212</v>
      </c>
      <c r="G278" t="s">
        <v>74</v>
      </c>
      <c r="H278" t="s">
        <v>74</v>
      </c>
      <c r="I278" t="s">
        <v>2213</v>
      </c>
      <c r="J278" t="s">
        <v>2214</v>
      </c>
      <c r="K278" t="s">
        <v>74</v>
      </c>
      <c r="L278" t="s">
        <v>74</v>
      </c>
      <c r="M278" t="s">
        <v>74</v>
      </c>
      <c r="N278" t="s">
        <v>74</v>
      </c>
      <c r="O278" t="s">
        <v>74</v>
      </c>
      <c r="P278" t="s">
        <v>74</v>
      </c>
      <c r="Q278" t="s">
        <v>74</v>
      </c>
      <c r="R278" t="s">
        <v>74</v>
      </c>
      <c r="S278" t="s">
        <v>74</v>
      </c>
      <c r="T278" t="s">
        <v>74</v>
      </c>
      <c r="U278" t="s">
        <v>74</v>
      </c>
      <c r="V278" t="s">
        <v>74</v>
      </c>
      <c r="W278" t="s">
        <v>74</v>
      </c>
      <c r="X278" t="s">
        <v>74</v>
      </c>
      <c r="Y278" t="s">
        <v>74</v>
      </c>
      <c r="Z278" t="s">
        <v>74</v>
      </c>
      <c r="AA278" t="s">
        <v>2215</v>
      </c>
      <c r="AB278" t="s">
        <v>2216</v>
      </c>
      <c r="AC278" t="s">
        <v>74</v>
      </c>
      <c r="AD278" t="s">
        <v>74</v>
      </c>
      <c r="AE278" t="s">
        <v>74</v>
      </c>
      <c r="AF278" t="s">
        <v>74</v>
      </c>
      <c r="AG278" t="s">
        <v>74</v>
      </c>
      <c r="AH278" t="s">
        <v>74</v>
      </c>
      <c r="AI278" t="s">
        <v>74</v>
      </c>
      <c r="AJ278" t="s">
        <v>74</v>
      </c>
      <c r="AK278" t="s">
        <v>74</v>
      </c>
      <c r="AL278" t="s">
        <v>74</v>
      </c>
      <c r="AM278" t="s">
        <v>74</v>
      </c>
      <c r="AN278" t="s">
        <v>74</v>
      </c>
      <c r="AO278" t="s">
        <v>2217</v>
      </c>
      <c r="AP278" t="s">
        <v>2218</v>
      </c>
      <c r="AQ278" t="s">
        <v>74</v>
      </c>
      <c r="AR278" t="s">
        <v>74</v>
      </c>
      <c r="AS278" t="s">
        <v>74</v>
      </c>
      <c r="AT278" t="s">
        <v>569</v>
      </c>
      <c r="AU278">
        <v>2020</v>
      </c>
      <c r="AV278">
        <v>281</v>
      </c>
      <c r="AW278">
        <v>6</v>
      </c>
      <c r="AX278" t="s">
        <v>74</v>
      </c>
      <c r="AY278" t="s">
        <v>74</v>
      </c>
      <c r="AZ278" t="s">
        <v>74</v>
      </c>
      <c r="BA278" t="s">
        <v>74</v>
      </c>
      <c r="BB278">
        <v>653</v>
      </c>
      <c r="BC278">
        <v>661</v>
      </c>
      <c r="BD278" t="s">
        <v>74</v>
      </c>
      <c r="BE278" t="s">
        <v>2219</v>
      </c>
      <c r="BF278" t="str">
        <f>HYPERLINK("http://dx.doi.org/10.1002/jmor.21131","http://dx.doi.org/10.1002/jmor.21131")</f>
        <v>http://dx.doi.org/10.1002/jmor.21131</v>
      </c>
      <c r="BG278" t="s">
        <v>74</v>
      </c>
      <c r="BH278" t="s">
        <v>2209</v>
      </c>
      <c r="BI278" t="s">
        <v>74</v>
      </c>
      <c r="BJ278" t="s">
        <v>74</v>
      </c>
      <c r="BK278" t="s">
        <v>74</v>
      </c>
      <c r="BL278" t="s">
        <v>74</v>
      </c>
      <c r="BM278" t="s">
        <v>74</v>
      </c>
      <c r="BN278">
        <v>32333693</v>
      </c>
      <c r="BO278" t="s">
        <v>74</v>
      </c>
      <c r="BP278" t="s">
        <v>74</v>
      </c>
      <c r="BQ278" t="s">
        <v>74</v>
      </c>
      <c r="BR278" t="s">
        <v>74</v>
      </c>
      <c r="BS278" t="s">
        <v>2220</v>
      </c>
      <c r="BT278" t="str">
        <f>HYPERLINK("https%3A%2F%2Fwww.webofscience.com%2Fwos%2Fwoscc%2Ffull-record%2FWOS:000528334400001","View Full Record in Web of Science")</f>
        <v>View Full Record in Web of Science</v>
      </c>
    </row>
    <row r="279" spans="1:72" x14ac:dyDescent="0.2">
      <c r="A279" t="s">
        <v>72</v>
      </c>
      <c r="B279" t="s">
        <v>2221</v>
      </c>
      <c r="C279" t="s">
        <v>74</v>
      </c>
      <c r="D279" t="s">
        <v>74</v>
      </c>
      <c r="E279" t="s">
        <v>74</v>
      </c>
      <c r="F279" t="s">
        <v>2222</v>
      </c>
      <c r="G279" t="s">
        <v>74</v>
      </c>
      <c r="H279" t="s">
        <v>74</v>
      </c>
      <c r="I279" t="s">
        <v>2223</v>
      </c>
      <c r="J279" t="s">
        <v>1532</v>
      </c>
      <c r="K279" t="s">
        <v>74</v>
      </c>
      <c r="L279" t="s">
        <v>74</v>
      </c>
      <c r="M279" t="s">
        <v>74</v>
      </c>
      <c r="N279" t="s">
        <v>74</v>
      </c>
      <c r="O279" t="s">
        <v>74</v>
      </c>
      <c r="P279" t="s">
        <v>74</v>
      </c>
      <c r="Q279" t="s">
        <v>74</v>
      </c>
      <c r="R279" t="s">
        <v>74</v>
      </c>
      <c r="S279" t="s">
        <v>74</v>
      </c>
      <c r="T279" t="s">
        <v>74</v>
      </c>
      <c r="U279" t="s">
        <v>74</v>
      </c>
      <c r="V279" t="s">
        <v>74</v>
      </c>
      <c r="W279" t="s">
        <v>74</v>
      </c>
      <c r="X279" t="s">
        <v>74</v>
      </c>
      <c r="Y279" t="s">
        <v>74</v>
      </c>
      <c r="Z279" t="s">
        <v>74</v>
      </c>
      <c r="AA279" t="s">
        <v>74</v>
      </c>
      <c r="AB279" t="s">
        <v>2224</v>
      </c>
      <c r="AC279" t="s">
        <v>74</v>
      </c>
      <c r="AD279" t="s">
        <v>74</v>
      </c>
      <c r="AE279" t="s">
        <v>74</v>
      </c>
      <c r="AF279" t="s">
        <v>74</v>
      </c>
      <c r="AG279" t="s">
        <v>74</v>
      </c>
      <c r="AH279" t="s">
        <v>74</v>
      </c>
      <c r="AI279" t="s">
        <v>74</v>
      </c>
      <c r="AJ279" t="s">
        <v>74</v>
      </c>
      <c r="AK279" t="s">
        <v>74</v>
      </c>
      <c r="AL279" t="s">
        <v>74</v>
      </c>
      <c r="AM279" t="s">
        <v>74</v>
      </c>
      <c r="AN279" t="s">
        <v>74</v>
      </c>
      <c r="AO279" t="s">
        <v>1535</v>
      </c>
      <c r="AP279" t="s">
        <v>1536</v>
      </c>
      <c r="AQ279" t="s">
        <v>74</v>
      </c>
      <c r="AR279" t="s">
        <v>74</v>
      </c>
      <c r="AS279" t="s">
        <v>74</v>
      </c>
      <c r="AT279" t="s">
        <v>569</v>
      </c>
      <c r="AU279">
        <v>2020</v>
      </c>
      <c r="AV279">
        <v>105</v>
      </c>
      <c r="AW279" t="s">
        <v>760</v>
      </c>
      <c r="AX279" t="s">
        <v>74</v>
      </c>
      <c r="AY279" t="s">
        <v>74</v>
      </c>
      <c r="AZ279" t="s">
        <v>74</v>
      </c>
      <c r="BA279" t="s">
        <v>74</v>
      </c>
      <c r="BB279">
        <v>106</v>
      </c>
      <c r="BC279">
        <v>114</v>
      </c>
      <c r="BD279" t="s">
        <v>74</v>
      </c>
      <c r="BE279" t="s">
        <v>2225</v>
      </c>
      <c r="BF279" t="str">
        <f>HYPERLINK("http://dx.doi.org/10.1002/iroh.201902033","http://dx.doi.org/10.1002/iroh.201902033")</f>
        <v>http://dx.doi.org/10.1002/iroh.201902033</v>
      </c>
      <c r="BG279" t="s">
        <v>74</v>
      </c>
      <c r="BH279" t="s">
        <v>2209</v>
      </c>
      <c r="BI279" t="s">
        <v>74</v>
      </c>
      <c r="BJ279" t="s">
        <v>74</v>
      </c>
      <c r="BK279" t="s">
        <v>74</v>
      </c>
      <c r="BL279" t="s">
        <v>74</v>
      </c>
      <c r="BM279" t="s">
        <v>74</v>
      </c>
      <c r="BN279" t="s">
        <v>74</v>
      </c>
      <c r="BO279" t="s">
        <v>74</v>
      </c>
      <c r="BP279" t="s">
        <v>74</v>
      </c>
      <c r="BQ279" t="s">
        <v>74</v>
      </c>
      <c r="BR279" t="s">
        <v>74</v>
      </c>
      <c r="BS279" t="s">
        <v>2226</v>
      </c>
      <c r="BT279" t="str">
        <f>HYPERLINK("https%3A%2F%2Fwww.webofscience.com%2Fwos%2Fwoscc%2Ffull-record%2FWOS:000527078900001","View Full Record in Web of Science")</f>
        <v>View Full Record in Web of Science</v>
      </c>
    </row>
    <row r="280" spans="1:72" x14ac:dyDescent="0.2">
      <c r="A280" t="s">
        <v>72</v>
      </c>
      <c r="B280" t="s">
        <v>2227</v>
      </c>
      <c r="C280" t="s">
        <v>74</v>
      </c>
      <c r="D280" t="s">
        <v>74</v>
      </c>
      <c r="E280" t="s">
        <v>74</v>
      </c>
      <c r="F280" t="s">
        <v>2228</v>
      </c>
      <c r="G280" t="s">
        <v>74</v>
      </c>
      <c r="H280" t="s">
        <v>74</v>
      </c>
      <c r="I280" t="s">
        <v>2229</v>
      </c>
      <c r="J280" t="s">
        <v>1299</v>
      </c>
      <c r="K280" t="s">
        <v>74</v>
      </c>
      <c r="L280" t="s">
        <v>74</v>
      </c>
      <c r="M280" t="s">
        <v>74</v>
      </c>
      <c r="N280" t="s">
        <v>74</v>
      </c>
      <c r="O280" t="s">
        <v>74</v>
      </c>
      <c r="P280" t="s">
        <v>74</v>
      </c>
      <c r="Q280" t="s">
        <v>74</v>
      </c>
      <c r="R280" t="s">
        <v>74</v>
      </c>
      <c r="S280" t="s">
        <v>74</v>
      </c>
      <c r="T280" t="s">
        <v>74</v>
      </c>
      <c r="U280" t="s">
        <v>74</v>
      </c>
      <c r="V280" t="s">
        <v>74</v>
      </c>
      <c r="W280" t="s">
        <v>74</v>
      </c>
      <c r="X280" t="s">
        <v>74</v>
      </c>
      <c r="Y280" t="s">
        <v>74</v>
      </c>
      <c r="Z280" t="s">
        <v>74</v>
      </c>
      <c r="AA280" t="s">
        <v>74</v>
      </c>
      <c r="AB280" t="s">
        <v>2230</v>
      </c>
      <c r="AC280" t="s">
        <v>74</v>
      </c>
      <c r="AD280" t="s">
        <v>74</v>
      </c>
      <c r="AE280" t="s">
        <v>74</v>
      </c>
      <c r="AF280" t="s">
        <v>74</v>
      </c>
      <c r="AG280" t="s">
        <v>74</v>
      </c>
      <c r="AH280" t="s">
        <v>74</v>
      </c>
      <c r="AI280" t="s">
        <v>74</v>
      </c>
      <c r="AJ280" t="s">
        <v>74</v>
      </c>
      <c r="AK280" t="s">
        <v>74</v>
      </c>
      <c r="AL280" t="s">
        <v>74</v>
      </c>
      <c r="AM280" t="s">
        <v>74</v>
      </c>
      <c r="AN280" t="s">
        <v>74</v>
      </c>
      <c r="AO280" t="s">
        <v>1302</v>
      </c>
      <c r="AP280" t="s">
        <v>1303</v>
      </c>
      <c r="AQ280" t="s">
        <v>74</v>
      </c>
      <c r="AR280" t="s">
        <v>74</v>
      </c>
      <c r="AS280" t="s">
        <v>74</v>
      </c>
      <c r="AT280" t="s">
        <v>575</v>
      </c>
      <c r="AU280">
        <v>2020</v>
      </c>
      <c r="AV280">
        <v>193</v>
      </c>
      <c r="AW280">
        <v>1</v>
      </c>
      <c r="AX280" t="s">
        <v>74</v>
      </c>
      <c r="AY280" t="s">
        <v>74</v>
      </c>
      <c r="AZ280" t="s">
        <v>74</v>
      </c>
      <c r="BA280" t="s">
        <v>74</v>
      </c>
      <c r="BB280">
        <v>135</v>
      </c>
      <c r="BC280">
        <v>142</v>
      </c>
      <c r="BD280" t="s">
        <v>74</v>
      </c>
      <c r="BE280" t="s">
        <v>2231</v>
      </c>
      <c r="BF280" t="str">
        <f>HYPERLINK("http://dx.doi.org/10.1007/s00442-020-04651-7","http://dx.doi.org/10.1007/s00442-020-04651-7")</f>
        <v>http://dx.doi.org/10.1007/s00442-020-04651-7</v>
      </c>
      <c r="BG280" t="s">
        <v>74</v>
      </c>
      <c r="BH280" t="s">
        <v>2209</v>
      </c>
      <c r="BI280" t="s">
        <v>74</v>
      </c>
      <c r="BJ280" t="s">
        <v>74</v>
      </c>
      <c r="BK280" t="s">
        <v>74</v>
      </c>
      <c r="BL280" t="s">
        <v>74</v>
      </c>
      <c r="BM280" t="s">
        <v>74</v>
      </c>
      <c r="BN280">
        <v>32307672</v>
      </c>
      <c r="BO280" t="s">
        <v>74</v>
      </c>
      <c r="BP280" t="s">
        <v>74</v>
      </c>
      <c r="BQ280" t="s">
        <v>74</v>
      </c>
      <c r="BR280" t="s">
        <v>74</v>
      </c>
      <c r="BS280" t="s">
        <v>2232</v>
      </c>
      <c r="BT280" t="str">
        <f>HYPERLINK("https%3A%2F%2Fwww.webofscience.com%2Fwos%2Fwoscc%2Ffull-record%2FWOS:000527493100001","View Full Record in Web of Science")</f>
        <v>View Full Record in Web of Science</v>
      </c>
    </row>
    <row r="281" spans="1:72" x14ac:dyDescent="0.2">
      <c r="A281" t="s">
        <v>72</v>
      </c>
      <c r="B281" t="s">
        <v>2233</v>
      </c>
      <c r="C281" t="s">
        <v>74</v>
      </c>
      <c r="D281" t="s">
        <v>74</v>
      </c>
      <c r="E281" t="s">
        <v>74</v>
      </c>
      <c r="F281" t="s">
        <v>2234</v>
      </c>
      <c r="G281" t="s">
        <v>74</v>
      </c>
      <c r="H281" t="s">
        <v>74</v>
      </c>
      <c r="I281" t="s">
        <v>2235</v>
      </c>
      <c r="J281" t="s">
        <v>124</v>
      </c>
      <c r="K281" t="s">
        <v>74</v>
      </c>
      <c r="L281" t="s">
        <v>74</v>
      </c>
      <c r="M281" t="s">
        <v>74</v>
      </c>
      <c r="N281" t="s">
        <v>74</v>
      </c>
      <c r="O281" t="s">
        <v>74</v>
      </c>
      <c r="P281" t="s">
        <v>74</v>
      </c>
      <c r="Q281" t="s">
        <v>74</v>
      </c>
      <c r="R281" t="s">
        <v>74</v>
      </c>
      <c r="S281" t="s">
        <v>74</v>
      </c>
      <c r="T281" t="s">
        <v>74</v>
      </c>
      <c r="U281" t="s">
        <v>74</v>
      </c>
      <c r="V281" t="s">
        <v>74</v>
      </c>
      <c r="W281" t="s">
        <v>74</v>
      </c>
      <c r="X281" t="s">
        <v>74</v>
      </c>
      <c r="Y281" t="s">
        <v>74</v>
      </c>
      <c r="Z281" t="s">
        <v>74</v>
      </c>
      <c r="AA281" t="s">
        <v>74</v>
      </c>
      <c r="AB281" t="s">
        <v>74</v>
      </c>
      <c r="AC281" t="s">
        <v>74</v>
      </c>
      <c r="AD281" t="s">
        <v>74</v>
      </c>
      <c r="AE281" t="s">
        <v>74</v>
      </c>
      <c r="AF281" t="s">
        <v>74</v>
      </c>
      <c r="AG281" t="s">
        <v>74</v>
      </c>
      <c r="AH281" t="s">
        <v>74</v>
      </c>
      <c r="AI281" t="s">
        <v>74</v>
      </c>
      <c r="AJ281" t="s">
        <v>74</v>
      </c>
      <c r="AK281" t="s">
        <v>74</v>
      </c>
      <c r="AL281" t="s">
        <v>74</v>
      </c>
      <c r="AM281" t="s">
        <v>74</v>
      </c>
      <c r="AN281" t="s">
        <v>74</v>
      </c>
      <c r="AO281" t="s">
        <v>127</v>
      </c>
      <c r="AP281" t="s">
        <v>128</v>
      </c>
      <c r="AQ281" t="s">
        <v>74</v>
      </c>
      <c r="AR281" t="s">
        <v>74</v>
      </c>
      <c r="AS281" t="s">
        <v>74</v>
      </c>
      <c r="AT281" t="s">
        <v>315</v>
      </c>
      <c r="AU281">
        <v>2021</v>
      </c>
      <c r="AV281">
        <v>848</v>
      </c>
      <c r="AW281">
        <v>1</v>
      </c>
      <c r="AX281" t="s">
        <v>74</v>
      </c>
      <c r="AY281" t="s">
        <v>74</v>
      </c>
      <c r="AZ281" t="s">
        <v>632</v>
      </c>
      <c r="BA281" t="s">
        <v>74</v>
      </c>
      <c r="BB281">
        <v>143</v>
      </c>
      <c r="BC281">
        <v>155</v>
      </c>
      <c r="BD281" t="s">
        <v>74</v>
      </c>
      <c r="BE281" t="s">
        <v>2236</v>
      </c>
      <c r="BF281" t="str">
        <f>HYPERLINK("http://dx.doi.org/10.1007/s10750-020-04246-6","http://dx.doi.org/10.1007/s10750-020-04246-6")</f>
        <v>http://dx.doi.org/10.1007/s10750-020-04246-6</v>
      </c>
      <c r="BG281" t="s">
        <v>74</v>
      </c>
      <c r="BH281" t="s">
        <v>2209</v>
      </c>
      <c r="BI281" t="s">
        <v>74</v>
      </c>
      <c r="BJ281" t="s">
        <v>74</v>
      </c>
      <c r="BK281" t="s">
        <v>74</v>
      </c>
      <c r="BL281" t="s">
        <v>74</v>
      </c>
      <c r="BM281" t="s">
        <v>74</v>
      </c>
      <c r="BN281" t="s">
        <v>74</v>
      </c>
      <c r="BO281" t="s">
        <v>74</v>
      </c>
      <c r="BP281" t="s">
        <v>74</v>
      </c>
      <c r="BQ281" t="s">
        <v>74</v>
      </c>
      <c r="BR281" t="s">
        <v>74</v>
      </c>
      <c r="BS281" t="s">
        <v>2237</v>
      </c>
      <c r="BT281" t="str">
        <f>HYPERLINK("https%3A%2F%2Fwww.webofscience.com%2Fwos%2Fwoscc%2Ffull-record%2FWOS:000527483600001","View Full Record in Web of Science")</f>
        <v>View Full Record in Web of Science</v>
      </c>
    </row>
    <row r="282" spans="1:72" x14ac:dyDescent="0.2">
      <c r="A282" t="s">
        <v>72</v>
      </c>
      <c r="B282" t="s">
        <v>2238</v>
      </c>
      <c r="C282" t="s">
        <v>74</v>
      </c>
      <c r="D282" t="s">
        <v>74</v>
      </c>
      <c r="E282" t="s">
        <v>74</v>
      </c>
      <c r="F282" t="s">
        <v>2239</v>
      </c>
      <c r="G282" t="s">
        <v>74</v>
      </c>
      <c r="H282" t="s">
        <v>74</v>
      </c>
      <c r="I282" t="s">
        <v>2240</v>
      </c>
      <c r="J282" t="s">
        <v>124</v>
      </c>
      <c r="K282" t="s">
        <v>74</v>
      </c>
      <c r="L282" t="s">
        <v>74</v>
      </c>
      <c r="M282" t="s">
        <v>74</v>
      </c>
      <c r="N282" t="s">
        <v>74</v>
      </c>
      <c r="O282" t="s">
        <v>74</v>
      </c>
      <c r="P282" t="s">
        <v>74</v>
      </c>
      <c r="Q282" t="s">
        <v>74</v>
      </c>
      <c r="R282" t="s">
        <v>74</v>
      </c>
      <c r="S282" t="s">
        <v>74</v>
      </c>
      <c r="T282" t="s">
        <v>74</v>
      </c>
      <c r="U282" t="s">
        <v>74</v>
      </c>
      <c r="V282" t="s">
        <v>74</v>
      </c>
      <c r="W282" t="s">
        <v>74</v>
      </c>
      <c r="X282" t="s">
        <v>74</v>
      </c>
      <c r="Y282" t="s">
        <v>74</v>
      </c>
      <c r="Z282" t="s">
        <v>74</v>
      </c>
      <c r="AA282" t="s">
        <v>2241</v>
      </c>
      <c r="AB282" t="s">
        <v>2242</v>
      </c>
      <c r="AC282" t="s">
        <v>74</v>
      </c>
      <c r="AD282" t="s">
        <v>74</v>
      </c>
      <c r="AE282" t="s">
        <v>74</v>
      </c>
      <c r="AF282" t="s">
        <v>74</v>
      </c>
      <c r="AG282" t="s">
        <v>74</v>
      </c>
      <c r="AH282" t="s">
        <v>74</v>
      </c>
      <c r="AI282" t="s">
        <v>74</v>
      </c>
      <c r="AJ282" t="s">
        <v>74</v>
      </c>
      <c r="AK282" t="s">
        <v>74</v>
      </c>
      <c r="AL282" t="s">
        <v>74</v>
      </c>
      <c r="AM282" t="s">
        <v>74</v>
      </c>
      <c r="AN282" t="s">
        <v>74</v>
      </c>
      <c r="AO282" t="s">
        <v>127</v>
      </c>
      <c r="AP282" t="s">
        <v>128</v>
      </c>
      <c r="AQ282" t="s">
        <v>74</v>
      </c>
      <c r="AR282" t="s">
        <v>74</v>
      </c>
      <c r="AS282" t="s">
        <v>74</v>
      </c>
      <c r="AT282" t="s">
        <v>569</v>
      </c>
      <c r="AU282">
        <v>2020</v>
      </c>
      <c r="AV282">
        <v>847</v>
      </c>
      <c r="AW282">
        <v>10</v>
      </c>
      <c r="AX282" t="s">
        <v>74</v>
      </c>
      <c r="AY282" t="s">
        <v>74</v>
      </c>
      <c r="AZ282" t="s">
        <v>74</v>
      </c>
      <c r="BA282" t="s">
        <v>74</v>
      </c>
      <c r="BB282">
        <v>2225</v>
      </c>
      <c r="BC282">
        <v>2239</v>
      </c>
      <c r="BD282" t="s">
        <v>74</v>
      </c>
      <c r="BE282" t="s">
        <v>2243</v>
      </c>
      <c r="BF282" t="str">
        <f>HYPERLINK("http://dx.doi.org/10.1007/s10750-020-04250-w","http://dx.doi.org/10.1007/s10750-020-04250-w")</f>
        <v>http://dx.doi.org/10.1007/s10750-020-04250-w</v>
      </c>
      <c r="BG282" t="s">
        <v>74</v>
      </c>
      <c r="BH282" t="s">
        <v>2209</v>
      </c>
      <c r="BI282" t="s">
        <v>74</v>
      </c>
      <c r="BJ282" t="s">
        <v>74</v>
      </c>
      <c r="BK282" t="s">
        <v>74</v>
      </c>
      <c r="BL282" t="s">
        <v>74</v>
      </c>
      <c r="BM282" t="s">
        <v>74</v>
      </c>
      <c r="BN282" t="s">
        <v>74</v>
      </c>
      <c r="BO282" t="s">
        <v>74</v>
      </c>
      <c r="BP282" t="s">
        <v>74</v>
      </c>
      <c r="BQ282" t="s">
        <v>74</v>
      </c>
      <c r="BR282" t="s">
        <v>74</v>
      </c>
      <c r="BS282" t="s">
        <v>2244</v>
      </c>
      <c r="BT282" t="str">
        <f>HYPERLINK("https%3A%2F%2Fwww.webofscience.com%2Fwos%2Fwoscc%2Ffull-record%2FWOS:000526238700002","View Full Record in Web of Science")</f>
        <v>View Full Record in Web of Science</v>
      </c>
    </row>
    <row r="283" spans="1:72" x14ac:dyDescent="0.2">
      <c r="A283" t="s">
        <v>72</v>
      </c>
      <c r="B283" t="s">
        <v>2245</v>
      </c>
      <c r="C283" t="s">
        <v>74</v>
      </c>
      <c r="D283" t="s">
        <v>74</v>
      </c>
      <c r="E283" t="s">
        <v>74</v>
      </c>
      <c r="F283" t="s">
        <v>2246</v>
      </c>
      <c r="G283" t="s">
        <v>74</v>
      </c>
      <c r="H283" t="s">
        <v>74</v>
      </c>
      <c r="I283" t="s">
        <v>2247</v>
      </c>
      <c r="J283" t="s">
        <v>1543</v>
      </c>
      <c r="K283" t="s">
        <v>74</v>
      </c>
      <c r="L283" t="s">
        <v>74</v>
      </c>
      <c r="M283" t="s">
        <v>74</v>
      </c>
      <c r="N283" t="s">
        <v>74</v>
      </c>
      <c r="O283" t="s">
        <v>74</v>
      </c>
      <c r="P283" t="s">
        <v>74</v>
      </c>
      <c r="Q283" t="s">
        <v>74</v>
      </c>
      <c r="R283" t="s">
        <v>74</v>
      </c>
      <c r="S283" t="s">
        <v>74</v>
      </c>
      <c r="T283" t="s">
        <v>74</v>
      </c>
      <c r="U283" t="s">
        <v>74</v>
      </c>
      <c r="V283" t="s">
        <v>74</v>
      </c>
      <c r="W283" t="s">
        <v>74</v>
      </c>
      <c r="X283" t="s">
        <v>74</v>
      </c>
      <c r="Y283" t="s">
        <v>74</v>
      </c>
      <c r="Z283" t="s">
        <v>74</v>
      </c>
      <c r="AA283" t="s">
        <v>6939</v>
      </c>
      <c r="AB283" t="s">
        <v>6940</v>
      </c>
      <c r="AC283" t="s">
        <v>74</v>
      </c>
      <c r="AD283" t="s">
        <v>74</v>
      </c>
      <c r="AE283" t="s">
        <v>74</v>
      </c>
      <c r="AF283" t="s">
        <v>74</v>
      </c>
      <c r="AG283" t="s">
        <v>74</v>
      </c>
      <c r="AH283" t="s">
        <v>74</v>
      </c>
      <c r="AI283" t="s">
        <v>74</v>
      </c>
      <c r="AJ283" t="s">
        <v>74</v>
      </c>
      <c r="AK283" t="s">
        <v>74</v>
      </c>
      <c r="AL283" t="s">
        <v>74</v>
      </c>
      <c r="AM283" t="s">
        <v>74</v>
      </c>
      <c r="AN283" t="s">
        <v>74</v>
      </c>
      <c r="AO283" t="s">
        <v>1545</v>
      </c>
      <c r="AP283" t="s">
        <v>1546</v>
      </c>
      <c r="AQ283" t="s">
        <v>74</v>
      </c>
      <c r="AR283" t="s">
        <v>74</v>
      </c>
      <c r="AS283" t="s">
        <v>74</v>
      </c>
      <c r="AT283" t="s">
        <v>286</v>
      </c>
      <c r="AU283">
        <v>2020</v>
      </c>
      <c r="AV283">
        <v>10</v>
      </c>
      <c r="AW283">
        <v>2</v>
      </c>
      <c r="AX283" t="s">
        <v>74</v>
      </c>
      <c r="AY283" t="s">
        <v>74</v>
      </c>
      <c r="AZ283" t="s">
        <v>74</v>
      </c>
      <c r="BA283" t="s">
        <v>74</v>
      </c>
      <c r="BB283">
        <v>212</v>
      </c>
      <c r="BC283">
        <v>226</v>
      </c>
      <c r="BD283" t="s">
        <v>74</v>
      </c>
      <c r="BE283" t="s">
        <v>2248</v>
      </c>
      <c r="BF283" t="str">
        <f>HYPERLINK("http://dx.doi.org/10.1080/20442041.2020.1724047","http://dx.doi.org/10.1080/20442041.2020.1724047")</f>
        <v>http://dx.doi.org/10.1080/20442041.2020.1724047</v>
      </c>
      <c r="BG283" t="s">
        <v>74</v>
      </c>
      <c r="BH283" t="s">
        <v>2209</v>
      </c>
      <c r="BI283" t="s">
        <v>74</v>
      </c>
      <c r="BJ283" t="s">
        <v>74</v>
      </c>
      <c r="BK283" t="s">
        <v>74</v>
      </c>
      <c r="BL283" t="s">
        <v>74</v>
      </c>
      <c r="BM283" t="s">
        <v>74</v>
      </c>
      <c r="BN283" t="s">
        <v>74</v>
      </c>
      <c r="BO283" t="s">
        <v>74</v>
      </c>
      <c r="BP283" t="s">
        <v>74</v>
      </c>
      <c r="BQ283" t="s">
        <v>74</v>
      </c>
      <c r="BR283" t="s">
        <v>74</v>
      </c>
      <c r="BS283" t="s">
        <v>2249</v>
      </c>
      <c r="BT283" t="str">
        <f>HYPERLINK("https%3A%2F%2Fwww.webofscience.com%2Fwos%2Fwoscc%2Ffull-record%2FWOS:000525133100001","View Full Record in Web of Science")</f>
        <v>View Full Record in Web of Science</v>
      </c>
    </row>
    <row r="284" spans="1:72" x14ac:dyDescent="0.2">
      <c r="A284" t="s">
        <v>72</v>
      </c>
      <c r="B284" t="s">
        <v>2250</v>
      </c>
      <c r="C284" t="s">
        <v>74</v>
      </c>
      <c r="D284" t="s">
        <v>74</v>
      </c>
      <c r="E284" t="s">
        <v>74</v>
      </c>
      <c r="F284" t="s">
        <v>2251</v>
      </c>
      <c r="G284" t="s">
        <v>74</v>
      </c>
      <c r="H284" t="s">
        <v>74</v>
      </c>
      <c r="I284" t="s">
        <v>2252</v>
      </c>
      <c r="J284" t="s">
        <v>124</v>
      </c>
      <c r="K284" t="s">
        <v>74</v>
      </c>
      <c r="L284" t="s">
        <v>74</v>
      </c>
      <c r="M284" t="s">
        <v>74</v>
      </c>
      <c r="N284" t="s">
        <v>74</v>
      </c>
      <c r="O284" t="s">
        <v>74</v>
      </c>
      <c r="P284" t="s">
        <v>74</v>
      </c>
      <c r="Q284" t="s">
        <v>74</v>
      </c>
      <c r="R284" t="s">
        <v>74</v>
      </c>
      <c r="S284" t="s">
        <v>74</v>
      </c>
      <c r="T284" t="s">
        <v>74</v>
      </c>
      <c r="U284" t="s">
        <v>74</v>
      </c>
      <c r="V284" t="s">
        <v>74</v>
      </c>
      <c r="W284" t="s">
        <v>74</v>
      </c>
      <c r="X284" t="s">
        <v>74</v>
      </c>
      <c r="Y284" t="s">
        <v>74</v>
      </c>
      <c r="Z284" t="s">
        <v>74</v>
      </c>
      <c r="AA284" t="s">
        <v>6941</v>
      </c>
      <c r="AB284" t="s">
        <v>6942</v>
      </c>
      <c r="AC284" t="s">
        <v>74</v>
      </c>
      <c r="AD284" t="s">
        <v>74</v>
      </c>
      <c r="AE284" t="s">
        <v>74</v>
      </c>
      <c r="AF284" t="s">
        <v>74</v>
      </c>
      <c r="AG284" t="s">
        <v>74</v>
      </c>
      <c r="AH284" t="s">
        <v>74</v>
      </c>
      <c r="AI284" t="s">
        <v>74</v>
      </c>
      <c r="AJ284" t="s">
        <v>74</v>
      </c>
      <c r="AK284" t="s">
        <v>74</v>
      </c>
      <c r="AL284" t="s">
        <v>74</v>
      </c>
      <c r="AM284" t="s">
        <v>74</v>
      </c>
      <c r="AN284" t="s">
        <v>74</v>
      </c>
      <c r="AO284" t="s">
        <v>127</v>
      </c>
      <c r="AP284" t="s">
        <v>128</v>
      </c>
      <c r="AQ284" t="s">
        <v>74</v>
      </c>
      <c r="AR284" t="s">
        <v>74</v>
      </c>
      <c r="AS284" t="s">
        <v>74</v>
      </c>
      <c r="AT284" t="s">
        <v>406</v>
      </c>
      <c r="AU284">
        <v>2020</v>
      </c>
      <c r="AV284">
        <v>847</v>
      </c>
      <c r="AW284">
        <v>18</v>
      </c>
      <c r="AX284" t="s">
        <v>74</v>
      </c>
      <c r="AY284" t="s">
        <v>74</v>
      </c>
      <c r="AZ284" t="s">
        <v>632</v>
      </c>
      <c r="BA284" t="s">
        <v>74</v>
      </c>
      <c r="BB284">
        <v>3845</v>
      </c>
      <c r="BC284">
        <v>3856</v>
      </c>
      <c r="BD284" t="s">
        <v>74</v>
      </c>
      <c r="BE284" t="s">
        <v>2253</v>
      </c>
      <c r="BF284" t="str">
        <f>HYPERLINK("http://dx.doi.org/10.1007/s10750-020-04234-w","http://dx.doi.org/10.1007/s10750-020-04234-w")</f>
        <v>http://dx.doi.org/10.1007/s10750-020-04234-w</v>
      </c>
      <c r="BG284" t="s">
        <v>74</v>
      </c>
      <c r="BH284" t="s">
        <v>2209</v>
      </c>
      <c r="BI284" t="s">
        <v>74</v>
      </c>
      <c r="BJ284" t="s">
        <v>74</v>
      </c>
      <c r="BK284" t="s">
        <v>74</v>
      </c>
      <c r="BL284" t="s">
        <v>74</v>
      </c>
      <c r="BM284" t="s">
        <v>74</v>
      </c>
      <c r="BN284" t="s">
        <v>74</v>
      </c>
      <c r="BO284" t="s">
        <v>74</v>
      </c>
      <c r="BP284" t="s">
        <v>74</v>
      </c>
      <c r="BQ284" t="s">
        <v>74</v>
      </c>
      <c r="BR284" t="s">
        <v>74</v>
      </c>
      <c r="BS284" t="s">
        <v>2254</v>
      </c>
      <c r="BT284" t="str">
        <f>HYPERLINK("https%3A%2F%2Fwww.webofscience.com%2Fwos%2Fwoscc%2Ffull-record%2FWOS:000523103900001","View Full Record in Web of Science")</f>
        <v>View Full Record in Web of Science</v>
      </c>
    </row>
    <row r="285" spans="1:72" x14ac:dyDescent="0.2">
      <c r="A285" t="s">
        <v>72</v>
      </c>
      <c r="B285" t="s">
        <v>2255</v>
      </c>
      <c r="C285" t="s">
        <v>74</v>
      </c>
      <c r="D285" t="s">
        <v>74</v>
      </c>
      <c r="E285" t="s">
        <v>74</v>
      </c>
      <c r="F285" t="s">
        <v>2256</v>
      </c>
      <c r="G285" t="s">
        <v>74</v>
      </c>
      <c r="H285" t="s">
        <v>74</v>
      </c>
      <c r="I285" t="s">
        <v>2257</v>
      </c>
      <c r="J285" t="s">
        <v>836</v>
      </c>
      <c r="K285" t="s">
        <v>74</v>
      </c>
      <c r="L285" t="s">
        <v>74</v>
      </c>
      <c r="M285" t="s">
        <v>74</v>
      </c>
      <c r="N285" t="s">
        <v>74</v>
      </c>
      <c r="O285" t="s">
        <v>74</v>
      </c>
      <c r="P285" t="s">
        <v>74</v>
      </c>
      <c r="Q285" t="s">
        <v>74</v>
      </c>
      <c r="R285" t="s">
        <v>74</v>
      </c>
      <c r="S285" t="s">
        <v>74</v>
      </c>
      <c r="T285" t="s">
        <v>74</v>
      </c>
      <c r="U285" t="s">
        <v>74</v>
      </c>
      <c r="V285" t="s">
        <v>74</v>
      </c>
      <c r="W285" t="s">
        <v>74</v>
      </c>
      <c r="X285" t="s">
        <v>74</v>
      </c>
      <c r="Y285" t="s">
        <v>74</v>
      </c>
      <c r="Z285" t="s">
        <v>74</v>
      </c>
      <c r="AA285" t="s">
        <v>6943</v>
      </c>
      <c r="AB285" t="s">
        <v>6944</v>
      </c>
      <c r="AC285" t="s">
        <v>74</v>
      </c>
      <c r="AD285" t="s">
        <v>74</v>
      </c>
      <c r="AE285" t="s">
        <v>74</v>
      </c>
      <c r="AF285" t="s">
        <v>74</v>
      </c>
      <c r="AG285" t="s">
        <v>74</v>
      </c>
      <c r="AH285" t="s">
        <v>74</v>
      </c>
      <c r="AI285" t="s">
        <v>74</v>
      </c>
      <c r="AJ285" t="s">
        <v>74</v>
      </c>
      <c r="AK285" t="s">
        <v>74</v>
      </c>
      <c r="AL285" t="s">
        <v>74</v>
      </c>
      <c r="AM285" t="s">
        <v>74</v>
      </c>
      <c r="AN285" t="s">
        <v>74</v>
      </c>
      <c r="AO285" t="s">
        <v>837</v>
      </c>
      <c r="AP285" t="s">
        <v>838</v>
      </c>
      <c r="AQ285" t="s">
        <v>74</v>
      </c>
      <c r="AR285" t="s">
        <v>74</v>
      </c>
      <c r="AS285" t="s">
        <v>74</v>
      </c>
      <c r="AT285" t="s">
        <v>203</v>
      </c>
      <c r="AU285">
        <v>2020</v>
      </c>
      <c r="AV285">
        <v>94</v>
      </c>
      <c r="AW285" t="s">
        <v>74</v>
      </c>
      <c r="AX285" t="s">
        <v>74</v>
      </c>
      <c r="AY285" t="s">
        <v>74</v>
      </c>
      <c r="AZ285" t="s">
        <v>74</v>
      </c>
      <c r="BA285" t="s">
        <v>74</v>
      </c>
      <c r="BB285" t="s">
        <v>74</v>
      </c>
      <c r="BC285" t="s">
        <v>74</v>
      </c>
      <c r="BD285">
        <v>101803</v>
      </c>
      <c r="BE285" t="s">
        <v>2258</v>
      </c>
      <c r="BF285" t="str">
        <f>HYPERLINK("http://dx.doi.org/10.1016/j.hal.2020.101803","http://dx.doi.org/10.1016/j.hal.2020.101803")</f>
        <v>http://dx.doi.org/10.1016/j.hal.2020.101803</v>
      </c>
      <c r="BG285" t="s">
        <v>74</v>
      </c>
      <c r="BH285" t="s">
        <v>74</v>
      </c>
      <c r="BI285" t="s">
        <v>74</v>
      </c>
      <c r="BJ285" t="s">
        <v>74</v>
      </c>
      <c r="BK285" t="s">
        <v>74</v>
      </c>
      <c r="BL285" t="s">
        <v>74</v>
      </c>
      <c r="BM285" t="s">
        <v>74</v>
      </c>
      <c r="BN285">
        <v>32414501</v>
      </c>
      <c r="BO285" t="s">
        <v>74</v>
      </c>
      <c r="BP285" t="s">
        <v>74</v>
      </c>
      <c r="BQ285" t="s">
        <v>74</v>
      </c>
      <c r="BR285" t="s">
        <v>74</v>
      </c>
      <c r="BS285" t="s">
        <v>2259</v>
      </c>
      <c r="BT285" t="str">
        <f>HYPERLINK("https%3A%2F%2Fwww.webofscience.com%2Fwos%2Fwoscc%2Ffull-record%2FWOS:000532817900003","View Full Record in Web of Science")</f>
        <v>View Full Record in Web of Science</v>
      </c>
    </row>
    <row r="286" spans="1:72" x14ac:dyDescent="0.2">
      <c r="A286" t="s">
        <v>72</v>
      </c>
      <c r="B286" t="s">
        <v>2260</v>
      </c>
      <c r="C286" t="s">
        <v>74</v>
      </c>
      <c r="D286" t="s">
        <v>74</v>
      </c>
      <c r="E286" t="s">
        <v>74</v>
      </c>
      <c r="F286" t="s">
        <v>2261</v>
      </c>
      <c r="G286" t="s">
        <v>74</v>
      </c>
      <c r="H286" t="s">
        <v>74</v>
      </c>
      <c r="I286" t="s">
        <v>2262</v>
      </c>
      <c r="J286" t="s">
        <v>292</v>
      </c>
      <c r="K286" t="s">
        <v>74</v>
      </c>
      <c r="L286" t="s">
        <v>74</v>
      </c>
      <c r="M286" t="s">
        <v>74</v>
      </c>
      <c r="N286" t="s">
        <v>74</v>
      </c>
      <c r="O286" t="s">
        <v>74</v>
      </c>
      <c r="P286" t="s">
        <v>74</v>
      </c>
      <c r="Q286" t="s">
        <v>74</v>
      </c>
      <c r="R286" t="s">
        <v>74</v>
      </c>
      <c r="S286" t="s">
        <v>74</v>
      </c>
      <c r="T286" t="s">
        <v>74</v>
      </c>
      <c r="U286" t="s">
        <v>74</v>
      </c>
      <c r="V286" t="s">
        <v>74</v>
      </c>
      <c r="W286" t="s">
        <v>74</v>
      </c>
      <c r="X286" t="s">
        <v>74</v>
      </c>
      <c r="Y286" t="s">
        <v>74</v>
      </c>
      <c r="Z286" t="s">
        <v>74</v>
      </c>
      <c r="AA286" t="s">
        <v>6945</v>
      </c>
      <c r="AB286" t="s">
        <v>6946</v>
      </c>
      <c r="AC286" t="s">
        <v>74</v>
      </c>
      <c r="AD286" t="s">
        <v>74</v>
      </c>
      <c r="AE286" t="s">
        <v>74</v>
      </c>
      <c r="AF286" t="s">
        <v>74</v>
      </c>
      <c r="AG286" t="s">
        <v>74</v>
      </c>
      <c r="AH286" t="s">
        <v>74</v>
      </c>
      <c r="AI286" t="s">
        <v>74</v>
      </c>
      <c r="AJ286" t="s">
        <v>74</v>
      </c>
      <c r="AK286" t="s">
        <v>74</v>
      </c>
      <c r="AL286" t="s">
        <v>74</v>
      </c>
      <c r="AM286" t="s">
        <v>74</v>
      </c>
      <c r="AN286" t="s">
        <v>74</v>
      </c>
      <c r="AO286" t="s">
        <v>74</v>
      </c>
      <c r="AP286" t="s">
        <v>294</v>
      </c>
      <c r="AQ286" t="s">
        <v>74</v>
      </c>
      <c r="AR286" t="s">
        <v>74</v>
      </c>
      <c r="AS286" t="s">
        <v>74</v>
      </c>
      <c r="AT286" t="s">
        <v>203</v>
      </c>
      <c r="AU286">
        <v>2020</v>
      </c>
      <c r="AV286">
        <v>12</v>
      </c>
      <c r="AW286">
        <v>4</v>
      </c>
      <c r="AX286" t="s">
        <v>74</v>
      </c>
      <c r="AY286" t="s">
        <v>74</v>
      </c>
      <c r="AZ286" t="s">
        <v>74</v>
      </c>
      <c r="BA286" t="s">
        <v>74</v>
      </c>
      <c r="BB286" t="s">
        <v>74</v>
      </c>
      <c r="BC286" t="s">
        <v>74</v>
      </c>
      <c r="BD286">
        <v>147</v>
      </c>
      <c r="BE286" t="s">
        <v>2263</v>
      </c>
      <c r="BF286" t="str">
        <f>HYPERLINK("http://dx.doi.org/10.3390/d12040147","http://dx.doi.org/10.3390/d12040147")</f>
        <v>http://dx.doi.org/10.3390/d12040147</v>
      </c>
      <c r="BG286" t="s">
        <v>74</v>
      </c>
      <c r="BH286" t="s">
        <v>74</v>
      </c>
      <c r="BI286" t="s">
        <v>74</v>
      </c>
      <c r="BJ286" t="s">
        <v>74</v>
      </c>
      <c r="BK286" t="s">
        <v>74</v>
      </c>
      <c r="BL286" t="s">
        <v>74</v>
      </c>
      <c r="BM286" t="s">
        <v>74</v>
      </c>
      <c r="BN286" t="s">
        <v>74</v>
      </c>
      <c r="BO286" t="s">
        <v>74</v>
      </c>
      <c r="BP286" t="s">
        <v>74</v>
      </c>
      <c r="BQ286" t="s">
        <v>74</v>
      </c>
      <c r="BR286" t="s">
        <v>74</v>
      </c>
      <c r="BS286" t="s">
        <v>2264</v>
      </c>
      <c r="BT286" t="str">
        <f>HYPERLINK("https%3A%2F%2Fwww.webofscience.com%2Fwos%2Fwoscc%2Ffull-record%2FWOS:000533906300011","View Full Record in Web of Science")</f>
        <v>View Full Record in Web of Science</v>
      </c>
    </row>
    <row r="287" spans="1:72" x14ac:dyDescent="0.2">
      <c r="A287" t="s">
        <v>72</v>
      </c>
      <c r="B287" t="s">
        <v>2265</v>
      </c>
      <c r="C287" t="s">
        <v>74</v>
      </c>
      <c r="D287" t="s">
        <v>74</v>
      </c>
      <c r="E287" t="s">
        <v>74</v>
      </c>
      <c r="F287" t="s">
        <v>2266</v>
      </c>
      <c r="G287" t="s">
        <v>74</v>
      </c>
      <c r="H287" t="s">
        <v>74</v>
      </c>
      <c r="I287" t="s">
        <v>2267</v>
      </c>
      <c r="J287" t="s">
        <v>2268</v>
      </c>
      <c r="K287" t="s">
        <v>74</v>
      </c>
      <c r="L287" t="s">
        <v>74</v>
      </c>
      <c r="M287" t="s">
        <v>74</v>
      </c>
      <c r="N287" t="s">
        <v>74</v>
      </c>
      <c r="O287" t="s">
        <v>74</v>
      </c>
      <c r="P287" t="s">
        <v>74</v>
      </c>
      <c r="Q287" t="s">
        <v>74</v>
      </c>
      <c r="R287" t="s">
        <v>74</v>
      </c>
      <c r="S287" t="s">
        <v>74</v>
      </c>
      <c r="T287" t="s">
        <v>74</v>
      </c>
      <c r="U287" t="s">
        <v>74</v>
      </c>
      <c r="V287" t="s">
        <v>74</v>
      </c>
      <c r="W287" t="s">
        <v>74</v>
      </c>
      <c r="X287" t="s">
        <v>74</v>
      </c>
      <c r="Y287" t="s">
        <v>74</v>
      </c>
      <c r="Z287" t="s">
        <v>74</v>
      </c>
      <c r="AA287" t="s">
        <v>6947</v>
      </c>
      <c r="AB287" t="s">
        <v>6948</v>
      </c>
      <c r="AC287" t="s">
        <v>74</v>
      </c>
      <c r="AD287" t="s">
        <v>74</v>
      </c>
      <c r="AE287" t="s">
        <v>74</v>
      </c>
      <c r="AF287" t="s">
        <v>74</v>
      </c>
      <c r="AG287" t="s">
        <v>74</v>
      </c>
      <c r="AH287" t="s">
        <v>74</v>
      </c>
      <c r="AI287" t="s">
        <v>74</v>
      </c>
      <c r="AJ287" t="s">
        <v>74</v>
      </c>
      <c r="AK287" t="s">
        <v>74</v>
      </c>
      <c r="AL287" t="s">
        <v>74</v>
      </c>
      <c r="AM287" t="s">
        <v>74</v>
      </c>
      <c r="AN287" t="s">
        <v>74</v>
      </c>
      <c r="AO287" t="s">
        <v>2269</v>
      </c>
      <c r="AP287" t="s">
        <v>2270</v>
      </c>
      <c r="AQ287" t="s">
        <v>74</v>
      </c>
      <c r="AR287" t="s">
        <v>74</v>
      </c>
      <c r="AS287" t="s">
        <v>74</v>
      </c>
      <c r="AT287" t="s">
        <v>203</v>
      </c>
      <c r="AU287">
        <v>2020</v>
      </c>
      <c r="AV287">
        <v>195</v>
      </c>
      <c r="AW287">
        <v>4</v>
      </c>
      <c r="AX287" t="s">
        <v>74</v>
      </c>
      <c r="AY287" t="s">
        <v>74</v>
      </c>
      <c r="AZ287" t="s">
        <v>74</v>
      </c>
      <c r="BA287" t="s">
        <v>74</v>
      </c>
      <c r="BB287" t="s">
        <v>2271</v>
      </c>
      <c r="BC287" t="s">
        <v>2272</v>
      </c>
      <c r="BD287" t="s">
        <v>74</v>
      </c>
      <c r="BE287" t="s">
        <v>2273</v>
      </c>
      <c r="BF287" t="str">
        <f>HYPERLINK("http://dx.doi.org/10.1086/707394","http://dx.doi.org/10.1086/707394")</f>
        <v>http://dx.doi.org/10.1086/707394</v>
      </c>
      <c r="BG287" t="s">
        <v>74</v>
      </c>
      <c r="BH287" t="s">
        <v>74</v>
      </c>
      <c r="BI287" t="s">
        <v>74</v>
      </c>
      <c r="BJ287" t="s">
        <v>74</v>
      </c>
      <c r="BK287" t="s">
        <v>74</v>
      </c>
      <c r="BL287" t="s">
        <v>74</v>
      </c>
      <c r="BM287" t="s">
        <v>74</v>
      </c>
      <c r="BN287">
        <v>32216662</v>
      </c>
      <c r="BO287" t="s">
        <v>74</v>
      </c>
      <c r="BP287" t="s">
        <v>74</v>
      </c>
      <c r="BQ287" t="s">
        <v>74</v>
      </c>
      <c r="BR287" t="s">
        <v>74</v>
      </c>
      <c r="BS287" t="s">
        <v>2274</v>
      </c>
      <c r="BT287" t="str">
        <f>HYPERLINK("https%3A%2F%2Fwww.webofscience.com%2Fwos%2Fwoscc%2Ffull-record%2FWOS:000536127600001","View Full Record in Web of Science")</f>
        <v>View Full Record in Web of Science</v>
      </c>
    </row>
    <row r="288" spans="1:72" x14ac:dyDescent="0.2">
      <c r="A288" t="s">
        <v>72</v>
      </c>
      <c r="B288" t="s">
        <v>2275</v>
      </c>
      <c r="C288" t="s">
        <v>74</v>
      </c>
      <c r="D288" t="s">
        <v>74</v>
      </c>
      <c r="E288" t="s">
        <v>74</v>
      </c>
      <c r="F288" t="s">
        <v>2276</v>
      </c>
      <c r="G288" t="s">
        <v>74</v>
      </c>
      <c r="H288" t="s">
        <v>74</v>
      </c>
      <c r="I288" t="s">
        <v>2277</v>
      </c>
      <c r="J288" t="s">
        <v>2278</v>
      </c>
      <c r="K288" t="s">
        <v>74</v>
      </c>
      <c r="L288" t="s">
        <v>74</v>
      </c>
      <c r="M288" t="s">
        <v>74</v>
      </c>
      <c r="N288" t="s">
        <v>74</v>
      </c>
      <c r="O288" t="s">
        <v>74</v>
      </c>
      <c r="P288" t="s">
        <v>74</v>
      </c>
      <c r="Q288" t="s">
        <v>74</v>
      </c>
      <c r="R288" t="s">
        <v>74</v>
      </c>
      <c r="S288" t="s">
        <v>74</v>
      </c>
      <c r="T288" t="s">
        <v>74</v>
      </c>
      <c r="U288" t="s">
        <v>74</v>
      </c>
      <c r="V288" t="s">
        <v>74</v>
      </c>
      <c r="W288" t="s">
        <v>74</v>
      </c>
      <c r="X288" t="s">
        <v>74</v>
      </c>
      <c r="Y288" t="s">
        <v>74</v>
      </c>
      <c r="Z288" t="s">
        <v>74</v>
      </c>
      <c r="AA288" t="s">
        <v>6949</v>
      </c>
      <c r="AB288" t="s">
        <v>6950</v>
      </c>
      <c r="AC288" t="s">
        <v>74</v>
      </c>
      <c r="AD288" t="s">
        <v>74</v>
      </c>
      <c r="AE288" t="s">
        <v>74</v>
      </c>
      <c r="AF288" t="s">
        <v>74</v>
      </c>
      <c r="AG288" t="s">
        <v>74</v>
      </c>
      <c r="AH288" t="s">
        <v>74</v>
      </c>
      <c r="AI288" t="s">
        <v>74</v>
      </c>
      <c r="AJ288" t="s">
        <v>74</v>
      </c>
      <c r="AK288" t="s">
        <v>74</v>
      </c>
      <c r="AL288" t="s">
        <v>74</v>
      </c>
      <c r="AM288" t="s">
        <v>74</v>
      </c>
      <c r="AN288" t="s">
        <v>74</v>
      </c>
      <c r="AO288" t="s">
        <v>2279</v>
      </c>
      <c r="AP288" t="s">
        <v>2280</v>
      </c>
      <c r="AQ288" t="s">
        <v>74</v>
      </c>
      <c r="AR288" t="s">
        <v>74</v>
      </c>
      <c r="AS288" t="s">
        <v>74</v>
      </c>
      <c r="AT288" t="s">
        <v>203</v>
      </c>
      <c r="AU288">
        <v>2020</v>
      </c>
      <c r="AV288">
        <v>223</v>
      </c>
      <c r="AW288">
        <v>7</v>
      </c>
      <c r="AX288" t="s">
        <v>74</v>
      </c>
      <c r="AY288" t="s">
        <v>74</v>
      </c>
      <c r="AZ288" t="s">
        <v>74</v>
      </c>
      <c r="BA288" t="s">
        <v>74</v>
      </c>
      <c r="BB288" t="s">
        <v>74</v>
      </c>
      <c r="BC288" t="s">
        <v>74</v>
      </c>
      <c r="BD288" t="s">
        <v>2281</v>
      </c>
      <c r="BE288" t="s">
        <v>2282</v>
      </c>
      <c r="BF288" t="str">
        <f>HYPERLINK("http://dx.doi.org/10.1242/jeb.209676","http://dx.doi.org/10.1242/jeb.209676")</f>
        <v>http://dx.doi.org/10.1242/jeb.209676</v>
      </c>
      <c r="BG288" t="s">
        <v>74</v>
      </c>
      <c r="BH288" t="s">
        <v>74</v>
      </c>
      <c r="BI288" t="s">
        <v>74</v>
      </c>
      <c r="BJ288" t="s">
        <v>74</v>
      </c>
      <c r="BK288" t="s">
        <v>74</v>
      </c>
      <c r="BL288" t="s">
        <v>74</v>
      </c>
      <c r="BM288" t="s">
        <v>74</v>
      </c>
      <c r="BN288" t="s">
        <v>74</v>
      </c>
      <c r="BO288" t="s">
        <v>74</v>
      </c>
      <c r="BP288" t="s">
        <v>74</v>
      </c>
      <c r="BQ288" t="s">
        <v>74</v>
      </c>
      <c r="BR288" t="s">
        <v>74</v>
      </c>
      <c r="BS288" t="s">
        <v>2283</v>
      </c>
      <c r="BT288" t="str">
        <f>HYPERLINK("https%3A%2F%2Fwww.webofscience.com%2Fwos%2Fwoscc%2Ffull-record%2FWOS:000541832400004","View Full Record in Web of Science")</f>
        <v>View Full Record in Web of Science</v>
      </c>
    </row>
    <row r="289" spans="1:72" x14ac:dyDescent="0.2">
      <c r="A289" t="s">
        <v>72</v>
      </c>
      <c r="B289" t="s">
        <v>2284</v>
      </c>
      <c r="C289" t="s">
        <v>74</v>
      </c>
      <c r="D289" t="s">
        <v>74</v>
      </c>
      <c r="E289" t="s">
        <v>74</v>
      </c>
      <c r="F289" t="s">
        <v>2285</v>
      </c>
      <c r="G289" t="s">
        <v>74</v>
      </c>
      <c r="H289" t="s">
        <v>74</v>
      </c>
      <c r="I289" t="s">
        <v>2286</v>
      </c>
      <c r="J289" t="s">
        <v>381</v>
      </c>
      <c r="K289" t="s">
        <v>74</v>
      </c>
      <c r="L289" t="s">
        <v>74</v>
      </c>
      <c r="M289" t="s">
        <v>74</v>
      </c>
      <c r="N289" t="s">
        <v>74</v>
      </c>
      <c r="O289" t="s">
        <v>74</v>
      </c>
      <c r="P289" t="s">
        <v>74</v>
      </c>
      <c r="Q289" t="s">
        <v>74</v>
      </c>
      <c r="R289" t="s">
        <v>74</v>
      </c>
      <c r="S289" t="s">
        <v>74</v>
      </c>
      <c r="T289" t="s">
        <v>74</v>
      </c>
      <c r="U289" t="s">
        <v>74</v>
      </c>
      <c r="V289" t="s">
        <v>74</v>
      </c>
      <c r="W289" t="s">
        <v>74</v>
      </c>
      <c r="X289" t="s">
        <v>74</v>
      </c>
      <c r="Y289" t="s">
        <v>74</v>
      </c>
      <c r="Z289" t="s">
        <v>74</v>
      </c>
      <c r="AA289" t="s">
        <v>6951</v>
      </c>
      <c r="AB289" t="s">
        <v>2161</v>
      </c>
      <c r="AC289" t="s">
        <v>74</v>
      </c>
      <c r="AD289" t="s">
        <v>74</v>
      </c>
      <c r="AE289" t="s">
        <v>74</v>
      </c>
      <c r="AF289" t="s">
        <v>74</v>
      </c>
      <c r="AG289" t="s">
        <v>74</v>
      </c>
      <c r="AH289" t="s">
        <v>74</v>
      </c>
      <c r="AI289" t="s">
        <v>74</v>
      </c>
      <c r="AJ289" t="s">
        <v>74</v>
      </c>
      <c r="AK289" t="s">
        <v>74</v>
      </c>
      <c r="AL289" t="s">
        <v>74</v>
      </c>
      <c r="AM289" t="s">
        <v>74</v>
      </c>
      <c r="AN289" t="s">
        <v>74</v>
      </c>
      <c r="AO289" t="s">
        <v>383</v>
      </c>
      <c r="AP289" t="s">
        <v>384</v>
      </c>
      <c r="AQ289" t="s">
        <v>74</v>
      </c>
      <c r="AR289" t="s">
        <v>74</v>
      </c>
      <c r="AS289" t="s">
        <v>74</v>
      </c>
      <c r="AT289" t="s">
        <v>203</v>
      </c>
      <c r="AU289">
        <v>2020</v>
      </c>
      <c r="AV289">
        <v>259</v>
      </c>
      <c r="AW289" t="s">
        <v>74</v>
      </c>
      <c r="AX289" t="s">
        <v>74</v>
      </c>
      <c r="AY289" t="s">
        <v>74</v>
      </c>
      <c r="AZ289" t="s">
        <v>74</v>
      </c>
      <c r="BA289" t="s">
        <v>74</v>
      </c>
      <c r="BB289" t="s">
        <v>74</v>
      </c>
      <c r="BC289" t="s">
        <v>74</v>
      </c>
      <c r="BD289">
        <v>113890</v>
      </c>
      <c r="BE289" t="s">
        <v>2288</v>
      </c>
      <c r="BF289" t="str">
        <f>HYPERLINK("http://dx.doi.org/10.1016/j.envpol.2019.113890","http://dx.doi.org/10.1016/j.envpol.2019.113890")</f>
        <v>http://dx.doi.org/10.1016/j.envpol.2019.113890</v>
      </c>
      <c r="BG289" t="s">
        <v>74</v>
      </c>
      <c r="BH289" t="s">
        <v>74</v>
      </c>
      <c r="BI289" t="s">
        <v>74</v>
      </c>
      <c r="BJ289" t="s">
        <v>74</v>
      </c>
      <c r="BK289" t="s">
        <v>74</v>
      </c>
      <c r="BL289" t="s">
        <v>74</v>
      </c>
      <c r="BM289" t="s">
        <v>74</v>
      </c>
      <c r="BN289">
        <v>31918145</v>
      </c>
      <c r="BO289" t="s">
        <v>74</v>
      </c>
      <c r="BP289" t="s">
        <v>74</v>
      </c>
      <c r="BQ289" t="s">
        <v>74</v>
      </c>
      <c r="BR289" t="s">
        <v>74</v>
      </c>
      <c r="BS289" t="s">
        <v>2289</v>
      </c>
      <c r="BT289" t="str">
        <f>HYPERLINK("https%3A%2F%2Fwww.webofscience.com%2Fwos%2Fwoscc%2Ffull-record%2FWOS:000528534600050","View Full Record in Web of Science")</f>
        <v>View Full Record in Web of Science</v>
      </c>
    </row>
    <row r="290" spans="1:72" x14ac:dyDescent="0.2">
      <c r="A290" t="s">
        <v>72</v>
      </c>
      <c r="B290" t="s">
        <v>2290</v>
      </c>
      <c r="C290" t="s">
        <v>74</v>
      </c>
      <c r="D290" t="s">
        <v>74</v>
      </c>
      <c r="E290" t="s">
        <v>74</v>
      </c>
      <c r="F290" t="s">
        <v>2291</v>
      </c>
      <c r="G290" t="s">
        <v>74</v>
      </c>
      <c r="H290" t="s">
        <v>74</v>
      </c>
      <c r="I290" t="s">
        <v>2292</v>
      </c>
      <c r="J290" t="s">
        <v>934</v>
      </c>
      <c r="K290" t="s">
        <v>74</v>
      </c>
      <c r="L290" t="s">
        <v>74</v>
      </c>
      <c r="M290" t="s">
        <v>74</v>
      </c>
      <c r="N290" t="s">
        <v>74</v>
      </c>
      <c r="O290" t="s">
        <v>74</v>
      </c>
      <c r="P290" t="s">
        <v>74</v>
      </c>
      <c r="Q290" t="s">
        <v>74</v>
      </c>
      <c r="R290" t="s">
        <v>74</v>
      </c>
      <c r="S290" t="s">
        <v>74</v>
      </c>
      <c r="T290" t="s">
        <v>74</v>
      </c>
      <c r="U290" t="s">
        <v>74</v>
      </c>
      <c r="V290" t="s">
        <v>74</v>
      </c>
      <c r="W290" t="s">
        <v>74</v>
      </c>
      <c r="X290" t="s">
        <v>74</v>
      </c>
      <c r="Y290" t="s">
        <v>74</v>
      </c>
      <c r="Z290" t="s">
        <v>74</v>
      </c>
      <c r="AA290" t="s">
        <v>2293</v>
      </c>
      <c r="AB290" t="s">
        <v>2294</v>
      </c>
      <c r="AC290" t="s">
        <v>74</v>
      </c>
      <c r="AD290" t="s">
        <v>74</v>
      </c>
      <c r="AE290" t="s">
        <v>74</v>
      </c>
      <c r="AF290" t="s">
        <v>74</v>
      </c>
      <c r="AG290" t="s">
        <v>74</v>
      </c>
      <c r="AH290" t="s">
        <v>74</v>
      </c>
      <c r="AI290" t="s">
        <v>74</v>
      </c>
      <c r="AJ290" t="s">
        <v>74</v>
      </c>
      <c r="AK290" t="s">
        <v>74</v>
      </c>
      <c r="AL290" t="s">
        <v>74</v>
      </c>
      <c r="AM290" t="s">
        <v>74</v>
      </c>
      <c r="AN290" t="s">
        <v>74</v>
      </c>
      <c r="AO290" t="s">
        <v>936</v>
      </c>
      <c r="AP290" t="s">
        <v>937</v>
      </c>
      <c r="AQ290" t="s">
        <v>74</v>
      </c>
      <c r="AR290" t="s">
        <v>74</v>
      </c>
      <c r="AS290" t="s">
        <v>74</v>
      </c>
      <c r="AT290" t="s">
        <v>569</v>
      </c>
      <c r="AU290">
        <v>2020</v>
      </c>
      <c r="AV290">
        <v>96</v>
      </c>
      <c r="AW290">
        <v>6</v>
      </c>
      <c r="AX290" t="s">
        <v>74</v>
      </c>
      <c r="AY290" t="s">
        <v>74</v>
      </c>
      <c r="AZ290" t="s">
        <v>74</v>
      </c>
      <c r="BA290" t="s">
        <v>74</v>
      </c>
      <c r="BB290">
        <v>1463</v>
      </c>
      <c r="BC290">
        <v>1474</v>
      </c>
      <c r="BD290" t="s">
        <v>74</v>
      </c>
      <c r="BE290" t="s">
        <v>2295</v>
      </c>
      <c r="BF290" t="str">
        <f>HYPERLINK("http://dx.doi.org/10.1111/jfb.14322","http://dx.doi.org/10.1111/jfb.14322")</f>
        <v>http://dx.doi.org/10.1111/jfb.14322</v>
      </c>
      <c r="BG290" t="s">
        <v>74</v>
      </c>
      <c r="BH290" t="s">
        <v>2296</v>
      </c>
      <c r="BI290" t="s">
        <v>74</v>
      </c>
      <c r="BJ290" t="s">
        <v>74</v>
      </c>
      <c r="BK290" t="s">
        <v>74</v>
      </c>
      <c r="BL290" t="s">
        <v>74</v>
      </c>
      <c r="BM290" t="s">
        <v>74</v>
      </c>
      <c r="BN290">
        <v>32166740</v>
      </c>
      <c r="BO290" t="s">
        <v>74</v>
      </c>
      <c r="BP290" t="s">
        <v>74</v>
      </c>
      <c r="BQ290" t="s">
        <v>74</v>
      </c>
      <c r="BR290" t="s">
        <v>74</v>
      </c>
      <c r="BS290" t="s">
        <v>2297</v>
      </c>
      <c r="BT290" t="str">
        <f>HYPERLINK("https%3A%2F%2Fwww.webofscience.com%2Fwos%2Fwoscc%2Ffull-record%2FWOS:000521605500001","View Full Record in Web of Science")</f>
        <v>View Full Record in Web of Science</v>
      </c>
    </row>
    <row r="291" spans="1:72" x14ac:dyDescent="0.2">
      <c r="A291" t="s">
        <v>72</v>
      </c>
      <c r="B291" t="s">
        <v>2298</v>
      </c>
      <c r="C291" t="s">
        <v>74</v>
      </c>
      <c r="D291" t="s">
        <v>74</v>
      </c>
      <c r="E291" t="s">
        <v>74</v>
      </c>
      <c r="F291" t="s">
        <v>2299</v>
      </c>
      <c r="G291" t="s">
        <v>74</v>
      </c>
      <c r="H291" t="s">
        <v>74</v>
      </c>
      <c r="I291" t="s">
        <v>2300</v>
      </c>
      <c r="J291" t="s">
        <v>145</v>
      </c>
      <c r="K291" t="s">
        <v>74</v>
      </c>
      <c r="L291" t="s">
        <v>74</v>
      </c>
      <c r="M291" t="s">
        <v>74</v>
      </c>
      <c r="N291" t="s">
        <v>74</v>
      </c>
      <c r="O291" t="s">
        <v>74</v>
      </c>
      <c r="P291" t="s">
        <v>74</v>
      </c>
      <c r="Q291" t="s">
        <v>74</v>
      </c>
      <c r="R291" t="s">
        <v>74</v>
      </c>
      <c r="S291" t="s">
        <v>74</v>
      </c>
      <c r="T291" t="s">
        <v>74</v>
      </c>
      <c r="U291" t="s">
        <v>74</v>
      </c>
      <c r="V291" t="s">
        <v>74</v>
      </c>
      <c r="W291" t="s">
        <v>74</v>
      </c>
      <c r="X291" t="s">
        <v>74</v>
      </c>
      <c r="Y291" t="s">
        <v>74</v>
      </c>
      <c r="Z291" t="s">
        <v>74</v>
      </c>
      <c r="AA291" t="s">
        <v>2301</v>
      </c>
      <c r="AB291" t="s">
        <v>2302</v>
      </c>
      <c r="AC291" t="s">
        <v>74</v>
      </c>
      <c r="AD291" t="s">
        <v>74</v>
      </c>
      <c r="AE291" t="s">
        <v>74</v>
      </c>
      <c r="AF291" t="s">
        <v>74</v>
      </c>
      <c r="AG291" t="s">
        <v>74</v>
      </c>
      <c r="AH291" t="s">
        <v>74</v>
      </c>
      <c r="AI291" t="s">
        <v>74</v>
      </c>
      <c r="AJ291" t="s">
        <v>74</v>
      </c>
      <c r="AK291" t="s">
        <v>74</v>
      </c>
      <c r="AL291" t="s">
        <v>74</v>
      </c>
      <c r="AM291" t="s">
        <v>74</v>
      </c>
      <c r="AN291" t="s">
        <v>74</v>
      </c>
      <c r="AO291" t="s">
        <v>146</v>
      </c>
      <c r="AP291" t="s">
        <v>147</v>
      </c>
      <c r="AQ291" t="s">
        <v>74</v>
      </c>
      <c r="AR291" t="s">
        <v>74</v>
      </c>
      <c r="AS291" t="s">
        <v>74</v>
      </c>
      <c r="AT291" t="s">
        <v>2303</v>
      </c>
      <c r="AU291">
        <v>2020</v>
      </c>
      <c r="AV291">
        <v>709</v>
      </c>
      <c r="AW291" t="s">
        <v>74</v>
      </c>
      <c r="AX291" t="s">
        <v>74</v>
      </c>
      <c r="AY291" t="s">
        <v>74</v>
      </c>
      <c r="AZ291" t="s">
        <v>74</v>
      </c>
      <c r="BA291" t="s">
        <v>74</v>
      </c>
      <c r="BB291" t="s">
        <v>74</v>
      </c>
      <c r="BC291" t="s">
        <v>74</v>
      </c>
      <c r="BD291">
        <v>135997</v>
      </c>
      <c r="BE291" t="s">
        <v>2304</v>
      </c>
      <c r="BF291" t="str">
        <f>HYPERLINK("http://dx.doi.org/10.1016/j.scitotenv.2019.135997","http://dx.doi.org/10.1016/j.scitotenv.2019.135997")</f>
        <v>http://dx.doi.org/10.1016/j.scitotenv.2019.135997</v>
      </c>
      <c r="BG291" t="s">
        <v>74</v>
      </c>
      <c r="BH291" t="s">
        <v>74</v>
      </c>
      <c r="BI291" t="s">
        <v>74</v>
      </c>
      <c r="BJ291" t="s">
        <v>74</v>
      </c>
      <c r="BK291" t="s">
        <v>74</v>
      </c>
      <c r="BL291" t="s">
        <v>74</v>
      </c>
      <c r="BM291" t="s">
        <v>74</v>
      </c>
      <c r="BN291">
        <v>31887500</v>
      </c>
      <c r="BO291" t="s">
        <v>74</v>
      </c>
      <c r="BP291" t="s">
        <v>74</v>
      </c>
      <c r="BQ291" t="s">
        <v>74</v>
      </c>
      <c r="BR291" t="s">
        <v>74</v>
      </c>
      <c r="BS291" t="s">
        <v>2305</v>
      </c>
      <c r="BT291" t="str">
        <f>HYPERLINK("https%3A%2F%2Fwww.webofscience.com%2Fwos%2Fwoscc%2Ffull-record%2FWOS:000512281700042","View Full Record in Web of Science")</f>
        <v>View Full Record in Web of Science</v>
      </c>
    </row>
    <row r="292" spans="1:72" x14ac:dyDescent="0.2">
      <c r="A292" t="s">
        <v>72</v>
      </c>
      <c r="B292" t="s">
        <v>2306</v>
      </c>
      <c r="C292" t="s">
        <v>74</v>
      </c>
      <c r="D292" t="s">
        <v>74</v>
      </c>
      <c r="E292" t="s">
        <v>74</v>
      </c>
      <c r="F292" t="s">
        <v>2307</v>
      </c>
      <c r="G292" t="s">
        <v>74</v>
      </c>
      <c r="H292" t="s">
        <v>74</v>
      </c>
      <c r="I292" t="s">
        <v>2308</v>
      </c>
      <c r="J292" t="s">
        <v>2020</v>
      </c>
      <c r="K292" t="s">
        <v>74</v>
      </c>
      <c r="L292" t="s">
        <v>74</v>
      </c>
      <c r="M292" t="s">
        <v>74</v>
      </c>
      <c r="N292" t="s">
        <v>74</v>
      </c>
      <c r="O292" t="s">
        <v>74</v>
      </c>
      <c r="P292" t="s">
        <v>74</v>
      </c>
      <c r="Q292" t="s">
        <v>74</v>
      </c>
      <c r="R292" t="s">
        <v>74</v>
      </c>
      <c r="S292" t="s">
        <v>74</v>
      </c>
      <c r="T292" t="s">
        <v>74</v>
      </c>
      <c r="U292" t="s">
        <v>74</v>
      </c>
      <c r="V292" t="s">
        <v>74</v>
      </c>
      <c r="W292" t="s">
        <v>74</v>
      </c>
      <c r="X292" t="s">
        <v>74</v>
      </c>
      <c r="Y292" t="s">
        <v>74</v>
      </c>
      <c r="Z292" t="s">
        <v>74</v>
      </c>
      <c r="AA292" t="s">
        <v>2309</v>
      </c>
      <c r="AB292" t="s">
        <v>6952</v>
      </c>
      <c r="AC292" t="s">
        <v>74</v>
      </c>
      <c r="AD292" t="s">
        <v>74</v>
      </c>
      <c r="AE292" t="s">
        <v>74</v>
      </c>
      <c r="AF292" t="s">
        <v>74</v>
      </c>
      <c r="AG292" t="s">
        <v>74</v>
      </c>
      <c r="AH292" t="s">
        <v>74</v>
      </c>
      <c r="AI292" t="s">
        <v>74</v>
      </c>
      <c r="AJ292" t="s">
        <v>74</v>
      </c>
      <c r="AK292" t="s">
        <v>74</v>
      </c>
      <c r="AL292" t="s">
        <v>74</v>
      </c>
      <c r="AM292" t="s">
        <v>74</v>
      </c>
      <c r="AN292" t="s">
        <v>74</v>
      </c>
      <c r="AO292" t="s">
        <v>2022</v>
      </c>
      <c r="AP292" t="s">
        <v>2023</v>
      </c>
      <c r="AQ292" t="s">
        <v>74</v>
      </c>
      <c r="AR292" t="s">
        <v>74</v>
      </c>
      <c r="AS292" t="s">
        <v>74</v>
      </c>
      <c r="AT292" t="s">
        <v>1158</v>
      </c>
      <c r="AU292">
        <v>2020</v>
      </c>
      <c r="AV292">
        <v>35</v>
      </c>
      <c r="AW292">
        <v>1</v>
      </c>
      <c r="AX292" t="s">
        <v>74</v>
      </c>
      <c r="AY292" t="s">
        <v>74</v>
      </c>
      <c r="AZ292" t="s">
        <v>74</v>
      </c>
      <c r="BA292" t="s">
        <v>74</v>
      </c>
      <c r="BB292">
        <v>1</v>
      </c>
      <c r="BC292">
        <v>16</v>
      </c>
      <c r="BD292" t="s">
        <v>74</v>
      </c>
      <c r="BE292" t="s">
        <v>2310</v>
      </c>
      <c r="BF292" t="str">
        <f>HYPERLINK("http://dx.doi.org/10.1080/0269249X.2020.1722246","http://dx.doi.org/10.1080/0269249X.2020.1722246")</f>
        <v>http://dx.doi.org/10.1080/0269249X.2020.1722246</v>
      </c>
      <c r="BG292" t="s">
        <v>74</v>
      </c>
      <c r="BH292" t="s">
        <v>2296</v>
      </c>
      <c r="BI292" t="s">
        <v>74</v>
      </c>
      <c r="BJ292" t="s">
        <v>74</v>
      </c>
      <c r="BK292" t="s">
        <v>74</v>
      </c>
      <c r="BL292" t="s">
        <v>74</v>
      </c>
      <c r="BM292" t="s">
        <v>74</v>
      </c>
      <c r="BN292" t="s">
        <v>74</v>
      </c>
      <c r="BO292" t="s">
        <v>74</v>
      </c>
      <c r="BP292" t="s">
        <v>74</v>
      </c>
      <c r="BQ292" t="s">
        <v>74</v>
      </c>
      <c r="BR292" t="s">
        <v>74</v>
      </c>
      <c r="BS292" t="s">
        <v>2311</v>
      </c>
      <c r="BT292" t="str">
        <f>HYPERLINK("https%3A%2F%2Fwww.webofscience.com%2Fwos%2Fwoscc%2Ffull-record%2FWOS:000518525100001","View Full Record in Web of Science")</f>
        <v>View Full Record in Web of Science</v>
      </c>
    </row>
    <row r="293" spans="1:72" x14ac:dyDescent="0.2">
      <c r="A293" t="s">
        <v>72</v>
      </c>
      <c r="B293" t="s">
        <v>2312</v>
      </c>
      <c r="C293" t="s">
        <v>74</v>
      </c>
      <c r="D293" t="s">
        <v>74</v>
      </c>
      <c r="E293" t="s">
        <v>74</v>
      </c>
      <c r="F293" t="s">
        <v>2313</v>
      </c>
      <c r="G293" t="s">
        <v>74</v>
      </c>
      <c r="H293" t="s">
        <v>74</v>
      </c>
      <c r="I293" t="s">
        <v>2314</v>
      </c>
      <c r="J293" t="s">
        <v>331</v>
      </c>
      <c r="K293" t="s">
        <v>74</v>
      </c>
      <c r="L293" t="s">
        <v>74</v>
      </c>
      <c r="M293" t="s">
        <v>74</v>
      </c>
      <c r="N293" t="s">
        <v>74</v>
      </c>
      <c r="O293" t="s">
        <v>74</v>
      </c>
      <c r="P293" t="s">
        <v>74</v>
      </c>
      <c r="Q293" t="s">
        <v>74</v>
      </c>
      <c r="R293" t="s">
        <v>74</v>
      </c>
      <c r="S293" t="s">
        <v>74</v>
      </c>
      <c r="T293" t="s">
        <v>74</v>
      </c>
      <c r="U293" t="s">
        <v>74</v>
      </c>
      <c r="V293" t="s">
        <v>74</v>
      </c>
      <c r="W293" t="s">
        <v>74</v>
      </c>
      <c r="X293" t="s">
        <v>74</v>
      </c>
      <c r="Y293" t="s">
        <v>74</v>
      </c>
      <c r="Z293" t="s">
        <v>74</v>
      </c>
      <c r="AA293" t="s">
        <v>74</v>
      </c>
      <c r="AB293" t="s">
        <v>2315</v>
      </c>
      <c r="AC293" t="s">
        <v>74</v>
      </c>
      <c r="AD293" t="s">
        <v>74</v>
      </c>
      <c r="AE293" t="s">
        <v>74</v>
      </c>
      <c r="AF293" t="s">
        <v>74</v>
      </c>
      <c r="AG293" t="s">
        <v>74</v>
      </c>
      <c r="AH293" t="s">
        <v>74</v>
      </c>
      <c r="AI293" t="s">
        <v>74</v>
      </c>
      <c r="AJ293" t="s">
        <v>74</v>
      </c>
      <c r="AK293" t="s">
        <v>74</v>
      </c>
      <c r="AL293" t="s">
        <v>74</v>
      </c>
      <c r="AM293" t="s">
        <v>74</v>
      </c>
      <c r="AN293" t="s">
        <v>74</v>
      </c>
      <c r="AO293" t="s">
        <v>74</v>
      </c>
      <c r="AP293" t="s">
        <v>334</v>
      </c>
      <c r="AQ293" t="s">
        <v>74</v>
      </c>
      <c r="AR293" t="s">
        <v>74</v>
      </c>
      <c r="AS293" t="s">
        <v>74</v>
      </c>
      <c r="AT293" t="s">
        <v>157</v>
      </c>
      <c r="AU293">
        <v>2020</v>
      </c>
      <c r="AV293">
        <v>12</v>
      </c>
      <c r="AW293">
        <v>3</v>
      </c>
      <c r="AX293" t="s">
        <v>74</v>
      </c>
      <c r="AY293" t="s">
        <v>74</v>
      </c>
      <c r="AZ293" t="s">
        <v>74</v>
      </c>
      <c r="BA293" t="s">
        <v>74</v>
      </c>
      <c r="BB293" t="s">
        <v>74</v>
      </c>
      <c r="BC293" t="s">
        <v>74</v>
      </c>
      <c r="BD293">
        <v>779</v>
      </c>
      <c r="BE293" t="s">
        <v>2316</v>
      </c>
      <c r="BF293" t="str">
        <f>HYPERLINK("http://dx.doi.org/10.3390/w12030779","http://dx.doi.org/10.3390/w12030779")</f>
        <v>http://dx.doi.org/10.3390/w12030779</v>
      </c>
      <c r="BG293" t="s">
        <v>74</v>
      </c>
      <c r="BH293" t="s">
        <v>74</v>
      </c>
      <c r="BI293" t="s">
        <v>74</v>
      </c>
      <c r="BJ293" t="s">
        <v>74</v>
      </c>
      <c r="BK293" t="s">
        <v>74</v>
      </c>
      <c r="BL293" t="s">
        <v>74</v>
      </c>
      <c r="BM293" t="s">
        <v>74</v>
      </c>
      <c r="BN293" t="s">
        <v>74</v>
      </c>
      <c r="BO293" t="s">
        <v>74</v>
      </c>
      <c r="BP293" t="s">
        <v>74</v>
      </c>
      <c r="BQ293" t="s">
        <v>74</v>
      </c>
      <c r="BR293" t="s">
        <v>74</v>
      </c>
      <c r="BS293" t="s">
        <v>2317</v>
      </c>
      <c r="BT293" t="str">
        <f>HYPERLINK("https%3A%2F%2Fwww.webofscience.com%2Fwos%2Fwoscc%2Ffull-record%2FWOS:000529249500164","View Full Record in Web of Science")</f>
        <v>View Full Record in Web of Science</v>
      </c>
    </row>
    <row r="294" spans="1:72" x14ac:dyDescent="0.2">
      <c r="A294" t="s">
        <v>72</v>
      </c>
      <c r="B294" t="s">
        <v>2318</v>
      </c>
      <c r="C294" t="s">
        <v>74</v>
      </c>
      <c r="D294" t="s">
        <v>74</v>
      </c>
      <c r="E294" t="s">
        <v>74</v>
      </c>
      <c r="F294" t="s">
        <v>2319</v>
      </c>
      <c r="G294" t="s">
        <v>74</v>
      </c>
      <c r="H294" t="s">
        <v>74</v>
      </c>
      <c r="I294" t="s">
        <v>2320</v>
      </c>
      <c r="J294" t="s">
        <v>331</v>
      </c>
      <c r="K294" t="s">
        <v>74</v>
      </c>
      <c r="L294" t="s">
        <v>74</v>
      </c>
      <c r="M294" t="s">
        <v>74</v>
      </c>
      <c r="N294" t="s">
        <v>74</v>
      </c>
      <c r="O294" t="s">
        <v>74</v>
      </c>
      <c r="P294" t="s">
        <v>74</v>
      </c>
      <c r="Q294" t="s">
        <v>74</v>
      </c>
      <c r="R294" t="s">
        <v>74</v>
      </c>
      <c r="S294" t="s">
        <v>74</v>
      </c>
      <c r="T294" t="s">
        <v>74</v>
      </c>
      <c r="U294" t="s">
        <v>74</v>
      </c>
      <c r="V294" t="s">
        <v>74</v>
      </c>
      <c r="W294" t="s">
        <v>74</v>
      </c>
      <c r="X294" t="s">
        <v>74</v>
      </c>
      <c r="Y294" t="s">
        <v>74</v>
      </c>
      <c r="Z294" t="s">
        <v>74</v>
      </c>
      <c r="AA294" t="s">
        <v>2321</v>
      </c>
      <c r="AB294" t="s">
        <v>6953</v>
      </c>
      <c r="AC294" t="s">
        <v>74</v>
      </c>
      <c r="AD294" t="s">
        <v>74</v>
      </c>
      <c r="AE294" t="s">
        <v>74</v>
      </c>
      <c r="AF294" t="s">
        <v>74</v>
      </c>
      <c r="AG294" t="s">
        <v>74</v>
      </c>
      <c r="AH294" t="s">
        <v>74</v>
      </c>
      <c r="AI294" t="s">
        <v>74</v>
      </c>
      <c r="AJ294" t="s">
        <v>74</v>
      </c>
      <c r="AK294" t="s">
        <v>74</v>
      </c>
      <c r="AL294" t="s">
        <v>74</v>
      </c>
      <c r="AM294" t="s">
        <v>74</v>
      </c>
      <c r="AN294" t="s">
        <v>74</v>
      </c>
      <c r="AO294" t="s">
        <v>74</v>
      </c>
      <c r="AP294" t="s">
        <v>334</v>
      </c>
      <c r="AQ294" t="s">
        <v>74</v>
      </c>
      <c r="AR294" t="s">
        <v>74</v>
      </c>
      <c r="AS294" t="s">
        <v>74</v>
      </c>
      <c r="AT294" t="s">
        <v>157</v>
      </c>
      <c r="AU294">
        <v>2020</v>
      </c>
      <c r="AV294">
        <v>12</v>
      </c>
      <c r="AW294">
        <v>3</v>
      </c>
      <c r="AX294" t="s">
        <v>74</v>
      </c>
      <c r="AY294" t="s">
        <v>74</v>
      </c>
      <c r="AZ294" t="s">
        <v>74</v>
      </c>
      <c r="BA294" t="s">
        <v>74</v>
      </c>
      <c r="BB294" t="s">
        <v>74</v>
      </c>
      <c r="BC294" t="s">
        <v>74</v>
      </c>
      <c r="BD294">
        <v>675</v>
      </c>
      <c r="BE294" t="s">
        <v>2322</v>
      </c>
      <c r="BF294" t="str">
        <f>HYPERLINK("http://dx.doi.org/10.3390/w12030675","http://dx.doi.org/10.3390/w12030675")</f>
        <v>http://dx.doi.org/10.3390/w12030675</v>
      </c>
      <c r="BG294" t="s">
        <v>74</v>
      </c>
      <c r="BH294" t="s">
        <v>74</v>
      </c>
      <c r="BI294" t="s">
        <v>74</v>
      </c>
      <c r="BJ294" t="s">
        <v>74</v>
      </c>
      <c r="BK294" t="s">
        <v>74</v>
      </c>
      <c r="BL294" t="s">
        <v>74</v>
      </c>
      <c r="BM294" t="s">
        <v>74</v>
      </c>
      <c r="BN294" t="s">
        <v>74</v>
      </c>
      <c r="BO294" t="s">
        <v>74</v>
      </c>
      <c r="BP294" t="s">
        <v>74</v>
      </c>
      <c r="BQ294" t="s">
        <v>74</v>
      </c>
      <c r="BR294" t="s">
        <v>74</v>
      </c>
      <c r="BS294" t="s">
        <v>2323</v>
      </c>
      <c r="BT294" t="str">
        <f>HYPERLINK("https%3A%2F%2Fwww.webofscience.com%2Fwos%2Fwoscc%2Ffull-record%2FWOS:000529249500060","View Full Record in Web of Science")</f>
        <v>View Full Record in Web of Science</v>
      </c>
    </row>
    <row r="295" spans="1:72" x14ac:dyDescent="0.2">
      <c r="A295" t="s">
        <v>72</v>
      </c>
      <c r="B295" t="s">
        <v>2324</v>
      </c>
      <c r="C295" t="s">
        <v>74</v>
      </c>
      <c r="D295" t="s">
        <v>74</v>
      </c>
      <c r="E295" t="s">
        <v>74</v>
      </c>
      <c r="F295" t="s">
        <v>2325</v>
      </c>
      <c r="G295" t="s">
        <v>74</v>
      </c>
      <c r="H295" t="s">
        <v>74</v>
      </c>
      <c r="I295" t="s">
        <v>2326</v>
      </c>
      <c r="J295" t="s">
        <v>331</v>
      </c>
      <c r="K295" t="s">
        <v>74</v>
      </c>
      <c r="L295" t="s">
        <v>74</v>
      </c>
      <c r="M295" t="s">
        <v>74</v>
      </c>
      <c r="N295" t="s">
        <v>74</v>
      </c>
      <c r="O295" t="s">
        <v>74</v>
      </c>
      <c r="P295" t="s">
        <v>74</v>
      </c>
      <c r="Q295" t="s">
        <v>74</v>
      </c>
      <c r="R295" t="s">
        <v>74</v>
      </c>
      <c r="S295" t="s">
        <v>74</v>
      </c>
      <c r="T295" t="s">
        <v>74</v>
      </c>
      <c r="U295" t="s">
        <v>74</v>
      </c>
      <c r="V295" t="s">
        <v>74</v>
      </c>
      <c r="W295" t="s">
        <v>74</v>
      </c>
      <c r="X295" t="s">
        <v>74</v>
      </c>
      <c r="Y295" t="s">
        <v>74</v>
      </c>
      <c r="Z295" t="s">
        <v>74</v>
      </c>
      <c r="AA295" t="s">
        <v>6739</v>
      </c>
      <c r="AB295" t="s">
        <v>6740</v>
      </c>
      <c r="AC295" t="s">
        <v>74</v>
      </c>
      <c r="AD295" t="s">
        <v>74</v>
      </c>
      <c r="AE295" t="s">
        <v>74</v>
      </c>
      <c r="AF295" t="s">
        <v>74</v>
      </c>
      <c r="AG295" t="s">
        <v>74</v>
      </c>
      <c r="AH295" t="s">
        <v>74</v>
      </c>
      <c r="AI295" t="s">
        <v>74</v>
      </c>
      <c r="AJ295" t="s">
        <v>74</v>
      </c>
      <c r="AK295" t="s">
        <v>74</v>
      </c>
      <c r="AL295" t="s">
        <v>74</v>
      </c>
      <c r="AM295" t="s">
        <v>74</v>
      </c>
      <c r="AN295" t="s">
        <v>74</v>
      </c>
      <c r="AO295" t="s">
        <v>74</v>
      </c>
      <c r="AP295" t="s">
        <v>334</v>
      </c>
      <c r="AQ295" t="s">
        <v>74</v>
      </c>
      <c r="AR295" t="s">
        <v>74</v>
      </c>
      <c r="AS295" t="s">
        <v>74</v>
      </c>
      <c r="AT295" t="s">
        <v>157</v>
      </c>
      <c r="AU295">
        <v>2020</v>
      </c>
      <c r="AV295">
        <v>12</v>
      </c>
      <c r="AW295">
        <v>3</v>
      </c>
      <c r="AX295" t="s">
        <v>74</v>
      </c>
      <c r="AY295" t="s">
        <v>74</v>
      </c>
      <c r="AZ295" t="s">
        <v>74</v>
      </c>
      <c r="BA295" t="s">
        <v>74</v>
      </c>
      <c r="BB295" t="s">
        <v>74</v>
      </c>
      <c r="BC295" t="s">
        <v>74</v>
      </c>
      <c r="BD295">
        <v>706</v>
      </c>
      <c r="BE295" t="s">
        <v>2327</v>
      </c>
      <c r="BF295" t="str">
        <f>HYPERLINK("http://dx.doi.org/10.3390/w12030706","http://dx.doi.org/10.3390/w12030706")</f>
        <v>http://dx.doi.org/10.3390/w12030706</v>
      </c>
      <c r="BG295" t="s">
        <v>74</v>
      </c>
      <c r="BH295" t="s">
        <v>74</v>
      </c>
      <c r="BI295" t="s">
        <v>74</v>
      </c>
      <c r="BJ295" t="s">
        <v>74</v>
      </c>
      <c r="BK295" t="s">
        <v>74</v>
      </c>
      <c r="BL295" t="s">
        <v>74</v>
      </c>
      <c r="BM295" t="s">
        <v>74</v>
      </c>
      <c r="BN295" t="s">
        <v>74</v>
      </c>
      <c r="BO295" t="s">
        <v>74</v>
      </c>
      <c r="BP295" t="s">
        <v>74</v>
      </c>
      <c r="BQ295" t="s">
        <v>74</v>
      </c>
      <c r="BR295" t="s">
        <v>74</v>
      </c>
      <c r="BS295" t="s">
        <v>2328</v>
      </c>
      <c r="BT295" t="str">
        <f>HYPERLINK("https%3A%2F%2Fwww.webofscience.com%2Fwos%2Fwoscc%2Ffull-record%2FWOS:000529249500091","View Full Record in Web of Science")</f>
        <v>View Full Record in Web of Science</v>
      </c>
    </row>
    <row r="296" spans="1:72" x14ac:dyDescent="0.2">
      <c r="A296" t="s">
        <v>72</v>
      </c>
      <c r="B296" t="s">
        <v>2329</v>
      </c>
      <c r="C296" t="s">
        <v>74</v>
      </c>
      <c r="D296" t="s">
        <v>74</v>
      </c>
      <c r="E296" t="s">
        <v>74</v>
      </c>
      <c r="F296" t="s">
        <v>2330</v>
      </c>
      <c r="G296" t="s">
        <v>74</v>
      </c>
      <c r="H296" t="s">
        <v>74</v>
      </c>
      <c r="I296" t="s">
        <v>2331</v>
      </c>
      <c r="J296" t="s">
        <v>97</v>
      </c>
      <c r="K296" t="s">
        <v>74</v>
      </c>
      <c r="L296" t="s">
        <v>74</v>
      </c>
      <c r="M296" t="s">
        <v>74</v>
      </c>
      <c r="N296" t="s">
        <v>74</v>
      </c>
      <c r="O296" t="s">
        <v>74</v>
      </c>
      <c r="P296" t="s">
        <v>74</v>
      </c>
      <c r="Q296" t="s">
        <v>74</v>
      </c>
      <c r="R296" t="s">
        <v>74</v>
      </c>
      <c r="S296" t="s">
        <v>74</v>
      </c>
      <c r="T296" t="s">
        <v>74</v>
      </c>
      <c r="U296" t="s">
        <v>74</v>
      </c>
      <c r="V296" t="s">
        <v>74</v>
      </c>
      <c r="W296" t="s">
        <v>74</v>
      </c>
      <c r="X296" t="s">
        <v>74</v>
      </c>
      <c r="Y296" t="s">
        <v>74</v>
      </c>
      <c r="Z296" t="s">
        <v>74</v>
      </c>
      <c r="AA296" t="s">
        <v>74</v>
      </c>
      <c r="AB296" t="s">
        <v>74</v>
      </c>
      <c r="AC296" t="s">
        <v>74</v>
      </c>
      <c r="AD296" t="s">
        <v>74</v>
      </c>
      <c r="AE296" t="s">
        <v>74</v>
      </c>
      <c r="AF296" t="s">
        <v>74</v>
      </c>
      <c r="AG296" t="s">
        <v>74</v>
      </c>
      <c r="AH296" t="s">
        <v>74</v>
      </c>
      <c r="AI296" t="s">
        <v>74</v>
      </c>
      <c r="AJ296" t="s">
        <v>74</v>
      </c>
      <c r="AK296" t="s">
        <v>74</v>
      </c>
      <c r="AL296" t="s">
        <v>74</v>
      </c>
      <c r="AM296" t="s">
        <v>74</v>
      </c>
      <c r="AN296" t="s">
        <v>74</v>
      </c>
      <c r="AO296" t="s">
        <v>98</v>
      </c>
      <c r="AP296" t="s">
        <v>99</v>
      </c>
      <c r="AQ296" t="s">
        <v>74</v>
      </c>
      <c r="AR296" t="s">
        <v>74</v>
      </c>
      <c r="AS296" t="s">
        <v>74</v>
      </c>
      <c r="AT296" t="s">
        <v>157</v>
      </c>
      <c r="AU296">
        <v>2020</v>
      </c>
      <c r="AV296">
        <v>54</v>
      </c>
      <c r="AW296">
        <v>1</v>
      </c>
      <c r="AX296" t="s">
        <v>74</v>
      </c>
      <c r="AY296" t="s">
        <v>74</v>
      </c>
      <c r="AZ296" t="s">
        <v>74</v>
      </c>
      <c r="BA296" t="s">
        <v>74</v>
      </c>
      <c r="BB296">
        <v>35</v>
      </c>
      <c r="BC296">
        <v>44</v>
      </c>
      <c r="BD296" t="s">
        <v>74</v>
      </c>
      <c r="BE296" t="s">
        <v>2332</v>
      </c>
      <c r="BF296" t="str">
        <f>HYPERLINK("http://dx.doi.org/10.1007/s10452-019-09724-1","http://dx.doi.org/10.1007/s10452-019-09724-1")</f>
        <v>http://dx.doi.org/10.1007/s10452-019-09724-1</v>
      </c>
      <c r="BG296" t="s">
        <v>74</v>
      </c>
      <c r="BH296" t="s">
        <v>74</v>
      </c>
      <c r="BI296" t="s">
        <v>74</v>
      </c>
      <c r="BJ296" t="s">
        <v>74</v>
      </c>
      <c r="BK296" t="s">
        <v>74</v>
      </c>
      <c r="BL296" t="s">
        <v>74</v>
      </c>
      <c r="BM296" t="s">
        <v>74</v>
      </c>
      <c r="BN296" t="s">
        <v>74</v>
      </c>
      <c r="BO296" t="s">
        <v>74</v>
      </c>
      <c r="BP296" t="s">
        <v>74</v>
      </c>
      <c r="BQ296" t="s">
        <v>74</v>
      </c>
      <c r="BR296" t="s">
        <v>74</v>
      </c>
      <c r="BS296" t="s">
        <v>2333</v>
      </c>
      <c r="BT296" t="str">
        <f>HYPERLINK("https%3A%2F%2Fwww.webofscience.com%2Fwos%2Fwoscc%2Ffull-record%2FWOS:000511625400003","View Full Record in Web of Science")</f>
        <v>View Full Record in Web of Science</v>
      </c>
    </row>
    <row r="297" spans="1:72" x14ac:dyDescent="0.2">
      <c r="A297" t="s">
        <v>72</v>
      </c>
      <c r="B297" t="s">
        <v>2334</v>
      </c>
      <c r="C297" t="s">
        <v>74</v>
      </c>
      <c r="D297" t="s">
        <v>74</v>
      </c>
      <c r="E297" t="s">
        <v>74</v>
      </c>
      <c r="F297" t="s">
        <v>2335</v>
      </c>
      <c r="G297" t="s">
        <v>74</v>
      </c>
      <c r="H297" t="s">
        <v>74</v>
      </c>
      <c r="I297" t="s">
        <v>2336</v>
      </c>
      <c r="J297" t="s">
        <v>1523</v>
      </c>
      <c r="K297" t="s">
        <v>74</v>
      </c>
      <c r="L297" t="s">
        <v>74</v>
      </c>
      <c r="M297" t="s">
        <v>74</v>
      </c>
      <c r="N297" t="s">
        <v>74</v>
      </c>
      <c r="O297" t="s">
        <v>74</v>
      </c>
      <c r="P297" t="s">
        <v>74</v>
      </c>
      <c r="Q297" t="s">
        <v>74</v>
      </c>
      <c r="R297" t="s">
        <v>74</v>
      </c>
      <c r="S297" t="s">
        <v>74</v>
      </c>
      <c r="T297" t="s">
        <v>74</v>
      </c>
      <c r="U297" t="s">
        <v>74</v>
      </c>
      <c r="V297" t="s">
        <v>74</v>
      </c>
      <c r="W297" t="s">
        <v>74</v>
      </c>
      <c r="X297" t="s">
        <v>74</v>
      </c>
      <c r="Y297" t="s">
        <v>74</v>
      </c>
      <c r="Z297" t="s">
        <v>74</v>
      </c>
      <c r="AA297" t="s">
        <v>2337</v>
      </c>
      <c r="AB297" t="s">
        <v>6954</v>
      </c>
      <c r="AC297" t="s">
        <v>74</v>
      </c>
      <c r="AD297" t="s">
        <v>74</v>
      </c>
      <c r="AE297" t="s">
        <v>74</v>
      </c>
      <c r="AF297" t="s">
        <v>74</v>
      </c>
      <c r="AG297" t="s">
        <v>74</v>
      </c>
      <c r="AH297" t="s">
        <v>74</v>
      </c>
      <c r="AI297" t="s">
        <v>74</v>
      </c>
      <c r="AJ297" t="s">
        <v>74</v>
      </c>
      <c r="AK297" t="s">
        <v>74</v>
      </c>
      <c r="AL297" t="s">
        <v>74</v>
      </c>
      <c r="AM297" t="s">
        <v>74</v>
      </c>
      <c r="AN297" t="s">
        <v>74</v>
      </c>
      <c r="AO297" t="s">
        <v>1524</v>
      </c>
      <c r="AP297" t="s">
        <v>1525</v>
      </c>
      <c r="AQ297" t="s">
        <v>74</v>
      </c>
      <c r="AR297" t="s">
        <v>74</v>
      </c>
      <c r="AS297" t="s">
        <v>74</v>
      </c>
      <c r="AT297" t="s">
        <v>157</v>
      </c>
      <c r="AU297">
        <v>2020</v>
      </c>
      <c r="AV297">
        <v>101</v>
      </c>
      <c r="AW297">
        <v>3</v>
      </c>
      <c r="AX297" t="s">
        <v>74</v>
      </c>
      <c r="AY297" t="s">
        <v>74</v>
      </c>
      <c r="AZ297" t="s">
        <v>74</v>
      </c>
      <c r="BA297" t="s">
        <v>74</v>
      </c>
      <c r="BB297" t="s">
        <v>74</v>
      </c>
      <c r="BC297" t="s">
        <v>74</v>
      </c>
      <c r="BD297" t="s">
        <v>2338</v>
      </c>
      <c r="BE297" t="s">
        <v>2339</v>
      </c>
      <c r="BF297" t="str">
        <f>HYPERLINK("http://dx.doi.org/10.1002/ecy.2951","http://dx.doi.org/10.1002/ecy.2951")</f>
        <v>http://dx.doi.org/10.1002/ecy.2951</v>
      </c>
      <c r="BG297" t="s">
        <v>74</v>
      </c>
      <c r="BH297" t="s">
        <v>2340</v>
      </c>
      <c r="BI297" t="s">
        <v>74</v>
      </c>
      <c r="BJ297" t="s">
        <v>74</v>
      </c>
      <c r="BK297" t="s">
        <v>74</v>
      </c>
      <c r="BL297" t="s">
        <v>74</v>
      </c>
      <c r="BM297" t="s">
        <v>74</v>
      </c>
      <c r="BN297">
        <v>31840230</v>
      </c>
      <c r="BO297" t="s">
        <v>74</v>
      </c>
      <c r="BP297" t="s">
        <v>74</v>
      </c>
      <c r="BQ297" t="s">
        <v>74</v>
      </c>
      <c r="BR297" t="s">
        <v>74</v>
      </c>
      <c r="BS297" t="s">
        <v>2341</v>
      </c>
      <c r="BT297" t="str">
        <f>HYPERLINK("https%3A%2F%2Fwww.webofscience.com%2Fwos%2Fwoscc%2Ffull-record%2FWOS:000510577700001","View Full Record in Web of Science")</f>
        <v>View Full Record in Web of Science</v>
      </c>
    </row>
    <row r="298" spans="1:72" x14ac:dyDescent="0.2">
      <c r="A298" t="s">
        <v>72</v>
      </c>
      <c r="B298" t="s">
        <v>2342</v>
      </c>
      <c r="C298" t="s">
        <v>74</v>
      </c>
      <c r="D298" t="s">
        <v>74</v>
      </c>
      <c r="E298" t="s">
        <v>74</v>
      </c>
      <c r="F298" t="s">
        <v>2343</v>
      </c>
      <c r="G298" t="s">
        <v>74</v>
      </c>
      <c r="H298" t="s">
        <v>74</v>
      </c>
      <c r="I298" t="s">
        <v>2344</v>
      </c>
      <c r="J298" t="s">
        <v>124</v>
      </c>
      <c r="K298" t="s">
        <v>74</v>
      </c>
      <c r="L298" t="s">
        <v>74</v>
      </c>
      <c r="M298" t="s">
        <v>74</v>
      </c>
      <c r="N298" t="s">
        <v>74</v>
      </c>
      <c r="O298" t="s">
        <v>74</v>
      </c>
      <c r="P298" t="s">
        <v>74</v>
      </c>
      <c r="Q298" t="s">
        <v>74</v>
      </c>
      <c r="R298" t="s">
        <v>74</v>
      </c>
      <c r="S298" t="s">
        <v>74</v>
      </c>
      <c r="T298" t="s">
        <v>74</v>
      </c>
      <c r="U298" t="s">
        <v>74</v>
      </c>
      <c r="V298" t="s">
        <v>74</v>
      </c>
      <c r="W298" t="s">
        <v>74</v>
      </c>
      <c r="X298" t="s">
        <v>74</v>
      </c>
      <c r="Y298" t="s">
        <v>74</v>
      </c>
      <c r="Z298" t="s">
        <v>74</v>
      </c>
      <c r="AA298" t="s">
        <v>2345</v>
      </c>
      <c r="AB298" t="s">
        <v>6955</v>
      </c>
      <c r="AC298" t="s">
        <v>74</v>
      </c>
      <c r="AD298" t="s">
        <v>74</v>
      </c>
      <c r="AE298" t="s">
        <v>74</v>
      </c>
      <c r="AF298" t="s">
        <v>74</v>
      </c>
      <c r="AG298" t="s">
        <v>74</v>
      </c>
      <c r="AH298" t="s">
        <v>74</v>
      </c>
      <c r="AI298" t="s">
        <v>74</v>
      </c>
      <c r="AJ298" t="s">
        <v>74</v>
      </c>
      <c r="AK298" t="s">
        <v>74</v>
      </c>
      <c r="AL298" t="s">
        <v>74</v>
      </c>
      <c r="AM298" t="s">
        <v>74</v>
      </c>
      <c r="AN298" t="s">
        <v>74</v>
      </c>
      <c r="AO298" t="s">
        <v>127</v>
      </c>
      <c r="AP298" t="s">
        <v>128</v>
      </c>
      <c r="AQ298" t="s">
        <v>74</v>
      </c>
      <c r="AR298" t="s">
        <v>74</v>
      </c>
      <c r="AS298" t="s">
        <v>74</v>
      </c>
      <c r="AT298" t="s">
        <v>416</v>
      </c>
      <c r="AU298">
        <v>2020</v>
      </c>
      <c r="AV298">
        <v>847</v>
      </c>
      <c r="AW298">
        <v>3</v>
      </c>
      <c r="AX298" t="s">
        <v>74</v>
      </c>
      <c r="AY298" t="s">
        <v>74</v>
      </c>
      <c r="AZ298" t="s">
        <v>74</v>
      </c>
      <c r="BA298" t="s">
        <v>74</v>
      </c>
      <c r="BB298">
        <v>857</v>
      </c>
      <c r="BC298">
        <v>878</v>
      </c>
      <c r="BD298" t="s">
        <v>74</v>
      </c>
      <c r="BE298" t="s">
        <v>2346</v>
      </c>
      <c r="BF298" t="str">
        <f>HYPERLINK("http://dx.doi.org/10.1007/s10750-019-04147-3","http://dx.doi.org/10.1007/s10750-019-04147-3")</f>
        <v>http://dx.doi.org/10.1007/s10750-019-04147-3</v>
      </c>
      <c r="BG298" t="s">
        <v>74</v>
      </c>
      <c r="BH298" t="s">
        <v>74</v>
      </c>
      <c r="BI298" t="s">
        <v>74</v>
      </c>
      <c r="BJ298" t="s">
        <v>74</v>
      </c>
      <c r="BK298" t="s">
        <v>74</v>
      </c>
      <c r="BL298" t="s">
        <v>74</v>
      </c>
      <c r="BM298" t="s">
        <v>74</v>
      </c>
      <c r="BN298" t="s">
        <v>74</v>
      </c>
      <c r="BO298" t="s">
        <v>74</v>
      </c>
      <c r="BP298" t="s">
        <v>74</v>
      </c>
      <c r="BQ298" t="s">
        <v>74</v>
      </c>
      <c r="BR298" t="s">
        <v>74</v>
      </c>
      <c r="BS298" t="s">
        <v>2347</v>
      </c>
      <c r="BT298" t="str">
        <f>HYPERLINK("https%3A%2F%2Fwww.webofscience.com%2Fwos%2Fwoscc%2Ffull-record%2FWOS:000512108400014","View Full Record in Web of Science")</f>
        <v>View Full Record in Web of Science</v>
      </c>
    </row>
    <row r="299" spans="1:72" x14ac:dyDescent="0.2">
      <c r="A299" t="s">
        <v>72</v>
      </c>
      <c r="B299" t="s">
        <v>2348</v>
      </c>
      <c r="C299" t="s">
        <v>74</v>
      </c>
      <c r="D299" t="s">
        <v>74</v>
      </c>
      <c r="E299" t="s">
        <v>74</v>
      </c>
      <c r="F299" t="s">
        <v>2349</v>
      </c>
      <c r="G299" t="s">
        <v>74</v>
      </c>
      <c r="H299" t="s">
        <v>74</v>
      </c>
      <c r="I299" t="s">
        <v>2350</v>
      </c>
      <c r="J299" t="s">
        <v>767</v>
      </c>
      <c r="K299" t="s">
        <v>74</v>
      </c>
      <c r="L299" t="s">
        <v>74</v>
      </c>
      <c r="M299" t="s">
        <v>74</v>
      </c>
      <c r="N299" t="s">
        <v>74</v>
      </c>
      <c r="O299" t="s">
        <v>74</v>
      </c>
      <c r="P299" t="s">
        <v>74</v>
      </c>
      <c r="Q299" t="s">
        <v>74</v>
      </c>
      <c r="R299" t="s">
        <v>74</v>
      </c>
      <c r="S299" t="s">
        <v>74</v>
      </c>
      <c r="T299" t="s">
        <v>74</v>
      </c>
      <c r="U299" t="s">
        <v>74</v>
      </c>
      <c r="V299" t="s">
        <v>74</v>
      </c>
      <c r="W299" t="s">
        <v>74</v>
      </c>
      <c r="X299" t="s">
        <v>74</v>
      </c>
      <c r="Y299" t="s">
        <v>74</v>
      </c>
      <c r="Z299" t="s">
        <v>74</v>
      </c>
      <c r="AA299" t="s">
        <v>74</v>
      </c>
      <c r="AB299" t="s">
        <v>2351</v>
      </c>
      <c r="AC299" t="s">
        <v>74</v>
      </c>
      <c r="AD299" t="s">
        <v>74</v>
      </c>
      <c r="AE299" t="s">
        <v>74</v>
      </c>
      <c r="AF299" t="s">
        <v>74</v>
      </c>
      <c r="AG299" t="s">
        <v>74</v>
      </c>
      <c r="AH299" t="s">
        <v>74</v>
      </c>
      <c r="AI299" t="s">
        <v>74</v>
      </c>
      <c r="AJ299" t="s">
        <v>74</v>
      </c>
      <c r="AK299" t="s">
        <v>74</v>
      </c>
      <c r="AL299" t="s">
        <v>74</v>
      </c>
      <c r="AM299" t="s">
        <v>74</v>
      </c>
      <c r="AN299" t="s">
        <v>74</v>
      </c>
      <c r="AO299" t="s">
        <v>770</v>
      </c>
      <c r="AP299" t="s">
        <v>771</v>
      </c>
      <c r="AQ299" t="s">
        <v>74</v>
      </c>
      <c r="AR299" t="s">
        <v>74</v>
      </c>
      <c r="AS299" t="s">
        <v>74</v>
      </c>
      <c r="AT299" t="s">
        <v>2352</v>
      </c>
      <c r="AU299">
        <v>2020</v>
      </c>
      <c r="AV299">
        <v>193</v>
      </c>
      <c r="AW299" t="s">
        <v>74</v>
      </c>
      <c r="AX299" t="s">
        <v>74</v>
      </c>
      <c r="AY299" t="s">
        <v>74</v>
      </c>
      <c r="AZ299" t="s">
        <v>74</v>
      </c>
      <c r="BA299" t="s">
        <v>74</v>
      </c>
      <c r="BB299" t="s">
        <v>74</v>
      </c>
      <c r="BC299" t="s">
        <v>74</v>
      </c>
      <c r="BD299">
        <v>104038</v>
      </c>
      <c r="BE299" t="s">
        <v>2353</v>
      </c>
      <c r="BF299" t="str">
        <f>HYPERLINK("http://dx.doi.org/10.1016/j.csr.2019.104038","http://dx.doi.org/10.1016/j.csr.2019.104038")</f>
        <v>http://dx.doi.org/10.1016/j.csr.2019.104038</v>
      </c>
      <c r="BG299" t="s">
        <v>74</v>
      </c>
      <c r="BH299" t="s">
        <v>74</v>
      </c>
      <c r="BI299" t="s">
        <v>74</v>
      </c>
      <c r="BJ299" t="s">
        <v>74</v>
      </c>
      <c r="BK299" t="s">
        <v>74</v>
      </c>
      <c r="BL299" t="s">
        <v>74</v>
      </c>
      <c r="BM299" t="s">
        <v>74</v>
      </c>
      <c r="BN299" t="s">
        <v>74</v>
      </c>
      <c r="BO299" t="s">
        <v>74</v>
      </c>
      <c r="BP299" t="s">
        <v>74</v>
      </c>
      <c r="BQ299" t="s">
        <v>74</v>
      </c>
      <c r="BR299" t="s">
        <v>74</v>
      </c>
      <c r="BS299" t="s">
        <v>2354</v>
      </c>
      <c r="BT299" t="str">
        <f>HYPERLINK("https%3A%2F%2Fwww.webofscience.com%2Fwos%2Fwoscc%2Ffull-record%2FWOS:000513290600008","View Full Record in Web of Science")</f>
        <v>View Full Record in Web of Science</v>
      </c>
    </row>
    <row r="300" spans="1:72" x14ac:dyDescent="0.2">
      <c r="A300" t="s">
        <v>72</v>
      </c>
      <c r="B300" t="s">
        <v>2355</v>
      </c>
      <c r="C300" t="s">
        <v>74</v>
      </c>
      <c r="D300" t="s">
        <v>74</v>
      </c>
      <c r="E300" t="s">
        <v>74</v>
      </c>
      <c r="F300" t="s">
        <v>2356</v>
      </c>
      <c r="G300" t="s">
        <v>74</v>
      </c>
      <c r="H300" t="s">
        <v>74</v>
      </c>
      <c r="I300" t="s">
        <v>2357</v>
      </c>
      <c r="J300" t="s">
        <v>1967</v>
      </c>
      <c r="K300" t="s">
        <v>74</v>
      </c>
      <c r="L300" t="s">
        <v>74</v>
      </c>
      <c r="M300" t="s">
        <v>74</v>
      </c>
      <c r="N300" t="s">
        <v>74</v>
      </c>
      <c r="O300" t="s">
        <v>74</v>
      </c>
      <c r="P300" t="s">
        <v>74</v>
      </c>
      <c r="Q300" t="s">
        <v>74</v>
      </c>
      <c r="R300" t="s">
        <v>74</v>
      </c>
      <c r="S300" t="s">
        <v>74</v>
      </c>
      <c r="T300" t="s">
        <v>74</v>
      </c>
      <c r="U300" t="s">
        <v>74</v>
      </c>
      <c r="V300" t="s">
        <v>74</v>
      </c>
      <c r="W300" t="s">
        <v>74</v>
      </c>
      <c r="X300" t="s">
        <v>74</v>
      </c>
      <c r="Y300" t="s">
        <v>74</v>
      </c>
      <c r="Z300" t="s">
        <v>74</v>
      </c>
      <c r="AA300" t="s">
        <v>74</v>
      </c>
      <c r="AB300" t="s">
        <v>2358</v>
      </c>
      <c r="AC300" t="s">
        <v>74</v>
      </c>
      <c r="AD300" t="s">
        <v>74</v>
      </c>
      <c r="AE300" t="s">
        <v>74</v>
      </c>
      <c r="AF300" t="s">
        <v>74</v>
      </c>
      <c r="AG300" t="s">
        <v>74</v>
      </c>
      <c r="AH300" t="s">
        <v>74</v>
      </c>
      <c r="AI300" t="s">
        <v>74</v>
      </c>
      <c r="AJ300" t="s">
        <v>74</v>
      </c>
      <c r="AK300" t="s">
        <v>74</v>
      </c>
      <c r="AL300" t="s">
        <v>74</v>
      </c>
      <c r="AM300" t="s">
        <v>74</v>
      </c>
      <c r="AN300" t="s">
        <v>74</v>
      </c>
      <c r="AO300" t="s">
        <v>1968</v>
      </c>
      <c r="AP300" t="s">
        <v>1969</v>
      </c>
      <c r="AQ300" t="s">
        <v>74</v>
      </c>
      <c r="AR300" t="s">
        <v>74</v>
      </c>
      <c r="AS300" t="s">
        <v>74</v>
      </c>
      <c r="AT300" t="s">
        <v>2359</v>
      </c>
      <c r="AU300">
        <v>2020</v>
      </c>
      <c r="AV300">
        <v>192</v>
      </c>
      <c r="AW300">
        <v>2</v>
      </c>
      <c r="AX300" t="s">
        <v>74</v>
      </c>
      <c r="AY300" t="s">
        <v>74</v>
      </c>
      <c r="AZ300" t="s">
        <v>74</v>
      </c>
      <c r="BA300" t="s">
        <v>74</v>
      </c>
      <c r="BB300" t="s">
        <v>74</v>
      </c>
      <c r="BC300" t="s">
        <v>74</v>
      </c>
      <c r="BD300">
        <v>107</v>
      </c>
      <c r="BE300" t="s">
        <v>2360</v>
      </c>
      <c r="BF300" t="str">
        <f>HYPERLINK("http://dx.doi.org/10.1007/s10661-020-8068-x","http://dx.doi.org/10.1007/s10661-020-8068-x")</f>
        <v>http://dx.doi.org/10.1007/s10661-020-8068-x</v>
      </c>
      <c r="BG300" t="s">
        <v>74</v>
      </c>
      <c r="BH300" t="s">
        <v>74</v>
      </c>
      <c r="BI300" t="s">
        <v>74</v>
      </c>
      <c r="BJ300" t="s">
        <v>74</v>
      </c>
      <c r="BK300" t="s">
        <v>74</v>
      </c>
      <c r="BL300" t="s">
        <v>74</v>
      </c>
      <c r="BM300" t="s">
        <v>74</v>
      </c>
      <c r="BN300">
        <v>31927668</v>
      </c>
      <c r="BO300" t="s">
        <v>74</v>
      </c>
      <c r="BP300" t="s">
        <v>74</v>
      </c>
      <c r="BQ300" t="s">
        <v>74</v>
      </c>
      <c r="BR300" t="s">
        <v>74</v>
      </c>
      <c r="BS300" t="s">
        <v>2361</v>
      </c>
      <c r="BT300" t="str">
        <f>HYPERLINK("https%3A%2F%2Fwww.webofscience.com%2Fwos%2Fwoscc%2Ffull-record%2FWOS:000521105000001","View Full Record in Web of Science")</f>
        <v>View Full Record in Web of Science</v>
      </c>
    </row>
    <row r="301" spans="1:72" x14ac:dyDescent="0.2">
      <c r="A301" t="s">
        <v>72</v>
      </c>
      <c r="B301" t="s">
        <v>2362</v>
      </c>
      <c r="C301" t="s">
        <v>74</v>
      </c>
      <c r="D301" t="s">
        <v>74</v>
      </c>
      <c r="E301" t="s">
        <v>74</v>
      </c>
      <c r="F301" t="s">
        <v>2363</v>
      </c>
      <c r="G301" t="s">
        <v>74</v>
      </c>
      <c r="H301" t="s">
        <v>74</v>
      </c>
      <c r="I301" t="s">
        <v>2364</v>
      </c>
      <c r="J301" t="s">
        <v>1543</v>
      </c>
      <c r="K301" t="s">
        <v>74</v>
      </c>
      <c r="L301" t="s">
        <v>74</v>
      </c>
      <c r="M301" t="s">
        <v>74</v>
      </c>
      <c r="N301" t="s">
        <v>74</v>
      </c>
      <c r="O301" t="s">
        <v>74</v>
      </c>
      <c r="P301" t="s">
        <v>74</v>
      </c>
      <c r="Q301" t="s">
        <v>74</v>
      </c>
      <c r="R301" t="s">
        <v>74</v>
      </c>
      <c r="S301" t="s">
        <v>74</v>
      </c>
      <c r="T301" t="s">
        <v>74</v>
      </c>
      <c r="U301" t="s">
        <v>74</v>
      </c>
      <c r="V301" t="s">
        <v>74</v>
      </c>
      <c r="W301" t="s">
        <v>74</v>
      </c>
      <c r="X301" t="s">
        <v>74</v>
      </c>
      <c r="Y301" t="s">
        <v>74</v>
      </c>
      <c r="Z301" t="s">
        <v>74</v>
      </c>
      <c r="AA301" t="s">
        <v>2365</v>
      </c>
      <c r="AB301" t="s">
        <v>2366</v>
      </c>
      <c r="AC301" t="s">
        <v>74</v>
      </c>
      <c r="AD301" t="s">
        <v>74</v>
      </c>
      <c r="AE301" t="s">
        <v>74</v>
      </c>
      <c r="AF301" t="s">
        <v>74</v>
      </c>
      <c r="AG301" t="s">
        <v>74</v>
      </c>
      <c r="AH301" t="s">
        <v>74</v>
      </c>
      <c r="AI301" t="s">
        <v>74</v>
      </c>
      <c r="AJ301" t="s">
        <v>74</v>
      </c>
      <c r="AK301" t="s">
        <v>74</v>
      </c>
      <c r="AL301" t="s">
        <v>74</v>
      </c>
      <c r="AM301" t="s">
        <v>74</v>
      </c>
      <c r="AN301" t="s">
        <v>74</v>
      </c>
      <c r="AO301" t="s">
        <v>1545</v>
      </c>
      <c r="AP301" t="s">
        <v>1546</v>
      </c>
      <c r="AQ301" t="s">
        <v>74</v>
      </c>
      <c r="AR301" t="s">
        <v>74</v>
      </c>
      <c r="AS301" t="s">
        <v>74</v>
      </c>
      <c r="AT301" t="s">
        <v>1158</v>
      </c>
      <c r="AU301">
        <v>2020</v>
      </c>
      <c r="AV301">
        <v>10</v>
      </c>
      <c r="AW301">
        <v>1</v>
      </c>
      <c r="AX301" t="s">
        <v>74</v>
      </c>
      <c r="AY301" t="s">
        <v>74</v>
      </c>
      <c r="AZ301" t="s">
        <v>74</v>
      </c>
      <c r="BA301" t="s">
        <v>74</v>
      </c>
      <c r="BB301">
        <v>89</v>
      </c>
      <c r="BC301">
        <v>100</v>
      </c>
      <c r="BD301" t="s">
        <v>74</v>
      </c>
      <c r="BE301" t="s">
        <v>2367</v>
      </c>
      <c r="BF301" t="str">
        <f>HYPERLINK("http://dx.doi.org/10.1080/20442041.2019.1671766","http://dx.doi.org/10.1080/20442041.2019.1671766")</f>
        <v>http://dx.doi.org/10.1080/20442041.2019.1671766</v>
      </c>
      <c r="BG301" t="s">
        <v>74</v>
      </c>
      <c r="BH301" t="s">
        <v>2368</v>
      </c>
      <c r="BI301" t="s">
        <v>74</v>
      </c>
      <c r="BJ301" t="s">
        <v>74</v>
      </c>
      <c r="BK301" t="s">
        <v>74</v>
      </c>
      <c r="BL301" t="s">
        <v>74</v>
      </c>
      <c r="BM301" t="s">
        <v>74</v>
      </c>
      <c r="BN301" t="s">
        <v>74</v>
      </c>
      <c r="BO301" t="s">
        <v>74</v>
      </c>
      <c r="BP301" t="s">
        <v>74</v>
      </c>
      <c r="BQ301" t="s">
        <v>74</v>
      </c>
      <c r="BR301" t="s">
        <v>74</v>
      </c>
      <c r="BS301" t="s">
        <v>2369</v>
      </c>
      <c r="BT301" t="str">
        <f>HYPERLINK("https%3A%2F%2Fwww.webofscience.com%2Fwos%2Fwoscc%2Ffull-record%2FWOS:000506604300001","View Full Record in Web of Science")</f>
        <v>View Full Record in Web of Science</v>
      </c>
    </row>
    <row r="302" spans="1:72" x14ac:dyDescent="0.2">
      <c r="A302" t="s">
        <v>72</v>
      </c>
      <c r="B302" t="s">
        <v>2370</v>
      </c>
      <c r="C302" t="s">
        <v>74</v>
      </c>
      <c r="D302" t="s">
        <v>74</v>
      </c>
      <c r="E302" t="s">
        <v>74</v>
      </c>
      <c r="F302" t="s">
        <v>2371</v>
      </c>
      <c r="G302" t="s">
        <v>74</v>
      </c>
      <c r="H302" t="s">
        <v>74</v>
      </c>
      <c r="I302" t="s">
        <v>2372</v>
      </c>
      <c r="J302" t="s">
        <v>1904</v>
      </c>
      <c r="K302" t="s">
        <v>74</v>
      </c>
      <c r="L302" t="s">
        <v>74</v>
      </c>
      <c r="M302" t="s">
        <v>74</v>
      </c>
      <c r="N302" t="s">
        <v>74</v>
      </c>
      <c r="O302" t="s">
        <v>2373</v>
      </c>
      <c r="P302" t="s">
        <v>2374</v>
      </c>
      <c r="Q302" t="s">
        <v>2375</v>
      </c>
      <c r="R302" t="s">
        <v>2376</v>
      </c>
      <c r="S302" t="s">
        <v>74</v>
      </c>
      <c r="T302" t="s">
        <v>74</v>
      </c>
      <c r="U302" t="s">
        <v>74</v>
      </c>
      <c r="V302" t="s">
        <v>74</v>
      </c>
      <c r="W302" t="s">
        <v>74</v>
      </c>
      <c r="X302" t="s">
        <v>74</v>
      </c>
      <c r="Y302" t="s">
        <v>74</v>
      </c>
      <c r="Z302" t="s">
        <v>74</v>
      </c>
      <c r="AA302" t="s">
        <v>6956</v>
      </c>
      <c r="AB302" t="s">
        <v>2377</v>
      </c>
      <c r="AC302" t="s">
        <v>74</v>
      </c>
      <c r="AD302" t="s">
        <v>74</v>
      </c>
      <c r="AE302" t="s">
        <v>74</v>
      </c>
      <c r="AF302" t="s">
        <v>74</v>
      </c>
      <c r="AG302" t="s">
        <v>74</v>
      </c>
      <c r="AH302" t="s">
        <v>74</v>
      </c>
      <c r="AI302" t="s">
        <v>74</v>
      </c>
      <c r="AJ302" t="s">
        <v>74</v>
      </c>
      <c r="AK302" t="s">
        <v>74</v>
      </c>
      <c r="AL302" t="s">
        <v>74</v>
      </c>
      <c r="AM302" t="s">
        <v>74</v>
      </c>
      <c r="AN302" t="s">
        <v>74</v>
      </c>
      <c r="AO302" t="s">
        <v>1905</v>
      </c>
      <c r="AP302" t="s">
        <v>1906</v>
      </c>
      <c r="AQ302" t="s">
        <v>74</v>
      </c>
      <c r="AR302" t="s">
        <v>74</v>
      </c>
      <c r="AS302" t="s">
        <v>74</v>
      </c>
      <c r="AT302" t="s">
        <v>74</v>
      </c>
      <c r="AU302">
        <v>2020</v>
      </c>
      <c r="AV302">
        <v>39</v>
      </c>
      <c r="AW302">
        <v>1</v>
      </c>
      <c r="AX302" t="s">
        <v>74</v>
      </c>
      <c r="AY302" t="s">
        <v>74</v>
      </c>
      <c r="AZ302" t="s">
        <v>74</v>
      </c>
      <c r="BA302" t="s">
        <v>74</v>
      </c>
      <c r="BB302">
        <v>245</v>
      </c>
      <c r="BC302">
        <v>261</v>
      </c>
      <c r="BD302" t="s">
        <v>74</v>
      </c>
      <c r="BE302" t="s">
        <v>2378</v>
      </c>
      <c r="BF302" t="str">
        <f>HYPERLINK("http://dx.doi.org/10.23818/limn.39.16","http://dx.doi.org/10.23818/limn.39.16")</f>
        <v>http://dx.doi.org/10.23818/limn.39.16</v>
      </c>
      <c r="BG302" t="s">
        <v>74</v>
      </c>
      <c r="BH302" t="s">
        <v>74</v>
      </c>
      <c r="BI302" t="s">
        <v>74</v>
      </c>
      <c r="BJ302" t="s">
        <v>74</v>
      </c>
      <c r="BK302" t="s">
        <v>74</v>
      </c>
      <c r="BL302" t="s">
        <v>74</v>
      </c>
      <c r="BM302" t="s">
        <v>74</v>
      </c>
      <c r="BN302" t="s">
        <v>74</v>
      </c>
      <c r="BO302" t="s">
        <v>74</v>
      </c>
      <c r="BP302" t="s">
        <v>74</v>
      </c>
      <c r="BQ302" t="s">
        <v>74</v>
      </c>
      <c r="BR302" t="s">
        <v>74</v>
      </c>
      <c r="BS302" t="s">
        <v>2379</v>
      </c>
      <c r="BT302" t="str">
        <f>HYPERLINK("https%3A%2F%2Fwww.webofscience.com%2Fwos%2Fwoscc%2Ffull-record%2FWOS:000509685900017","View Full Record in Web of Science")</f>
        <v>View Full Record in Web of Science</v>
      </c>
    </row>
    <row r="303" spans="1:72" x14ac:dyDescent="0.2">
      <c r="A303" t="s">
        <v>72</v>
      </c>
      <c r="B303" t="s">
        <v>2380</v>
      </c>
      <c r="C303" t="s">
        <v>74</v>
      </c>
      <c r="D303" t="s">
        <v>74</v>
      </c>
      <c r="E303" t="s">
        <v>74</v>
      </c>
      <c r="F303" t="s">
        <v>2381</v>
      </c>
      <c r="G303" t="s">
        <v>74</v>
      </c>
      <c r="H303" t="s">
        <v>74</v>
      </c>
      <c r="I303" t="s">
        <v>2382</v>
      </c>
      <c r="J303" t="s">
        <v>1444</v>
      </c>
      <c r="K303" t="s">
        <v>74</v>
      </c>
      <c r="L303" t="s">
        <v>74</v>
      </c>
      <c r="M303" t="s">
        <v>74</v>
      </c>
      <c r="N303" t="s">
        <v>74</v>
      </c>
      <c r="O303" t="s">
        <v>74</v>
      </c>
      <c r="P303" t="s">
        <v>74</v>
      </c>
      <c r="Q303" t="s">
        <v>74</v>
      </c>
      <c r="R303" t="s">
        <v>74</v>
      </c>
      <c r="S303" t="s">
        <v>74</v>
      </c>
      <c r="T303" t="s">
        <v>74</v>
      </c>
      <c r="U303" t="s">
        <v>74</v>
      </c>
      <c r="V303" t="s">
        <v>74</v>
      </c>
      <c r="W303" t="s">
        <v>74</v>
      </c>
      <c r="X303" t="s">
        <v>74</v>
      </c>
      <c r="Y303" t="s">
        <v>74</v>
      </c>
      <c r="Z303" t="s">
        <v>74</v>
      </c>
      <c r="AA303" t="s">
        <v>2383</v>
      </c>
      <c r="AB303" t="s">
        <v>2384</v>
      </c>
      <c r="AC303" t="s">
        <v>74</v>
      </c>
      <c r="AD303" t="s">
        <v>74</v>
      </c>
      <c r="AE303" t="s">
        <v>74</v>
      </c>
      <c r="AF303" t="s">
        <v>74</v>
      </c>
      <c r="AG303" t="s">
        <v>74</v>
      </c>
      <c r="AH303" t="s">
        <v>74</v>
      </c>
      <c r="AI303" t="s">
        <v>74</v>
      </c>
      <c r="AJ303" t="s">
        <v>74</v>
      </c>
      <c r="AK303" t="s">
        <v>74</v>
      </c>
      <c r="AL303" t="s">
        <v>74</v>
      </c>
      <c r="AM303" t="s">
        <v>74</v>
      </c>
      <c r="AN303" t="s">
        <v>74</v>
      </c>
      <c r="AO303" t="s">
        <v>1447</v>
      </c>
      <c r="AP303" t="s">
        <v>1448</v>
      </c>
      <c r="AQ303" t="s">
        <v>74</v>
      </c>
      <c r="AR303" t="s">
        <v>74</v>
      </c>
      <c r="AS303" t="s">
        <v>74</v>
      </c>
      <c r="AT303" t="s">
        <v>74</v>
      </c>
      <c r="AU303">
        <v>2020</v>
      </c>
      <c r="AV303">
        <v>92</v>
      </c>
      <c r="AW303">
        <v>1</v>
      </c>
      <c r="AX303" t="s">
        <v>74</v>
      </c>
      <c r="AY303" t="s">
        <v>74</v>
      </c>
      <c r="AZ303" t="s">
        <v>74</v>
      </c>
      <c r="BA303" t="s">
        <v>74</v>
      </c>
      <c r="BB303" t="s">
        <v>74</v>
      </c>
      <c r="BC303" t="s">
        <v>74</v>
      </c>
      <c r="BD303" t="s">
        <v>2385</v>
      </c>
      <c r="BE303" t="s">
        <v>2386</v>
      </c>
      <c r="BF303" t="str">
        <f>HYPERLINK("http://dx.doi.org/10.1590/0001-3765202020181102","http://dx.doi.org/10.1590/0001-3765202020181102")</f>
        <v>http://dx.doi.org/10.1590/0001-3765202020181102</v>
      </c>
      <c r="BG303" t="s">
        <v>74</v>
      </c>
      <c r="BH303" t="s">
        <v>74</v>
      </c>
      <c r="BI303" t="s">
        <v>74</v>
      </c>
      <c r="BJ303" t="s">
        <v>74</v>
      </c>
      <c r="BK303" t="s">
        <v>74</v>
      </c>
      <c r="BL303" t="s">
        <v>74</v>
      </c>
      <c r="BM303" t="s">
        <v>74</v>
      </c>
      <c r="BN303">
        <v>32187255</v>
      </c>
      <c r="BO303" t="s">
        <v>74</v>
      </c>
      <c r="BP303" t="s">
        <v>74</v>
      </c>
      <c r="BQ303" t="s">
        <v>74</v>
      </c>
      <c r="BR303" t="s">
        <v>74</v>
      </c>
      <c r="BS303" t="s">
        <v>2387</v>
      </c>
      <c r="BT303" t="str">
        <f>HYPERLINK("https%3A%2F%2Fwww.webofscience.com%2Fwos%2Fwoscc%2Ffull-record%2FWOS:000521169600001","View Full Record in Web of Science")</f>
        <v>View Full Record in Web of Science</v>
      </c>
    </row>
    <row r="304" spans="1:72" x14ac:dyDescent="0.2">
      <c r="A304" t="s">
        <v>2388</v>
      </c>
      <c r="B304" t="s">
        <v>2389</v>
      </c>
      <c r="C304" t="s">
        <v>74</v>
      </c>
      <c r="D304" t="s">
        <v>74</v>
      </c>
      <c r="E304" t="s">
        <v>2390</v>
      </c>
      <c r="F304" t="s">
        <v>2391</v>
      </c>
      <c r="G304" t="s">
        <v>74</v>
      </c>
      <c r="H304" t="s">
        <v>74</v>
      </c>
      <c r="I304" t="s">
        <v>2392</v>
      </c>
      <c r="J304" t="s">
        <v>2393</v>
      </c>
      <c r="K304" t="s">
        <v>2394</v>
      </c>
      <c r="L304" t="s">
        <v>74</v>
      </c>
      <c r="M304" t="s">
        <v>74</v>
      </c>
      <c r="N304" t="s">
        <v>74</v>
      </c>
      <c r="O304" t="s">
        <v>2395</v>
      </c>
      <c r="P304" t="s">
        <v>2396</v>
      </c>
      <c r="Q304" t="s">
        <v>2397</v>
      </c>
      <c r="R304" t="s">
        <v>2398</v>
      </c>
      <c r="S304" t="s">
        <v>74</v>
      </c>
      <c r="T304" t="s">
        <v>74</v>
      </c>
      <c r="U304" t="s">
        <v>74</v>
      </c>
      <c r="V304" t="s">
        <v>74</v>
      </c>
      <c r="W304" t="s">
        <v>74</v>
      </c>
      <c r="X304" t="s">
        <v>74</v>
      </c>
      <c r="Y304" t="s">
        <v>74</v>
      </c>
      <c r="Z304" t="s">
        <v>74</v>
      </c>
      <c r="AA304" t="s">
        <v>2399</v>
      </c>
      <c r="AB304" t="s">
        <v>2400</v>
      </c>
      <c r="AC304" t="s">
        <v>74</v>
      </c>
      <c r="AD304" t="s">
        <v>74</v>
      </c>
      <c r="AE304" t="s">
        <v>74</v>
      </c>
      <c r="AF304" t="s">
        <v>74</v>
      </c>
      <c r="AG304" t="s">
        <v>74</v>
      </c>
      <c r="AH304" t="s">
        <v>74</v>
      </c>
      <c r="AI304" t="s">
        <v>74</v>
      </c>
      <c r="AJ304" t="s">
        <v>74</v>
      </c>
      <c r="AK304" t="s">
        <v>74</v>
      </c>
      <c r="AL304" t="s">
        <v>74</v>
      </c>
      <c r="AM304" t="s">
        <v>74</v>
      </c>
      <c r="AN304" t="s">
        <v>74</v>
      </c>
      <c r="AO304" t="s">
        <v>2401</v>
      </c>
      <c r="AP304" t="s">
        <v>74</v>
      </c>
      <c r="AQ304" t="s">
        <v>74</v>
      </c>
      <c r="AR304" t="s">
        <v>74</v>
      </c>
      <c r="AS304" t="s">
        <v>74</v>
      </c>
      <c r="AT304" t="s">
        <v>74</v>
      </c>
      <c r="AU304">
        <v>2020</v>
      </c>
      <c r="AV304">
        <v>599</v>
      </c>
      <c r="AW304" t="s">
        <v>74</v>
      </c>
      <c r="AX304" t="s">
        <v>74</v>
      </c>
      <c r="AY304" t="s">
        <v>74</v>
      </c>
      <c r="AZ304" t="s">
        <v>74</v>
      </c>
      <c r="BA304" t="s">
        <v>74</v>
      </c>
      <c r="BB304" t="s">
        <v>74</v>
      </c>
      <c r="BC304" t="s">
        <v>74</v>
      </c>
      <c r="BD304">
        <v>12052</v>
      </c>
      <c r="BE304" t="s">
        <v>2402</v>
      </c>
      <c r="BF304" t="str">
        <f>HYPERLINK("http://dx.doi.org/10.1088/1755-1315/599/1/012052","http://dx.doi.org/10.1088/1755-1315/599/1/012052")</f>
        <v>http://dx.doi.org/10.1088/1755-1315/599/1/012052</v>
      </c>
      <c r="BG304" t="s">
        <v>74</v>
      </c>
      <c r="BH304" t="s">
        <v>74</v>
      </c>
      <c r="BI304" t="s">
        <v>74</v>
      </c>
      <c r="BJ304" t="s">
        <v>74</v>
      </c>
      <c r="BK304" t="s">
        <v>74</v>
      </c>
      <c r="BL304" t="s">
        <v>74</v>
      </c>
      <c r="BM304" t="s">
        <v>74</v>
      </c>
      <c r="BN304" t="s">
        <v>74</v>
      </c>
      <c r="BO304" t="s">
        <v>74</v>
      </c>
      <c r="BP304" t="s">
        <v>74</v>
      </c>
      <c r="BQ304" t="s">
        <v>74</v>
      </c>
      <c r="BR304" t="s">
        <v>74</v>
      </c>
      <c r="BS304" t="s">
        <v>2403</v>
      </c>
      <c r="BT304" t="str">
        <f>HYPERLINK("https%3A%2F%2Fwww.webofscience.com%2Fwos%2Fwoscc%2Ffull-record%2FWOS:000657253200052","View Full Record in Web of Science")</f>
        <v>View Full Record in Web of Science</v>
      </c>
    </row>
    <row r="305" spans="1:72" x14ac:dyDescent="0.2">
      <c r="A305" t="s">
        <v>72</v>
      </c>
      <c r="B305" t="s">
        <v>2404</v>
      </c>
      <c r="C305" t="s">
        <v>74</v>
      </c>
      <c r="D305" t="s">
        <v>74</v>
      </c>
      <c r="E305" t="s">
        <v>74</v>
      </c>
      <c r="F305" t="s">
        <v>2405</v>
      </c>
      <c r="G305" t="s">
        <v>74</v>
      </c>
      <c r="H305" t="s">
        <v>74</v>
      </c>
      <c r="I305" t="s">
        <v>2406</v>
      </c>
      <c r="J305" t="s">
        <v>106</v>
      </c>
      <c r="K305" t="s">
        <v>74</v>
      </c>
      <c r="L305" t="s">
        <v>74</v>
      </c>
      <c r="M305" t="s">
        <v>74</v>
      </c>
      <c r="N305" t="s">
        <v>74</v>
      </c>
      <c r="O305" t="s">
        <v>74</v>
      </c>
      <c r="P305" t="s">
        <v>74</v>
      </c>
      <c r="Q305" t="s">
        <v>74</v>
      </c>
      <c r="R305" t="s">
        <v>74</v>
      </c>
      <c r="S305" t="s">
        <v>74</v>
      </c>
      <c r="T305" t="s">
        <v>74</v>
      </c>
      <c r="U305" t="s">
        <v>74</v>
      </c>
      <c r="V305" t="s">
        <v>74</v>
      </c>
      <c r="W305" t="s">
        <v>74</v>
      </c>
      <c r="X305" t="s">
        <v>74</v>
      </c>
      <c r="Y305" t="s">
        <v>74</v>
      </c>
      <c r="Z305" t="s">
        <v>74</v>
      </c>
      <c r="AA305" t="s">
        <v>2407</v>
      </c>
      <c r="AB305" t="s">
        <v>6957</v>
      </c>
      <c r="AC305" t="s">
        <v>74</v>
      </c>
      <c r="AD305" t="s">
        <v>74</v>
      </c>
      <c r="AE305" t="s">
        <v>74</v>
      </c>
      <c r="AF305" t="s">
        <v>74</v>
      </c>
      <c r="AG305" t="s">
        <v>74</v>
      </c>
      <c r="AH305" t="s">
        <v>74</v>
      </c>
      <c r="AI305" t="s">
        <v>74</v>
      </c>
      <c r="AJ305" t="s">
        <v>74</v>
      </c>
      <c r="AK305" t="s">
        <v>74</v>
      </c>
      <c r="AL305" t="s">
        <v>74</v>
      </c>
      <c r="AM305" t="s">
        <v>74</v>
      </c>
      <c r="AN305" t="s">
        <v>74</v>
      </c>
      <c r="AO305" t="s">
        <v>107</v>
      </c>
      <c r="AP305" t="s">
        <v>108</v>
      </c>
      <c r="AQ305" t="s">
        <v>74</v>
      </c>
      <c r="AR305" t="s">
        <v>74</v>
      </c>
      <c r="AS305" t="s">
        <v>74</v>
      </c>
      <c r="AT305" t="s">
        <v>315</v>
      </c>
      <c r="AU305">
        <v>2020</v>
      </c>
      <c r="AV305">
        <v>42</v>
      </c>
      <c r="AW305">
        <v>1</v>
      </c>
      <c r="AX305" t="s">
        <v>74</v>
      </c>
      <c r="AY305" t="s">
        <v>74</v>
      </c>
      <c r="AZ305" t="s">
        <v>74</v>
      </c>
      <c r="BA305" t="s">
        <v>74</v>
      </c>
      <c r="BB305">
        <v>19</v>
      </c>
      <c r="BC305">
        <v>30</v>
      </c>
      <c r="BD305" t="s">
        <v>74</v>
      </c>
      <c r="BE305" t="s">
        <v>2408</v>
      </c>
      <c r="BF305" t="str">
        <f>HYPERLINK("http://dx.doi.org/10.1093/plankt/fbz075","http://dx.doi.org/10.1093/plankt/fbz075")</f>
        <v>http://dx.doi.org/10.1093/plankt/fbz075</v>
      </c>
      <c r="BG305" t="s">
        <v>74</v>
      </c>
      <c r="BH305" t="s">
        <v>74</v>
      </c>
      <c r="BI305" t="s">
        <v>74</v>
      </c>
      <c r="BJ305" t="s">
        <v>74</v>
      </c>
      <c r="BK305" t="s">
        <v>74</v>
      </c>
      <c r="BL305" t="s">
        <v>74</v>
      </c>
      <c r="BM305" t="s">
        <v>74</v>
      </c>
      <c r="BN305" t="s">
        <v>74</v>
      </c>
      <c r="BO305" t="s">
        <v>74</v>
      </c>
      <c r="BP305" t="s">
        <v>74</v>
      </c>
      <c r="BQ305" t="s">
        <v>74</v>
      </c>
      <c r="BR305" t="s">
        <v>74</v>
      </c>
      <c r="BS305" t="s">
        <v>2409</v>
      </c>
      <c r="BT305" t="str">
        <f>HYPERLINK("https%3A%2F%2Fwww.webofscience.com%2Fwos%2Fwoscc%2Ffull-record%2FWOS:000518532300003","View Full Record in Web of Science")</f>
        <v>View Full Record in Web of Science</v>
      </c>
    </row>
    <row r="306" spans="1:72" x14ac:dyDescent="0.2">
      <c r="A306" t="s">
        <v>72</v>
      </c>
      <c r="B306" t="s">
        <v>2410</v>
      </c>
      <c r="C306" t="s">
        <v>74</v>
      </c>
      <c r="D306" t="s">
        <v>74</v>
      </c>
      <c r="E306" t="s">
        <v>74</v>
      </c>
      <c r="F306" t="s">
        <v>2411</v>
      </c>
      <c r="G306" t="s">
        <v>74</v>
      </c>
      <c r="H306" t="s">
        <v>74</v>
      </c>
      <c r="I306" t="s">
        <v>2412</v>
      </c>
      <c r="J306" t="s">
        <v>457</v>
      </c>
      <c r="K306" t="s">
        <v>74</v>
      </c>
      <c r="L306" t="s">
        <v>74</v>
      </c>
      <c r="M306" t="s">
        <v>74</v>
      </c>
      <c r="N306" t="s">
        <v>74</v>
      </c>
      <c r="O306" t="s">
        <v>74</v>
      </c>
      <c r="P306" t="s">
        <v>74</v>
      </c>
      <c r="Q306" t="s">
        <v>74</v>
      </c>
      <c r="R306" t="s">
        <v>74</v>
      </c>
      <c r="S306" t="s">
        <v>74</v>
      </c>
      <c r="T306" t="s">
        <v>74</v>
      </c>
      <c r="U306" t="s">
        <v>74</v>
      </c>
      <c r="V306" t="s">
        <v>74</v>
      </c>
      <c r="W306" t="s">
        <v>74</v>
      </c>
      <c r="X306" t="s">
        <v>74</v>
      </c>
      <c r="Y306" t="s">
        <v>74</v>
      </c>
      <c r="Z306" t="s">
        <v>74</v>
      </c>
      <c r="AA306" t="s">
        <v>2413</v>
      </c>
      <c r="AB306" t="s">
        <v>2414</v>
      </c>
      <c r="AC306" t="s">
        <v>74</v>
      </c>
      <c r="AD306" t="s">
        <v>74</v>
      </c>
      <c r="AE306" t="s">
        <v>74</v>
      </c>
      <c r="AF306" t="s">
        <v>74</v>
      </c>
      <c r="AG306" t="s">
        <v>74</v>
      </c>
      <c r="AH306" t="s">
        <v>74</v>
      </c>
      <c r="AI306" t="s">
        <v>74</v>
      </c>
      <c r="AJ306" t="s">
        <v>74</v>
      </c>
      <c r="AK306" t="s">
        <v>74</v>
      </c>
      <c r="AL306" t="s">
        <v>74</v>
      </c>
      <c r="AM306" t="s">
        <v>74</v>
      </c>
      <c r="AN306" t="s">
        <v>74</v>
      </c>
      <c r="AO306" t="s">
        <v>458</v>
      </c>
      <c r="AP306" t="s">
        <v>74</v>
      </c>
      <c r="AQ306" t="s">
        <v>74</v>
      </c>
      <c r="AR306" t="s">
        <v>74</v>
      </c>
      <c r="AS306" t="s">
        <v>74</v>
      </c>
      <c r="AT306" t="s">
        <v>315</v>
      </c>
      <c r="AU306">
        <v>2020</v>
      </c>
      <c r="AV306">
        <v>10</v>
      </c>
      <c r="AW306">
        <v>1</v>
      </c>
      <c r="AX306" t="s">
        <v>74</v>
      </c>
      <c r="AY306" t="s">
        <v>74</v>
      </c>
      <c r="AZ306" t="s">
        <v>74</v>
      </c>
      <c r="BA306" t="s">
        <v>74</v>
      </c>
      <c r="BB306">
        <v>320</v>
      </c>
      <c r="BC306">
        <v>335</v>
      </c>
      <c r="BD306" t="s">
        <v>74</v>
      </c>
      <c r="BE306" t="s">
        <v>2415</v>
      </c>
      <c r="BF306" t="str">
        <f>HYPERLINK("http://dx.doi.org/10.1002/ece3.5897","http://dx.doi.org/10.1002/ece3.5897")</f>
        <v>http://dx.doi.org/10.1002/ece3.5897</v>
      </c>
      <c r="BG306" t="s">
        <v>74</v>
      </c>
      <c r="BH306" t="s">
        <v>2416</v>
      </c>
      <c r="BI306" t="s">
        <v>74</v>
      </c>
      <c r="BJ306" t="s">
        <v>74</v>
      </c>
      <c r="BK306" t="s">
        <v>74</v>
      </c>
      <c r="BL306" t="s">
        <v>74</v>
      </c>
      <c r="BM306" t="s">
        <v>74</v>
      </c>
      <c r="BN306">
        <v>31993118</v>
      </c>
      <c r="BO306" t="s">
        <v>74</v>
      </c>
      <c r="BP306" t="s">
        <v>74</v>
      </c>
      <c r="BQ306" t="s">
        <v>74</v>
      </c>
      <c r="BR306" t="s">
        <v>74</v>
      </c>
      <c r="BS306" t="s">
        <v>2417</v>
      </c>
      <c r="BT306" t="str">
        <f>HYPERLINK("https%3A%2F%2Fwww.webofscience.com%2Fwos%2Fwoscc%2Ffull-record%2FWOS:000501661800001","View Full Record in Web of Science")</f>
        <v>View Full Record in Web of Science</v>
      </c>
    </row>
    <row r="307" spans="1:72" x14ac:dyDescent="0.2">
      <c r="A307" t="s">
        <v>72</v>
      </c>
      <c r="B307" t="s">
        <v>2418</v>
      </c>
      <c r="C307" t="s">
        <v>74</v>
      </c>
      <c r="D307" t="s">
        <v>74</v>
      </c>
      <c r="E307" t="s">
        <v>74</v>
      </c>
      <c r="F307" t="s">
        <v>2419</v>
      </c>
      <c r="G307" t="s">
        <v>74</v>
      </c>
      <c r="H307" t="s">
        <v>74</v>
      </c>
      <c r="I307" t="s">
        <v>2420</v>
      </c>
      <c r="J307" t="s">
        <v>2421</v>
      </c>
      <c r="K307" t="s">
        <v>74</v>
      </c>
      <c r="L307" t="s">
        <v>74</v>
      </c>
      <c r="M307" t="s">
        <v>74</v>
      </c>
      <c r="N307" t="s">
        <v>74</v>
      </c>
      <c r="O307" t="s">
        <v>74</v>
      </c>
      <c r="P307" t="s">
        <v>74</v>
      </c>
      <c r="Q307" t="s">
        <v>74</v>
      </c>
      <c r="R307" t="s">
        <v>74</v>
      </c>
      <c r="S307" t="s">
        <v>74</v>
      </c>
      <c r="T307" t="s">
        <v>74</v>
      </c>
      <c r="U307" t="s">
        <v>74</v>
      </c>
      <c r="V307" t="s">
        <v>74</v>
      </c>
      <c r="W307" t="s">
        <v>74</v>
      </c>
      <c r="X307" t="s">
        <v>74</v>
      </c>
      <c r="Y307" t="s">
        <v>74</v>
      </c>
      <c r="Z307" t="s">
        <v>74</v>
      </c>
      <c r="AA307" t="s">
        <v>74</v>
      </c>
      <c r="AB307" t="s">
        <v>1225</v>
      </c>
      <c r="AC307" t="s">
        <v>74</v>
      </c>
      <c r="AD307" t="s">
        <v>74</v>
      </c>
      <c r="AE307" t="s">
        <v>74</v>
      </c>
      <c r="AF307" t="s">
        <v>74</v>
      </c>
      <c r="AG307" t="s">
        <v>74</v>
      </c>
      <c r="AH307" t="s">
        <v>74</v>
      </c>
      <c r="AI307" t="s">
        <v>74</v>
      </c>
      <c r="AJ307" t="s">
        <v>74</v>
      </c>
      <c r="AK307" t="s">
        <v>74</v>
      </c>
      <c r="AL307" t="s">
        <v>74</v>
      </c>
      <c r="AM307" t="s">
        <v>74</v>
      </c>
      <c r="AN307" t="s">
        <v>74</v>
      </c>
      <c r="AO307" t="s">
        <v>2422</v>
      </c>
      <c r="AP307" t="s">
        <v>74</v>
      </c>
      <c r="AQ307" t="s">
        <v>74</v>
      </c>
      <c r="AR307" t="s">
        <v>74</v>
      </c>
      <c r="AS307" t="s">
        <v>74</v>
      </c>
      <c r="AT307" t="s">
        <v>82</v>
      </c>
      <c r="AU307">
        <v>2019</v>
      </c>
      <c r="AV307">
        <v>45</v>
      </c>
      <c r="AW307">
        <v>6</v>
      </c>
      <c r="AX307" t="s">
        <v>74</v>
      </c>
      <c r="AY307" t="s">
        <v>74</v>
      </c>
      <c r="AZ307" t="s">
        <v>74</v>
      </c>
      <c r="BA307" t="s">
        <v>74</v>
      </c>
      <c r="BB307">
        <v>1197</v>
      </c>
      <c r="BC307">
        <v>1204</v>
      </c>
      <c r="BD307" t="s">
        <v>74</v>
      </c>
      <c r="BE307" t="s">
        <v>2423</v>
      </c>
      <c r="BF307" t="str">
        <f>HYPERLINK("http://dx.doi.org/10.1016/j.jglr.2019.09.016","http://dx.doi.org/10.1016/j.jglr.2019.09.016")</f>
        <v>http://dx.doi.org/10.1016/j.jglr.2019.09.016</v>
      </c>
      <c r="BG307" t="s">
        <v>74</v>
      </c>
      <c r="BH307" t="s">
        <v>74</v>
      </c>
      <c r="BI307" t="s">
        <v>74</v>
      </c>
      <c r="BJ307" t="s">
        <v>74</v>
      </c>
      <c r="BK307" t="s">
        <v>74</v>
      </c>
      <c r="BL307" t="s">
        <v>74</v>
      </c>
      <c r="BM307" t="s">
        <v>74</v>
      </c>
      <c r="BN307" t="s">
        <v>74</v>
      </c>
      <c r="BO307" t="s">
        <v>74</v>
      </c>
      <c r="BP307" t="s">
        <v>74</v>
      </c>
      <c r="BQ307" t="s">
        <v>74</v>
      </c>
      <c r="BR307" t="s">
        <v>74</v>
      </c>
      <c r="BS307" t="s">
        <v>2424</v>
      </c>
      <c r="BT307" t="str">
        <f>HYPERLINK("https%3A%2F%2Fwww.webofscience.com%2Fwos%2Fwoscc%2Ffull-record%2FWOS:000504780900016","View Full Record in Web of Science")</f>
        <v>View Full Record in Web of Science</v>
      </c>
    </row>
    <row r="308" spans="1:72" x14ac:dyDescent="0.2">
      <c r="A308" t="s">
        <v>72</v>
      </c>
      <c r="B308" t="s">
        <v>2425</v>
      </c>
      <c r="C308" t="s">
        <v>74</v>
      </c>
      <c r="D308" t="s">
        <v>74</v>
      </c>
      <c r="E308" t="s">
        <v>74</v>
      </c>
      <c r="F308" t="s">
        <v>2426</v>
      </c>
      <c r="G308" t="s">
        <v>74</v>
      </c>
      <c r="H308" t="s">
        <v>74</v>
      </c>
      <c r="I308" t="s">
        <v>2427</v>
      </c>
      <c r="J308" t="s">
        <v>2428</v>
      </c>
      <c r="K308" t="s">
        <v>74</v>
      </c>
      <c r="L308" t="s">
        <v>74</v>
      </c>
      <c r="M308" t="s">
        <v>74</v>
      </c>
      <c r="N308" t="s">
        <v>74</v>
      </c>
      <c r="O308" t="s">
        <v>74</v>
      </c>
      <c r="P308" t="s">
        <v>74</v>
      </c>
      <c r="Q308" t="s">
        <v>74</v>
      </c>
      <c r="R308" t="s">
        <v>74</v>
      </c>
      <c r="S308" t="s">
        <v>74</v>
      </c>
      <c r="T308" t="s">
        <v>74</v>
      </c>
      <c r="U308" t="s">
        <v>74</v>
      </c>
      <c r="V308" t="s">
        <v>74</v>
      </c>
      <c r="W308" t="s">
        <v>74</v>
      </c>
      <c r="X308" t="s">
        <v>74</v>
      </c>
      <c r="Y308" t="s">
        <v>74</v>
      </c>
      <c r="Z308" t="s">
        <v>74</v>
      </c>
      <c r="AA308" t="s">
        <v>74</v>
      </c>
      <c r="AB308" t="s">
        <v>74</v>
      </c>
      <c r="AC308" t="s">
        <v>74</v>
      </c>
      <c r="AD308" t="s">
        <v>74</v>
      </c>
      <c r="AE308" t="s">
        <v>74</v>
      </c>
      <c r="AF308" t="s">
        <v>74</v>
      </c>
      <c r="AG308" t="s">
        <v>74</v>
      </c>
      <c r="AH308" t="s">
        <v>74</v>
      </c>
      <c r="AI308" t="s">
        <v>74</v>
      </c>
      <c r="AJ308" t="s">
        <v>74</v>
      </c>
      <c r="AK308" t="s">
        <v>74</v>
      </c>
      <c r="AL308" t="s">
        <v>74</v>
      </c>
      <c r="AM308" t="s">
        <v>74</v>
      </c>
      <c r="AN308" t="s">
        <v>74</v>
      </c>
      <c r="AO308" t="s">
        <v>2429</v>
      </c>
      <c r="AP308" t="s">
        <v>2430</v>
      </c>
      <c r="AQ308" t="s">
        <v>74</v>
      </c>
      <c r="AR308" t="s">
        <v>74</v>
      </c>
      <c r="AS308" t="s">
        <v>74</v>
      </c>
      <c r="AT308" t="s">
        <v>82</v>
      </c>
      <c r="AU308">
        <v>2019</v>
      </c>
      <c r="AV308">
        <v>187</v>
      </c>
      <c r="AW308">
        <v>4</v>
      </c>
      <c r="AX308" t="s">
        <v>74</v>
      </c>
      <c r="AY308" t="s">
        <v>74</v>
      </c>
      <c r="AZ308" t="s">
        <v>74</v>
      </c>
      <c r="BA308" t="s">
        <v>74</v>
      </c>
      <c r="BB308">
        <v>1119</v>
      </c>
      <c r="BC308">
        <v>1130</v>
      </c>
      <c r="BD308" t="s">
        <v>74</v>
      </c>
      <c r="BE308" t="s">
        <v>2431</v>
      </c>
      <c r="BF308" t="str">
        <f>HYPERLINK("http://dx.doi.org/10.1093/zoolinnean/zlz053","http://dx.doi.org/10.1093/zoolinnean/zlz053")</f>
        <v>http://dx.doi.org/10.1093/zoolinnean/zlz053</v>
      </c>
      <c r="BG308" t="s">
        <v>74</v>
      </c>
      <c r="BH308" t="s">
        <v>74</v>
      </c>
      <c r="BI308" t="s">
        <v>74</v>
      </c>
      <c r="BJ308" t="s">
        <v>74</v>
      </c>
      <c r="BK308" t="s">
        <v>74</v>
      </c>
      <c r="BL308" t="s">
        <v>74</v>
      </c>
      <c r="BM308" t="s">
        <v>74</v>
      </c>
      <c r="BN308" t="s">
        <v>74</v>
      </c>
      <c r="BO308" t="s">
        <v>74</v>
      </c>
      <c r="BP308" t="s">
        <v>74</v>
      </c>
      <c r="BQ308" t="s">
        <v>74</v>
      </c>
      <c r="BR308" t="s">
        <v>74</v>
      </c>
      <c r="BS308" t="s">
        <v>2432</v>
      </c>
      <c r="BT308" t="str">
        <f>HYPERLINK("https%3A%2F%2Fwww.webofscience.com%2Fwos%2Fwoscc%2Ffull-record%2FWOS:000501739500006","View Full Record in Web of Science")</f>
        <v>View Full Record in Web of Science</v>
      </c>
    </row>
    <row r="309" spans="1:72" x14ac:dyDescent="0.2">
      <c r="A309" t="s">
        <v>72</v>
      </c>
      <c r="B309" t="s">
        <v>2433</v>
      </c>
      <c r="C309" t="s">
        <v>74</v>
      </c>
      <c r="D309" t="s">
        <v>74</v>
      </c>
      <c r="E309" t="s">
        <v>74</v>
      </c>
      <c r="F309" t="s">
        <v>2434</v>
      </c>
      <c r="G309" t="s">
        <v>74</v>
      </c>
      <c r="H309" t="s">
        <v>74</v>
      </c>
      <c r="I309" t="s">
        <v>2435</v>
      </c>
      <c r="J309" t="s">
        <v>106</v>
      </c>
      <c r="K309" t="s">
        <v>74</v>
      </c>
      <c r="L309" t="s">
        <v>74</v>
      </c>
      <c r="M309" t="s">
        <v>74</v>
      </c>
      <c r="N309" t="s">
        <v>74</v>
      </c>
      <c r="O309" t="s">
        <v>74</v>
      </c>
      <c r="P309" t="s">
        <v>74</v>
      </c>
      <c r="Q309" t="s">
        <v>74</v>
      </c>
      <c r="R309" t="s">
        <v>74</v>
      </c>
      <c r="S309" t="s">
        <v>74</v>
      </c>
      <c r="T309" t="s">
        <v>74</v>
      </c>
      <c r="U309" t="s">
        <v>74</v>
      </c>
      <c r="V309" t="s">
        <v>74</v>
      </c>
      <c r="W309" t="s">
        <v>74</v>
      </c>
      <c r="X309" t="s">
        <v>74</v>
      </c>
      <c r="Y309" t="s">
        <v>74</v>
      </c>
      <c r="Z309" t="s">
        <v>74</v>
      </c>
      <c r="AA309" t="s">
        <v>74</v>
      </c>
      <c r="AB309" t="s">
        <v>2436</v>
      </c>
      <c r="AC309" t="s">
        <v>74</v>
      </c>
      <c r="AD309" t="s">
        <v>74</v>
      </c>
      <c r="AE309" t="s">
        <v>74</v>
      </c>
      <c r="AF309" t="s">
        <v>74</v>
      </c>
      <c r="AG309" t="s">
        <v>74</v>
      </c>
      <c r="AH309" t="s">
        <v>74</v>
      </c>
      <c r="AI309" t="s">
        <v>74</v>
      </c>
      <c r="AJ309" t="s">
        <v>74</v>
      </c>
      <c r="AK309" t="s">
        <v>74</v>
      </c>
      <c r="AL309" t="s">
        <v>74</v>
      </c>
      <c r="AM309" t="s">
        <v>74</v>
      </c>
      <c r="AN309" t="s">
        <v>74</v>
      </c>
      <c r="AO309" t="s">
        <v>107</v>
      </c>
      <c r="AP309" t="s">
        <v>108</v>
      </c>
      <c r="AQ309" t="s">
        <v>74</v>
      </c>
      <c r="AR309" t="s">
        <v>74</v>
      </c>
      <c r="AS309" t="s">
        <v>74</v>
      </c>
      <c r="AT309" t="s">
        <v>335</v>
      </c>
      <c r="AU309">
        <v>2019</v>
      </c>
      <c r="AV309">
        <v>41</v>
      </c>
      <c r="AW309">
        <v>6</v>
      </c>
      <c r="AX309" t="s">
        <v>74</v>
      </c>
      <c r="AY309" t="s">
        <v>74</v>
      </c>
      <c r="AZ309" t="s">
        <v>74</v>
      </c>
      <c r="BA309" t="s">
        <v>74</v>
      </c>
      <c r="BB309">
        <v>849</v>
      </c>
      <c r="BC309">
        <v>864</v>
      </c>
      <c r="BD309" t="s">
        <v>74</v>
      </c>
      <c r="BE309" t="s">
        <v>2437</v>
      </c>
      <c r="BF309" t="str">
        <f>HYPERLINK("http://dx.doi.org/10.1093/plankt/fbz056","http://dx.doi.org/10.1093/plankt/fbz056")</f>
        <v>http://dx.doi.org/10.1093/plankt/fbz056</v>
      </c>
      <c r="BG309" t="s">
        <v>74</v>
      </c>
      <c r="BH309" t="s">
        <v>74</v>
      </c>
      <c r="BI309" t="s">
        <v>74</v>
      </c>
      <c r="BJ309" t="s">
        <v>74</v>
      </c>
      <c r="BK309" t="s">
        <v>74</v>
      </c>
      <c r="BL309" t="s">
        <v>74</v>
      </c>
      <c r="BM309" t="s">
        <v>74</v>
      </c>
      <c r="BN309" t="s">
        <v>74</v>
      </c>
      <c r="BO309" t="s">
        <v>74</v>
      </c>
      <c r="BP309" t="s">
        <v>74</v>
      </c>
      <c r="BQ309" t="s">
        <v>74</v>
      </c>
      <c r="BR309" t="s">
        <v>74</v>
      </c>
      <c r="BS309" t="s">
        <v>2438</v>
      </c>
      <c r="BT309" t="str">
        <f>HYPERLINK("https%3A%2F%2Fwww.webofscience.com%2Fwos%2Fwoscc%2Ffull-record%2FWOS:000508115500004","View Full Record in Web of Science")</f>
        <v>View Full Record in Web of Science</v>
      </c>
    </row>
    <row r="310" spans="1:72" x14ac:dyDescent="0.2">
      <c r="A310" t="s">
        <v>72</v>
      </c>
      <c r="B310" t="s">
        <v>2439</v>
      </c>
      <c r="C310" t="s">
        <v>74</v>
      </c>
      <c r="D310" t="s">
        <v>74</v>
      </c>
      <c r="E310" t="s">
        <v>74</v>
      </c>
      <c r="F310" t="s">
        <v>2440</v>
      </c>
      <c r="G310" t="s">
        <v>74</v>
      </c>
      <c r="H310" t="s">
        <v>74</v>
      </c>
      <c r="I310" t="s">
        <v>2441</v>
      </c>
      <c r="J310" t="s">
        <v>106</v>
      </c>
      <c r="K310" t="s">
        <v>74</v>
      </c>
      <c r="L310" t="s">
        <v>74</v>
      </c>
      <c r="M310" t="s">
        <v>74</v>
      </c>
      <c r="N310" t="s">
        <v>74</v>
      </c>
      <c r="O310" t="s">
        <v>74</v>
      </c>
      <c r="P310" t="s">
        <v>74</v>
      </c>
      <c r="Q310" t="s">
        <v>74</v>
      </c>
      <c r="R310" t="s">
        <v>74</v>
      </c>
      <c r="S310" t="s">
        <v>74</v>
      </c>
      <c r="T310" t="s">
        <v>74</v>
      </c>
      <c r="U310" t="s">
        <v>74</v>
      </c>
      <c r="V310" t="s">
        <v>74</v>
      </c>
      <c r="W310" t="s">
        <v>74</v>
      </c>
      <c r="X310" t="s">
        <v>74</v>
      </c>
      <c r="Y310" t="s">
        <v>74</v>
      </c>
      <c r="Z310" t="s">
        <v>74</v>
      </c>
      <c r="AA310" t="s">
        <v>74</v>
      </c>
      <c r="AB310" t="s">
        <v>74</v>
      </c>
      <c r="AC310" t="s">
        <v>74</v>
      </c>
      <c r="AD310" t="s">
        <v>74</v>
      </c>
      <c r="AE310" t="s">
        <v>74</v>
      </c>
      <c r="AF310" t="s">
        <v>74</v>
      </c>
      <c r="AG310" t="s">
        <v>74</v>
      </c>
      <c r="AH310" t="s">
        <v>74</v>
      </c>
      <c r="AI310" t="s">
        <v>74</v>
      </c>
      <c r="AJ310" t="s">
        <v>74</v>
      </c>
      <c r="AK310" t="s">
        <v>74</v>
      </c>
      <c r="AL310" t="s">
        <v>74</v>
      </c>
      <c r="AM310" t="s">
        <v>74</v>
      </c>
      <c r="AN310" t="s">
        <v>74</v>
      </c>
      <c r="AO310" t="s">
        <v>107</v>
      </c>
      <c r="AP310" t="s">
        <v>108</v>
      </c>
      <c r="AQ310" t="s">
        <v>74</v>
      </c>
      <c r="AR310" t="s">
        <v>74</v>
      </c>
      <c r="AS310" t="s">
        <v>74</v>
      </c>
      <c r="AT310" t="s">
        <v>335</v>
      </c>
      <c r="AU310">
        <v>2019</v>
      </c>
      <c r="AV310">
        <v>41</v>
      </c>
      <c r="AW310">
        <v>6</v>
      </c>
      <c r="AX310" t="s">
        <v>74</v>
      </c>
      <c r="AY310" t="s">
        <v>74</v>
      </c>
      <c r="AZ310" t="s">
        <v>74</v>
      </c>
      <c r="BA310" t="s">
        <v>74</v>
      </c>
      <c r="BB310">
        <v>939</v>
      </c>
      <c r="BC310">
        <v>954</v>
      </c>
      <c r="BD310" t="s">
        <v>74</v>
      </c>
      <c r="BE310" t="s">
        <v>2442</v>
      </c>
      <c r="BF310" t="str">
        <f>HYPERLINK("http://dx.doi.org/10.1093/plankt/fbz064","http://dx.doi.org/10.1093/plankt/fbz064")</f>
        <v>http://dx.doi.org/10.1093/plankt/fbz064</v>
      </c>
      <c r="BG310" t="s">
        <v>74</v>
      </c>
      <c r="BH310" t="s">
        <v>74</v>
      </c>
      <c r="BI310" t="s">
        <v>74</v>
      </c>
      <c r="BJ310" t="s">
        <v>74</v>
      </c>
      <c r="BK310" t="s">
        <v>74</v>
      </c>
      <c r="BL310" t="s">
        <v>74</v>
      </c>
      <c r="BM310" t="s">
        <v>74</v>
      </c>
      <c r="BN310" t="s">
        <v>74</v>
      </c>
      <c r="BO310" t="s">
        <v>74</v>
      </c>
      <c r="BP310" t="s">
        <v>74</v>
      </c>
      <c r="BQ310" t="s">
        <v>74</v>
      </c>
      <c r="BR310" t="s">
        <v>74</v>
      </c>
      <c r="BS310" t="s">
        <v>2443</v>
      </c>
      <c r="BT310" t="str">
        <f>HYPERLINK("https%3A%2F%2Fwww.webofscience.com%2Fwos%2Fwoscc%2Ffull-record%2FWOS:000508115500011","View Full Record in Web of Science")</f>
        <v>View Full Record in Web of Science</v>
      </c>
    </row>
    <row r="311" spans="1:72" x14ac:dyDescent="0.2">
      <c r="A311" t="s">
        <v>72</v>
      </c>
      <c r="B311" t="s">
        <v>2444</v>
      </c>
      <c r="C311" t="s">
        <v>74</v>
      </c>
      <c r="D311" t="s">
        <v>74</v>
      </c>
      <c r="E311" t="s">
        <v>74</v>
      </c>
      <c r="F311" t="s">
        <v>2445</v>
      </c>
      <c r="G311" t="s">
        <v>74</v>
      </c>
      <c r="H311" t="s">
        <v>74</v>
      </c>
      <c r="I311" t="s">
        <v>2446</v>
      </c>
      <c r="J311" t="s">
        <v>331</v>
      </c>
      <c r="K311" t="s">
        <v>74</v>
      </c>
      <c r="L311" t="s">
        <v>74</v>
      </c>
      <c r="M311" t="s">
        <v>74</v>
      </c>
      <c r="N311" t="s">
        <v>74</v>
      </c>
      <c r="O311" t="s">
        <v>74</v>
      </c>
      <c r="P311" t="s">
        <v>74</v>
      </c>
      <c r="Q311" t="s">
        <v>74</v>
      </c>
      <c r="R311" t="s">
        <v>74</v>
      </c>
      <c r="S311" t="s">
        <v>74</v>
      </c>
      <c r="T311" t="s">
        <v>74</v>
      </c>
      <c r="U311" t="s">
        <v>74</v>
      </c>
      <c r="V311" t="s">
        <v>74</v>
      </c>
      <c r="W311" t="s">
        <v>74</v>
      </c>
      <c r="X311" t="s">
        <v>74</v>
      </c>
      <c r="Y311" t="s">
        <v>74</v>
      </c>
      <c r="Z311" t="s">
        <v>74</v>
      </c>
      <c r="AA311" t="s">
        <v>2447</v>
      </c>
      <c r="AB311" t="s">
        <v>2448</v>
      </c>
      <c r="AC311" t="s">
        <v>74</v>
      </c>
      <c r="AD311" t="s">
        <v>74</v>
      </c>
      <c r="AE311" t="s">
        <v>74</v>
      </c>
      <c r="AF311" t="s">
        <v>74</v>
      </c>
      <c r="AG311" t="s">
        <v>74</v>
      </c>
      <c r="AH311" t="s">
        <v>74</v>
      </c>
      <c r="AI311" t="s">
        <v>74</v>
      </c>
      <c r="AJ311" t="s">
        <v>74</v>
      </c>
      <c r="AK311" t="s">
        <v>74</v>
      </c>
      <c r="AL311" t="s">
        <v>74</v>
      </c>
      <c r="AM311" t="s">
        <v>74</v>
      </c>
      <c r="AN311" t="s">
        <v>74</v>
      </c>
      <c r="AO311" t="s">
        <v>74</v>
      </c>
      <c r="AP311" t="s">
        <v>334</v>
      </c>
      <c r="AQ311" t="s">
        <v>74</v>
      </c>
      <c r="AR311" t="s">
        <v>74</v>
      </c>
      <c r="AS311" t="s">
        <v>74</v>
      </c>
      <c r="AT311" t="s">
        <v>335</v>
      </c>
      <c r="AU311">
        <v>2019</v>
      </c>
      <c r="AV311">
        <v>11</v>
      </c>
      <c r="AW311">
        <v>11</v>
      </c>
      <c r="AX311" t="s">
        <v>74</v>
      </c>
      <c r="AY311" t="s">
        <v>74</v>
      </c>
      <c r="AZ311" t="s">
        <v>74</v>
      </c>
      <c r="BA311" t="s">
        <v>74</v>
      </c>
      <c r="BB311" t="s">
        <v>74</v>
      </c>
      <c r="BC311" t="s">
        <v>74</v>
      </c>
      <c r="BD311">
        <v>2423</v>
      </c>
      <c r="BE311" t="s">
        <v>2449</v>
      </c>
      <c r="BF311" t="str">
        <f>HYPERLINK("http://dx.doi.org/10.3390/w11112423","http://dx.doi.org/10.3390/w11112423")</f>
        <v>http://dx.doi.org/10.3390/w11112423</v>
      </c>
      <c r="BG311" t="s">
        <v>74</v>
      </c>
      <c r="BH311" t="s">
        <v>74</v>
      </c>
      <c r="BI311" t="s">
        <v>74</v>
      </c>
      <c r="BJ311" t="s">
        <v>74</v>
      </c>
      <c r="BK311" t="s">
        <v>74</v>
      </c>
      <c r="BL311" t="s">
        <v>74</v>
      </c>
      <c r="BM311" t="s">
        <v>74</v>
      </c>
      <c r="BN311" t="s">
        <v>74</v>
      </c>
      <c r="BO311" t="s">
        <v>74</v>
      </c>
      <c r="BP311" t="s">
        <v>74</v>
      </c>
      <c r="BQ311" t="s">
        <v>74</v>
      </c>
      <c r="BR311" t="s">
        <v>74</v>
      </c>
      <c r="BS311" t="s">
        <v>2450</v>
      </c>
      <c r="BT311" t="str">
        <f>HYPERLINK("https%3A%2F%2Fwww.webofscience.com%2Fwos%2Fwoscc%2Ffull-record%2FWOS:000502264500225","View Full Record in Web of Science")</f>
        <v>View Full Record in Web of Science</v>
      </c>
    </row>
    <row r="312" spans="1:72" x14ac:dyDescent="0.2">
      <c r="A312" t="s">
        <v>72</v>
      </c>
      <c r="B312" t="s">
        <v>2451</v>
      </c>
      <c r="C312" t="s">
        <v>74</v>
      </c>
      <c r="D312" t="s">
        <v>74</v>
      </c>
      <c r="E312" t="s">
        <v>74</v>
      </c>
      <c r="F312" t="s">
        <v>2452</v>
      </c>
      <c r="G312" t="s">
        <v>74</v>
      </c>
      <c r="H312" t="s">
        <v>74</v>
      </c>
      <c r="I312" t="s">
        <v>2453</v>
      </c>
      <c r="J312" t="s">
        <v>1523</v>
      </c>
      <c r="K312" t="s">
        <v>74</v>
      </c>
      <c r="L312" t="s">
        <v>74</v>
      </c>
      <c r="M312" t="s">
        <v>74</v>
      </c>
      <c r="N312" t="s">
        <v>74</v>
      </c>
      <c r="O312" t="s">
        <v>74</v>
      </c>
      <c r="P312" t="s">
        <v>74</v>
      </c>
      <c r="Q312" t="s">
        <v>74</v>
      </c>
      <c r="R312" t="s">
        <v>74</v>
      </c>
      <c r="S312" t="s">
        <v>74</v>
      </c>
      <c r="T312" t="s">
        <v>74</v>
      </c>
      <c r="U312" t="s">
        <v>74</v>
      </c>
      <c r="V312" t="s">
        <v>74</v>
      </c>
      <c r="W312" t="s">
        <v>74</v>
      </c>
      <c r="X312" t="s">
        <v>74</v>
      </c>
      <c r="Y312" t="s">
        <v>74</v>
      </c>
      <c r="Z312" t="s">
        <v>74</v>
      </c>
      <c r="AA312" t="s">
        <v>2454</v>
      </c>
      <c r="AB312" t="s">
        <v>2455</v>
      </c>
      <c r="AC312" t="s">
        <v>74</v>
      </c>
      <c r="AD312" t="s">
        <v>74</v>
      </c>
      <c r="AE312" t="s">
        <v>74</v>
      </c>
      <c r="AF312" t="s">
        <v>74</v>
      </c>
      <c r="AG312" t="s">
        <v>74</v>
      </c>
      <c r="AH312" t="s">
        <v>74</v>
      </c>
      <c r="AI312" t="s">
        <v>74</v>
      </c>
      <c r="AJ312" t="s">
        <v>74</v>
      </c>
      <c r="AK312" t="s">
        <v>74</v>
      </c>
      <c r="AL312" t="s">
        <v>74</v>
      </c>
      <c r="AM312" t="s">
        <v>74</v>
      </c>
      <c r="AN312" t="s">
        <v>74</v>
      </c>
      <c r="AO312" t="s">
        <v>1524</v>
      </c>
      <c r="AP312" t="s">
        <v>1525</v>
      </c>
      <c r="AQ312" t="s">
        <v>74</v>
      </c>
      <c r="AR312" t="s">
        <v>74</v>
      </c>
      <c r="AS312" t="s">
        <v>74</v>
      </c>
      <c r="AT312" t="s">
        <v>82</v>
      </c>
      <c r="AU312">
        <v>2019</v>
      </c>
      <c r="AV312">
        <v>100</v>
      </c>
      <c r="AW312">
        <v>12</v>
      </c>
      <c r="AX312" t="s">
        <v>74</v>
      </c>
      <c r="AY312" t="s">
        <v>74</v>
      </c>
      <c r="AZ312" t="s">
        <v>74</v>
      </c>
      <c r="BA312" t="s">
        <v>74</v>
      </c>
      <c r="BB312" t="s">
        <v>74</v>
      </c>
      <c r="BC312" t="s">
        <v>74</v>
      </c>
      <c r="BD312" t="s">
        <v>74</v>
      </c>
      <c r="BE312" t="s">
        <v>2456</v>
      </c>
      <c r="BF312" t="str">
        <f>HYPERLINK("http://dx.doi.org/10.1002/ecy.2875","http://dx.doi.org/10.1002/ecy.2875")</f>
        <v>http://dx.doi.org/10.1002/ecy.2875</v>
      </c>
      <c r="BG312" t="s">
        <v>74</v>
      </c>
      <c r="BH312" t="s">
        <v>2457</v>
      </c>
      <c r="BI312" t="s">
        <v>74</v>
      </c>
      <c r="BJ312" t="s">
        <v>74</v>
      </c>
      <c r="BK312" t="s">
        <v>74</v>
      </c>
      <c r="BL312" t="s">
        <v>74</v>
      </c>
      <c r="BM312" t="s">
        <v>74</v>
      </c>
      <c r="BN312">
        <v>31465548</v>
      </c>
      <c r="BO312" t="s">
        <v>74</v>
      </c>
      <c r="BP312" t="s">
        <v>74</v>
      </c>
      <c r="BQ312" t="s">
        <v>74</v>
      </c>
      <c r="BR312" t="s">
        <v>74</v>
      </c>
      <c r="BS312" t="s">
        <v>2458</v>
      </c>
      <c r="BT312" t="str">
        <f>HYPERLINK("https%3A%2F%2Fwww.webofscience.com%2Fwos%2Fwoscc%2Ffull-record%2FWOS:000491684700001","View Full Record in Web of Science")</f>
        <v>View Full Record in Web of Science</v>
      </c>
    </row>
    <row r="313" spans="1:72" x14ac:dyDescent="0.2">
      <c r="A313" t="s">
        <v>72</v>
      </c>
      <c r="B313" t="s">
        <v>2459</v>
      </c>
      <c r="C313" t="s">
        <v>74</v>
      </c>
      <c r="D313" t="s">
        <v>74</v>
      </c>
      <c r="E313" t="s">
        <v>74</v>
      </c>
      <c r="F313" t="s">
        <v>2460</v>
      </c>
      <c r="G313" t="s">
        <v>74</v>
      </c>
      <c r="H313" t="s">
        <v>74</v>
      </c>
      <c r="I313" t="s">
        <v>2461</v>
      </c>
      <c r="J313" t="s">
        <v>457</v>
      </c>
      <c r="K313" t="s">
        <v>74</v>
      </c>
      <c r="L313" t="s">
        <v>74</v>
      </c>
      <c r="M313" t="s">
        <v>74</v>
      </c>
      <c r="N313" t="s">
        <v>74</v>
      </c>
      <c r="O313" t="s">
        <v>74</v>
      </c>
      <c r="P313" t="s">
        <v>74</v>
      </c>
      <c r="Q313" t="s">
        <v>74</v>
      </c>
      <c r="R313" t="s">
        <v>74</v>
      </c>
      <c r="S313" t="s">
        <v>74</v>
      </c>
      <c r="T313" t="s">
        <v>74</v>
      </c>
      <c r="U313" t="s">
        <v>74</v>
      </c>
      <c r="V313" t="s">
        <v>74</v>
      </c>
      <c r="W313" t="s">
        <v>74</v>
      </c>
      <c r="X313" t="s">
        <v>74</v>
      </c>
      <c r="Y313" t="s">
        <v>74</v>
      </c>
      <c r="Z313" t="s">
        <v>74</v>
      </c>
      <c r="AA313" t="s">
        <v>74</v>
      </c>
      <c r="AB313" t="s">
        <v>2462</v>
      </c>
      <c r="AC313" t="s">
        <v>74</v>
      </c>
      <c r="AD313" t="s">
        <v>74</v>
      </c>
      <c r="AE313" t="s">
        <v>74</v>
      </c>
      <c r="AF313" t="s">
        <v>74</v>
      </c>
      <c r="AG313" t="s">
        <v>74</v>
      </c>
      <c r="AH313" t="s">
        <v>74</v>
      </c>
      <c r="AI313" t="s">
        <v>74</v>
      </c>
      <c r="AJ313" t="s">
        <v>74</v>
      </c>
      <c r="AK313" t="s">
        <v>74</v>
      </c>
      <c r="AL313" t="s">
        <v>74</v>
      </c>
      <c r="AM313" t="s">
        <v>74</v>
      </c>
      <c r="AN313" t="s">
        <v>74</v>
      </c>
      <c r="AO313" t="s">
        <v>458</v>
      </c>
      <c r="AP313" t="s">
        <v>74</v>
      </c>
      <c r="AQ313" t="s">
        <v>74</v>
      </c>
      <c r="AR313" t="s">
        <v>74</v>
      </c>
      <c r="AS313" t="s">
        <v>74</v>
      </c>
      <c r="AT313" t="s">
        <v>335</v>
      </c>
      <c r="AU313">
        <v>2019</v>
      </c>
      <c r="AV313">
        <v>9</v>
      </c>
      <c r="AW313">
        <v>21</v>
      </c>
      <c r="AX313" t="s">
        <v>74</v>
      </c>
      <c r="AY313" t="s">
        <v>74</v>
      </c>
      <c r="AZ313" t="s">
        <v>74</v>
      </c>
      <c r="BA313" t="s">
        <v>74</v>
      </c>
      <c r="BB313">
        <v>12069</v>
      </c>
      <c r="BC313">
        <v>12088</v>
      </c>
      <c r="BD313" t="s">
        <v>74</v>
      </c>
      <c r="BE313" t="s">
        <v>2463</v>
      </c>
      <c r="BF313" t="str">
        <f>HYPERLINK("http://dx.doi.org/10.1002/ece3.5656","http://dx.doi.org/10.1002/ece3.5656")</f>
        <v>http://dx.doi.org/10.1002/ece3.5656</v>
      </c>
      <c r="BG313" t="s">
        <v>74</v>
      </c>
      <c r="BH313" t="s">
        <v>2457</v>
      </c>
      <c r="BI313" t="s">
        <v>74</v>
      </c>
      <c r="BJ313" t="s">
        <v>74</v>
      </c>
      <c r="BK313" t="s">
        <v>74</v>
      </c>
      <c r="BL313" t="s">
        <v>74</v>
      </c>
      <c r="BM313" t="s">
        <v>74</v>
      </c>
      <c r="BN313">
        <v>31832145</v>
      </c>
      <c r="BO313" t="s">
        <v>74</v>
      </c>
      <c r="BP313" t="s">
        <v>74</v>
      </c>
      <c r="BQ313" t="s">
        <v>74</v>
      </c>
      <c r="BR313" t="s">
        <v>74</v>
      </c>
      <c r="BS313" t="s">
        <v>2464</v>
      </c>
      <c r="BT313" t="str">
        <f>HYPERLINK("https%3A%2F%2Fwww.webofscience.com%2Fwos%2Fwoscc%2Ffull-record%2FWOS:000490909500001","View Full Record in Web of Science")</f>
        <v>View Full Record in Web of Science</v>
      </c>
    </row>
    <row r="314" spans="1:72" x14ac:dyDescent="0.2">
      <c r="A314" t="s">
        <v>72</v>
      </c>
      <c r="B314" t="s">
        <v>2465</v>
      </c>
      <c r="C314" t="s">
        <v>74</v>
      </c>
      <c r="D314" t="s">
        <v>74</v>
      </c>
      <c r="E314" t="s">
        <v>74</v>
      </c>
      <c r="F314" t="s">
        <v>2466</v>
      </c>
      <c r="G314" t="s">
        <v>74</v>
      </c>
      <c r="H314" t="s">
        <v>74</v>
      </c>
      <c r="I314" t="s">
        <v>2467</v>
      </c>
      <c r="J314" t="s">
        <v>145</v>
      </c>
      <c r="K314" t="s">
        <v>74</v>
      </c>
      <c r="L314" t="s">
        <v>74</v>
      </c>
      <c r="M314" t="s">
        <v>74</v>
      </c>
      <c r="N314" t="s">
        <v>74</v>
      </c>
      <c r="O314" t="s">
        <v>74</v>
      </c>
      <c r="P314" t="s">
        <v>74</v>
      </c>
      <c r="Q314" t="s">
        <v>74</v>
      </c>
      <c r="R314" t="s">
        <v>74</v>
      </c>
      <c r="S314" t="s">
        <v>74</v>
      </c>
      <c r="T314" t="s">
        <v>74</v>
      </c>
      <c r="U314" t="s">
        <v>74</v>
      </c>
      <c r="V314" t="s">
        <v>74</v>
      </c>
      <c r="W314" t="s">
        <v>74</v>
      </c>
      <c r="X314" t="s">
        <v>74</v>
      </c>
      <c r="Y314" t="s">
        <v>74</v>
      </c>
      <c r="Z314" t="s">
        <v>74</v>
      </c>
      <c r="AA314" t="s">
        <v>2468</v>
      </c>
      <c r="AB314" t="s">
        <v>2469</v>
      </c>
      <c r="AC314" t="s">
        <v>74</v>
      </c>
      <c r="AD314" t="s">
        <v>74</v>
      </c>
      <c r="AE314" t="s">
        <v>74</v>
      </c>
      <c r="AF314" t="s">
        <v>74</v>
      </c>
      <c r="AG314" t="s">
        <v>74</v>
      </c>
      <c r="AH314" t="s">
        <v>74</v>
      </c>
      <c r="AI314" t="s">
        <v>74</v>
      </c>
      <c r="AJ314" t="s">
        <v>74</v>
      </c>
      <c r="AK314" t="s">
        <v>74</v>
      </c>
      <c r="AL314" t="s">
        <v>74</v>
      </c>
      <c r="AM314" t="s">
        <v>74</v>
      </c>
      <c r="AN314" t="s">
        <v>74</v>
      </c>
      <c r="AO314" t="s">
        <v>146</v>
      </c>
      <c r="AP314" t="s">
        <v>147</v>
      </c>
      <c r="AQ314" t="s">
        <v>74</v>
      </c>
      <c r="AR314" t="s">
        <v>74</v>
      </c>
      <c r="AS314" t="s">
        <v>74</v>
      </c>
      <c r="AT314" t="s">
        <v>2470</v>
      </c>
      <c r="AU314">
        <v>2019</v>
      </c>
      <c r="AV314">
        <v>686</v>
      </c>
      <c r="AW314" t="s">
        <v>74</v>
      </c>
      <c r="AX314" t="s">
        <v>74</v>
      </c>
      <c r="AY314" t="s">
        <v>74</v>
      </c>
      <c r="AZ314" t="s">
        <v>74</v>
      </c>
      <c r="BA314" t="s">
        <v>74</v>
      </c>
      <c r="BB314">
        <v>1173</v>
      </c>
      <c r="BC314">
        <v>1184</v>
      </c>
      <c r="BD314" t="s">
        <v>74</v>
      </c>
      <c r="BE314" t="s">
        <v>2471</v>
      </c>
      <c r="BF314" t="str">
        <f>HYPERLINK("http://dx.doi.org/10.1016/j.scitotenv.2019.05.358","http://dx.doi.org/10.1016/j.scitotenv.2019.05.358")</f>
        <v>http://dx.doi.org/10.1016/j.scitotenv.2019.05.358</v>
      </c>
      <c r="BG314" t="s">
        <v>74</v>
      </c>
      <c r="BH314" t="s">
        <v>74</v>
      </c>
      <c r="BI314" t="s">
        <v>74</v>
      </c>
      <c r="BJ314" t="s">
        <v>74</v>
      </c>
      <c r="BK314" t="s">
        <v>74</v>
      </c>
      <c r="BL314" t="s">
        <v>74</v>
      </c>
      <c r="BM314" t="s">
        <v>74</v>
      </c>
      <c r="BN314">
        <v>31412513</v>
      </c>
      <c r="BO314" t="s">
        <v>74</v>
      </c>
      <c r="BP314" t="s">
        <v>74</v>
      </c>
      <c r="BQ314" t="s">
        <v>74</v>
      </c>
      <c r="BR314" t="s">
        <v>74</v>
      </c>
      <c r="BS314" t="s">
        <v>2472</v>
      </c>
      <c r="BT314" t="str">
        <f>HYPERLINK("https%3A%2F%2Fwww.webofscience.com%2Fwos%2Fwoscc%2Ffull-record%2FWOS:000479029700106","View Full Record in Web of Science")</f>
        <v>View Full Record in Web of Science</v>
      </c>
    </row>
    <row r="315" spans="1:72" x14ac:dyDescent="0.2">
      <c r="A315" t="s">
        <v>72</v>
      </c>
      <c r="B315" t="s">
        <v>2473</v>
      </c>
      <c r="C315" t="s">
        <v>74</v>
      </c>
      <c r="D315" t="s">
        <v>74</v>
      </c>
      <c r="E315" t="s">
        <v>74</v>
      </c>
      <c r="F315" t="s">
        <v>2474</v>
      </c>
      <c r="G315" t="s">
        <v>74</v>
      </c>
      <c r="H315" t="s">
        <v>74</v>
      </c>
      <c r="I315" t="s">
        <v>2475</v>
      </c>
      <c r="J315" t="s">
        <v>917</v>
      </c>
      <c r="K315" t="s">
        <v>74</v>
      </c>
      <c r="L315" t="s">
        <v>74</v>
      </c>
      <c r="M315" t="s">
        <v>74</v>
      </c>
      <c r="N315" t="s">
        <v>74</v>
      </c>
      <c r="O315" t="s">
        <v>74</v>
      </c>
      <c r="P315" t="s">
        <v>74</v>
      </c>
      <c r="Q315" t="s">
        <v>74</v>
      </c>
      <c r="R315" t="s">
        <v>74</v>
      </c>
      <c r="S315" t="s">
        <v>74</v>
      </c>
      <c r="T315" t="s">
        <v>74</v>
      </c>
      <c r="U315" t="s">
        <v>74</v>
      </c>
      <c r="V315" t="s">
        <v>74</v>
      </c>
      <c r="W315" t="s">
        <v>74</v>
      </c>
      <c r="X315" t="s">
        <v>74</v>
      </c>
      <c r="Y315" t="s">
        <v>74</v>
      </c>
      <c r="Z315" t="s">
        <v>74</v>
      </c>
      <c r="AA315" t="s">
        <v>2476</v>
      </c>
      <c r="AB315" t="s">
        <v>2477</v>
      </c>
      <c r="AC315" t="s">
        <v>74</v>
      </c>
      <c r="AD315" t="s">
        <v>74</v>
      </c>
      <c r="AE315" t="s">
        <v>74</v>
      </c>
      <c r="AF315" t="s">
        <v>74</v>
      </c>
      <c r="AG315" t="s">
        <v>74</v>
      </c>
      <c r="AH315" t="s">
        <v>74</v>
      </c>
      <c r="AI315" t="s">
        <v>74</v>
      </c>
      <c r="AJ315" t="s">
        <v>74</v>
      </c>
      <c r="AK315" t="s">
        <v>74</v>
      </c>
      <c r="AL315" t="s">
        <v>74</v>
      </c>
      <c r="AM315" t="s">
        <v>74</v>
      </c>
      <c r="AN315" t="s">
        <v>74</v>
      </c>
      <c r="AO315" t="s">
        <v>74</v>
      </c>
      <c r="AP315" t="s">
        <v>920</v>
      </c>
      <c r="AQ315" t="s">
        <v>74</v>
      </c>
      <c r="AR315" t="s">
        <v>74</v>
      </c>
      <c r="AS315" t="s">
        <v>74</v>
      </c>
      <c r="AT315" t="s">
        <v>1007</v>
      </c>
      <c r="AU315">
        <v>2019</v>
      </c>
      <c r="AV315">
        <v>11</v>
      </c>
      <c r="AW315">
        <v>19</v>
      </c>
      <c r="AX315" t="s">
        <v>74</v>
      </c>
      <c r="AY315" t="s">
        <v>74</v>
      </c>
      <c r="AZ315" t="s">
        <v>74</v>
      </c>
      <c r="BA315" t="s">
        <v>74</v>
      </c>
      <c r="BB315" t="s">
        <v>74</v>
      </c>
      <c r="BC315" t="s">
        <v>74</v>
      </c>
      <c r="BD315">
        <v>5235</v>
      </c>
      <c r="BE315" t="s">
        <v>2478</v>
      </c>
      <c r="BF315" t="str">
        <f>HYPERLINK("http://dx.doi.org/10.3390/su11195235","http://dx.doi.org/10.3390/su11195235")</f>
        <v>http://dx.doi.org/10.3390/su11195235</v>
      </c>
      <c r="BG315" t="s">
        <v>74</v>
      </c>
      <c r="BH315" t="s">
        <v>74</v>
      </c>
      <c r="BI315" t="s">
        <v>74</v>
      </c>
      <c r="BJ315" t="s">
        <v>74</v>
      </c>
      <c r="BK315" t="s">
        <v>74</v>
      </c>
      <c r="BL315" t="s">
        <v>74</v>
      </c>
      <c r="BM315" t="s">
        <v>74</v>
      </c>
      <c r="BN315" t="s">
        <v>74</v>
      </c>
      <c r="BO315" t="s">
        <v>74</v>
      </c>
      <c r="BP315" t="s">
        <v>74</v>
      </c>
      <c r="BQ315" t="s">
        <v>74</v>
      </c>
      <c r="BR315" t="s">
        <v>74</v>
      </c>
      <c r="BS315" t="s">
        <v>2479</v>
      </c>
      <c r="BT315" t="str">
        <f>HYPERLINK("https%3A%2F%2Fwww.webofscience.com%2Fwos%2Fwoscc%2Ffull-record%2FWOS:000493525500094","View Full Record in Web of Science")</f>
        <v>View Full Record in Web of Science</v>
      </c>
    </row>
    <row r="316" spans="1:72" x14ac:dyDescent="0.2">
      <c r="A316" t="s">
        <v>72</v>
      </c>
      <c r="B316" t="s">
        <v>2480</v>
      </c>
      <c r="C316" t="s">
        <v>74</v>
      </c>
      <c r="D316" t="s">
        <v>74</v>
      </c>
      <c r="E316" t="s">
        <v>74</v>
      </c>
      <c r="F316" t="s">
        <v>2481</v>
      </c>
      <c r="G316" t="s">
        <v>74</v>
      </c>
      <c r="H316" t="s">
        <v>74</v>
      </c>
      <c r="I316" t="s">
        <v>2482</v>
      </c>
      <c r="J316" t="s">
        <v>124</v>
      </c>
      <c r="K316" t="s">
        <v>74</v>
      </c>
      <c r="L316" t="s">
        <v>74</v>
      </c>
      <c r="M316" t="s">
        <v>74</v>
      </c>
      <c r="N316" t="s">
        <v>74</v>
      </c>
      <c r="O316" t="s">
        <v>74</v>
      </c>
      <c r="P316" t="s">
        <v>74</v>
      </c>
      <c r="Q316" t="s">
        <v>74</v>
      </c>
      <c r="R316" t="s">
        <v>74</v>
      </c>
      <c r="S316" t="s">
        <v>74</v>
      </c>
      <c r="T316" t="s">
        <v>74</v>
      </c>
      <c r="U316" t="s">
        <v>74</v>
      </c>
      <c r="V316" t="s">
        <v>74</v>
      </c>
      <c r="W316" t="s">
        <v>74</v>
      </c>
      <c r="X316" t="s">
        <v>74</v>
      </c>
      <c r="Y316" t="s">
        <v>74</v>
      </c>
      <c r="Z316" t="s">
        <v>74</v>
      </c>
      <c r="AA316" t="s">
        <v>74</v>
      </c>
      <c r="AB316" t="s">
        <v>2483</v>
      </c>
      <c r="AC316" t="s">
        <v>74</v>
      </c>
      <c r="AD316" t="s">
        <v>74</v>
      </c>
      <c r="AE316" t="s">
        <v>74</v>
      </c>
      <c r="AF316" t="s">
        <v>74</v>
      </c>
      <c r="AG316" t="s">
        <v>74</v>
      </c>
      <c r="AH316" t="s">
        <v>74</v>
      </c>
      <c r="AI316" t="s">
        <v>74</v>
      </c>
      <c r="AJ316" t="s">
        <v>74</v>
      </c>
      <c r="AK316" t="s">
        <v>74</v>
      </c>
      <c r="AL316" t="s">
        <v>74</v>
      </c>
      <c r="AM316" t="s">
        <v>74</v>
      </c>
      <c r="AN316" t="s">
        <v>74</v>
      </c>
      <c r="AO316" t="s">
        <v>127</v>
      </c>
      <c r="AP316" t="s">
        <v>128</v>
      </c>
      <c r="AQ316" t="s">
        <v>74</v>
      </c>
      <c r="AR316" t="s">
        <v>74</v>
      </c>
      <c r="AS316" t="s">
        <v>74</v>
      </c>
      <c r="AT316" t="s">
        <v>406</v>
      </c>
      <c r="AU316">
        <v>2019</v>
      </c>
      <c r="AV316">
        <v>843</v>
      </c>
      <c r="AW316">
        <v>1</v>
      </c>
      <c r="AX316" t="s">
        <v>74</v>
      </c>
      <c r="AY316" t="s">
        <v>74</v>
      </c>
      <c r="AZ316" t="s">
        <v>632</v>
      </c>
      <c r="BA316" t="s">
        <v>74</v>
      </c>
      <c r="BB316">
        <v>93</v>
      </c>
      <c r="BC316">
        <v>105</v>
      </c>
      <c r="BD316" t="s">
        <v>74</v>
      </c>
      <c r="BE316" t="s">
        <v>2484</v>
      </c>
      <c r="BF316" t="str">
        <f>HYPERLINK("http://dx.doi.org/10.1007/s10750-019-04040-z","http://dx.doi.org/10.1007/s10750-019-04040-z")</f>
        <v>http://dx.doi.org/10.1007/s10750-019-04040-z</v>
      </c>
      <c r="BG316" t="s">
        <v>74</v>
      </c>
      <c r="BH316" t="s">
        <v>74</v>
      </c>
      <c r="BI316" t="s">
        <v>74</v>
      </c>
      <c r="BJ316" t="s">
        <v>74</v>
      </c>
      <c r="BK316" t="s">
        <v>74</v>
      </c>
      <c r="BL316" t="s">
        <v>74</v>
      </c>
      <c r="BM316" t="s">
        <v>74</v>
      </c>
      <c r="BN316" t="s">
        <v>74</v>
      </c>
      <c r="BO316" t="s">
        <v>74</v>
      </c>
      <c r="BP316" t="s">
        <v>74</v>
      </c>
      <c r="BQ316" t="s">
        <v>74</v>
      </c>
      <c r="BR316" t="s">
        <v>74</v>
      </c>
      <c r="BS316" t="s">
        <v>2485</v>
      </c>
      <c r="BT316" t="str">
        <f>HYPERLINK("https%3A%2F%2Fwww.webofscience.com%2Fwos%2Fwoscc%2Ffull-record%2FWOS:000492039700007","View Full Record in Web of Science")</f>
        <v>View Full Record in Web of Science</v>
      </c>
    </row>
    <row r="317" spans="1:72" x14ac:dyDescent="0.2">
      <c r="A317" t="s">
        <v>72</v>
      </c>
      <c r="B317" t="s">
        <v>2486</v>
      </c>
      <c r="C317" t="s">
        <v>74</v>
      </c>
      <c r="D317" t="s">
        <v>74</v>
      </c>
      <c r="E317" t="s">
        <v>74</v>
      </c>
      <c r="F317" t="s">
        <v>2487</v>
      </c>
      <c r="G317" t="s">
        <v>74</v>
      </c>
      <c r="H317" t="s">
        <v>74</v>
      </c>
      <c r="I317" t="s">
        <v>2488</v>
      </c>
      <c r="J317" t="s">
        <v>443</v>
      </c>
      <c r="K317" t="s">
        <v>74</v>
      </c>
      <c r="L317" t="s">
        <v>74</v>
      </c>
      <c r="M317" t="s">
        <v>74</v>
      </c>
      <c r="N317" t="s">
        <v>74</v>
      </c>
      <c r="O317" t="s">
        <v>74</v>
      </c>
      <c r="P317" t="s">
        <v>74</v>
      </c>
      <c r="Q317" t="s">
        <v>74</v>
      </c>
      <c r="R317" t="s">
        <v>74</v>
      </c>
      <c r="S317" t="s">
        <v>74</v>
      </c>
      <c r="T317" t="s">
        <v>74</v>
      </c>
      <c r="U317" t="s">
        <v>74</v>
      </c>
      <c r="V317" t="s">
        <v>74</v>
      </c>
      <c r="W317" t="s">
        <v>74</v>
      </c>
      <c r="X317" t="s">
        <v>74</v>
      </c>
      <c r="Y317" t="s">
        <v>74</v>
      </c>
      <c r="Z317" t="s">
        <v>74</v>
      </c>
      <c r="AA317" t="s">
        <v>6958</v>
      </c>
      <c r="AB317" t="s">
        <v>6959</v>
      </c>
      <c r="AC317" t="s">
        <v>74</v>
      </c>
      <c r="AD317" t="s">
        <v>74</v>
      </c>
      <c r="AE317" t="s">
        <v>74</v>
      </c>
      <c r="AF317" t="s">
        <v>74</v>
      </c>
      <c r="AG317" t="s">
        <v>74</v>
      </c>
      <c r="AH317" t="s">
        <v>74</v>
      </c>
      <c r="AI317" t="s">
        <v>74</v>
      </c>
      <c r="AJ317" t="s">
        <v>74</v>
      </c>
      <c r="AK317" t="s">
        <v>74</v>
      </c>
      <c r="AL317" t="s">
        <v>74</v>
      </c>
      <c r="AM317" t="s">
        <v>74</v>
      </c>
      <c r="AN317" t="s">
        <v>74</v>
      </c>
      <c r="AO317" t="s">
        <v>444</v>
      </c>
      <c r="AP317" t="s">
        <v>74</v>
      </c>
      <c r="AQ317" t="s">
        <v>74</v>
      </c>
      <c r="AR317" t="s">
        <v>74</v>
      </c>
      <c r="AS317" t="s">
        <v>74</v>
      </c>
      <c r="AT317" t="s">
        <v>2489</v>
      </c>
      <c r="AU317">
        <v>2019</v>
      </c>
      <c r="AV317">
        <v>10</v>
      </c>
      <c r="AW317" t="s">
        <v>74</v>
      </c>
      <c r="AX317" t="s">
        <v>74</v>
      </c>
      <c r="AY317" t="s">
        <v>74</v>
      </c>
      <c r="AZ317" t="s">
        <v>74</v>
      </c>
      <c r="BA317" t="s">
        <v>74</v>
      </c>
      <c r="BB317" t="s">
        <v>74</v>
      </c>
      <c r="BC317" t="s">
        <v>74</v>
      </c>
      <c r="BD317">
        <v>4396</v>
      </c>
      <c r="BE317" t="s">
        <v>2490</v>
      </c>
      <c r="BF317" t="str">
        <f>HYPERLINK("http://dx.doi.org/10.1038/s41467-019-12289-0","http://dx.doi.org/10.1038/s41467-019-12289-0")</f>
        <v>http://dx.doi.org/10.1038/s41467-019-12289-0</v>
      </c>
      <c r="BG317" t="s">
        <v>74</v>
      </c>
      <c r="BH317" t="s">
        <v>74</v>
      </c>
      <c r="BI317" t="s">
        <v>74</v>
      </c>
      <c r="BJ317" t="s">
        <v>74</v>
      </c>
      <c r="BK317" t="s">
        <v>74</v>
      </c>
      <c r="BL317" t="s">
        <v>74</v>
      </c>
      <c r="BM317" t="s">
        <v>74</v>
      </c>
      <c r="BN317">
        <v>31562299</v>
      </c>
      <c r="BO317" t="s">
        <v>74</v>
      </c>
      <c r="BP317" t="s">
        <v>74</v>
      </c>
      <c r="BQ317" t="s">
        <v>74</v>
      </c>
      <c r="BR317" t="s">
        <v>74</v>
      </c>
      <c r="BS317" t="s">
        <v>2491</v>
      </c>
      <c r="BT317" t="str">
        <f>HYPERLINK("https%3A%2F%2Fwww.webofscience.com%2Fwos%2Fwoscc%2Ffull-record%2FWOS:000488232600004","View Full Record in Web of Science")</f>
        <v>View Full Record in Web of Science</v>
      </c>
    </row>
    <row r="318" spans="1:72" x14ac:dyDescent="0.2">
      <c r="A318" t="s">
        <v>72</v>
      </c>
      <c r="B318" t="s">
        <v>2492</v>
      </c>
      <c r="C318" t="s">
        <v>74</v>
      </c>
      <c r="D318" t="s">
        <v>74</v>
      </c>
      <c r="E318" t="s">
        <v>74</v>
      </c>
      <c r="F318" t="s">
        <v>2493</v>
      </c>
      <c r="G318" t="s">
        <v>74</v>
      </c>
      <c r="H318" t="s">
        <v>74</v>
      </c>
      <c r="I318" t="s">
        <v>2494</v>
      </c>
      <c r="J318" t="s">
        <v>97</v>
      </c>
      <c r="K318" t="s">
        <v>74</v>
      </c>
      <c r="L318" t="s">
        <v>74</v>
      </c>
      <c r="M318" t="s">
        <v>74</v>
      </c>
      <c r="N318" t="s">
        <v>74</v>
      </c>
      <c r="O318" t="s">
        <v>74</v>
      </c>
      <c r="P318" t="s">
        <v>74</v>
      </c>
      <c r="Q318" t="s">
        <v>74</v>
      </c>
      <c r="R318" t="s">
        <v>74</v>
      </c>
      <c r="S318" t="s">
        <v>74</v>
      </c>
      <c r="T318" t="s">
        <v>74</v>
      </c>
      <c r="U318" t="s">
        <v>74</v>
      </c>
      <c r="V318" t="s">
        <v>74</v>
      </c>
      <c r="W318" t="s">
        <v>74</v>
      </c>
      <c r="X318" t="s">
        <v>74</v>
      </c>
      <c r="Y318" t="s">
        <v>74</v>
      </c>
      <c r="Z318" t="s">
        <v>74</v>
      </c>
      <c r="AA318" t="s">
        <v>74</v>
      </c>
      <c r="AB318" t="s">
        <v>2495</v>
      </c>
      <c r="AC318" t="s">
        <v>74</v>
      </c>
      <c r="AD318" t="s">
        <v>74</v>
      </c>
      <c r="AE318" t="s">
        <v>74</v>
      </c>
      <c r="AF318" t="s">
        <v>74</v>
      </c>
      <c r="AG318" t="s">
        <v>74</v>
      </c>
      <c r="AH318" t="s">
        <v>74</v>
      </c>
      <c r="AI318" t="s">
        <v>74</v>
      </c>
      <c r="AJ318" t="s">
        <v>74</v>
      </c>
      <c r="AK318" t="s">
        <v>74</v>
      </c>
      <c r="AL318" t="s">
        <v>74</v>
      </c>
      <c r="AM318" t="s">
        <v>74</v>
      </c>
      <c r="AN318" t="s">
        <v>74</v>
      </c>
      <c r="AO318" t="s">
        <v>98</v>
      </c>
      <c r="AP318" t="s">
        <v>99</v>
      </c>
      <c r="AQ318" t="s">
        <v>74</v>
      </c>
      <c r="AR318" t="s">
        <v>74</v>
      </c>
      <c r="AS318" t="s">
        <v>74</v>
      </c>
      <c r="AT318" t="s">
        <v>451</v>
      </c>
      <c r="AU318">
        <v>2019</v>
      </c>
      <c r="AV318">
        <v>53</v>
      </c>
      <c r="AW318">
        <v>3</v>
      </c>
      <c r="AX318" t="s">
        <v>74</v>
      </c>
      <c r="AY318" t="s">
        <v>74</v>
      </c>
      <c r="AZ318" t="s">
        <v>74</v>
      </c>
      <c r="BA318" t="s">
        <v>74</v>
      </c>
      <c r="BB318">
        <v>347</v>
      </c>
      <c r="BC318">
        <v>364</v>
      </c>
      <c r="BD318" t="s">
        <v>74</v>
      </c>
      <c r="BE318" t="s">
        <v>2496</v>
      </c>
      <c r="BF318" t="str">
        <f>HYPERLINK("http://dx.doi.org/10.1007/s10452-019-09694-4","http://dx.doi.org/10.1007/s10452-019-09694-4")</f>
        <v>http://dx.doi.org/10.1007/s10452-019-09694-4</v>
      </c>
      <c r="BG318" t="s">
        <v>74</v>
      </c>
      <c r="BH318" t="s">
        <v>74</v>
      </c>
      <c r="BI318" t="s">
        <v>74</v>
      </c>
      <c r="BJ318" t="s">
        <v>74</v>
      </c>
      <c r="BK318" t="s">
        <v>74</v>
      </c>
      <c r="BL318" t="s">
        <v>74</v>
      </c>
      <c r="BM318" t="s">
        <v>74</v>
      </c>
      <c r="BN318" t="s">
        <v>74</v>
      </c>
      <c r="BO318" t="s">
        <v>74</v>
      </c>
      <c r="BP318" t="s">
        <v>74</v>
      </c>
      <c r="BQ318" t="s">
        <v>74</v>
      </c>
      <c r="BR318" t="s">
        <v>74</v>
      </c>
      <c r="BS318" t="s">
        <v>2497</v>
      </c>
      <c r="BT318" t="str">
        <f>HYPERLINK("https%3A%2F%2Fwww.webofscience.com%2Fwos%2Fwoscc%2Ffull-record%2FWOS:000479119600004","View Full Record in Web of Science")</f>
        <v>View Full Record in Web of Science</v>
      </c>
    </row>
    <row r="319" spans="1:72" x14ac:dyDescent="0.2">
      <c r="A319" t="s">
        <v>72</v>
      </c>
      <c r="B319" t="s">
        <v>2498</v>
      </c>
      <c r="C319" t="s">
        <v>74</v>
      </c>
      <c r="D319" t="s">
        <v>74</v>
      </c>
      <c r="E319" t="s">
        <v>74</v>
      </c>
      <c r="F319" t="s">
        <v>2499</v>
      </c>
      <c r="G319" t="s">
        <v>74</v>
      </c>
      <c r="H319" t="s">
        <v>74</v>
      </c>
      <c r="I319" t="s">
        <v>2500</v>
      </c>
      <c r="J319" t="s">
        <v>1299</v>
      </c>
      <c r="K319" t="s">
        <v>74</v>
      </c>
      <c r="L319" t="s">
        <v>74</v>
      </c>
      <c r="M319" t="s">
        <v>74</v>
      </c>
      <c r="N319" t="s">
        <v>74</v>
      </c>
      <c r="O319" t="s">
        <v>74</v>
      </c>
      <c r="P319" t="s">
        <v>74</v>
      </c>
      <c r="Q319" t="s">
        <v>74</v>
      </c>
      <c r="R319" t="s">
        <v>74</v>
      </c>
      <c r="S319" t="s">
        <v>74</v>
      </c>
      <c r="T319" t="s">
        <v>74</v>
      </c>
      <c r="U319" t="s">
        <v>74</v>
      </c>
      <c r="V319" t="s">
        <v>74</v>
      </c>
      <c r="W319" t="s">
        <v>74</v>
      </c>
      <c r="X319" t="s">
        <v>74</v>
      </c>
      <c r="Y319" t="s">
        <v>74</v>
      </c>
      <c r="Z319" t="s">
        <v>74</v>
      </c>
      <c r="AA319" t="s">
        <v>74</v>
      </c>
      <c r="AB319" t="s">
        <v>2501</v>
      </c>
      <c r="AC319" t="s">
        <v>74</v>
      </c>
      <c r="AD319" t="s">
        <v>74</v>
      </c>
      <c r="AE319" t="s">
        <v>74</v>
      </c>
      <c r="AF319" t="s">
        <v>74</v>
      </c>
      <c r="AG319" t="s">
        <v>74</v>
      </c>
      <c r="AH319" t="s">
        <v>74</v>
      </c>
      <c r="AI319" t="s">
        <v>74</v>
      </c>
      <c r="AJ319" t="s">
        <v>74</v>
      </c>
      <c r="AK319" t="s">
        <v>74</v>
      </c>
      <c r="AL319" t="s">
        <v>74</v>
      </c>
      <c r="AM319" t="s">
        <v>74</v>
      </c>
      <c r="AN319" t="s">
        <v>74</v>
      </c>
      <c r="AO319" t="s">
        <v>1302</v>
      </c>
      <c r="AP319" t="s">
        <v>1303</v>
      </c>
      <c r="AQ319" t="s">
        <v>74</v>
      </c>
      <c r="AR319" t="s">
        <v>74</v>
      </c>
      <c r="AS319" t="s">
        <v>74</v>
      </c>
      <c r="AT319" t="s">
        <v>451</v>
      </c>
      <c r="AU319">
        <v>2019</v>
      </c>
      <c r="AV319">
        <v>191</v>
      </c>
      <c r="AW319">
        <v>1</v>
      </c>
      <c r="AX319" t="s">
        <v>74</v>
      </c>
      <c r="AY319" t="s">
        <v>74</v>
      </c>
      <c r="AZ319" t="s">
        <v>74</v>
      </c>
      <c r="BA319" t="s">
        <v>74</v>
      </c>
      <c r="BB319">
        <v>51</v>
      </c>
      <c r="BC319">
        <v>60</v>
      </c>
      <c r="BD319" t="s">
        <v>74</v>
      </c>
      <c r="BE319" t="s">
        <v>2502</v>
      </c>
      <c r="BF319" t="str">
        <f>HYPERLINK("http://dx.doi.org/10.1007/s00442-019-04482-1","http://dx.doi.org/10.1007/s00442-019-04482-1")</f>
        <v>http://dx.doi.org/10.1007/s00442-019-04482-1</v>
      </c>
      <c r="BG319" t="s">
        <v>74</v>
      </c>
      <c r="BH319" t="s">
        <v>74</v>
      </c>
      <c r="BI319" t="s">
        <v>74</v>
      </c>
      <c r="BJ319" t="s">
        <v>74</v>
      </c>
      <c r="BK319" t="s">
        <v>74</v>
      </c>
      <c r="BL319" t="s">
        <v>74</v>
      </c>
      <c r="BM319" t="s">
        <v>74</v>
      </c>
      <c r="BN319">
        <v>31428869</v>
      </c>
      <c r="BO319" t="s">
        <v>74</v>
      </c>
      <c r="BP319" t="s">
        <v>74</v>
      </c>
      <c r="BQ319" t="s">
        <v>74</v>
      </c>
      <c r="BR319" t="s">
        <v>74</v>
      </c>
      <c r="BS319" t="s">
        <v>2503</v>
      </c>
      <c r="BT319" t="str">
        <f>HYPERLINK("https%3A%2F%2Fwww.webofscience.com%2Fwos%2Fwoscc%2Ffull-record%2FWOS:000484956600005","View Full Record in Web of Science")</f>
        <v>View Full Record in Web of Science</v>
      </c>
    </row>
    <row r="320" spans="1:72" x14ac:dyDescent="0.2">
      <c r="A320" t="s">
        <v>72</v>
      </c>
      <c r="B320" t="s">
        <v>2504</v>
      </c>
      <c r="C320" t="s">
        <v>74</v>
      </c>
      <c r="D320" t="s">
        <v>74</v>
      </c>
      <c r="E320" t="s">
        <v>74</v>
      </c>
      <c r="F320" t="s">
        <v>2505</v>
      </c>
      <c r="G320" t="s">
        <v>74</v>
      </c>
      <c r="H320" t="s">
        <v>74</v>
      </c>
      <c r="I320" t="s">
        <v>2506</v>
      </c>
      <c r="J320" t="s">
        <v>2507</v>
      </c>
      <c r="K320" t="s">
        <v>74</v>
      </c>
      <c r="L320" t="s">
        <v>74</v>
      </c>
      <c r="M320" t="s">
        <v>74</v>
      </c>
      <c r="N320" t="s">
        <v>74</v>
      </c>
      <c r="O320" t="s">
        <v>74</v>
      </c>
      <c r="P320" t="s">
        <v>74</v>
      </c>
      <c r="Q320" t="s">
        <v>74</v>
      </c>
      <c r="R320" t="s">
        <v>74</v>
      </c>
      <c r="S320" t="s">
        <v>74</v>
      </c>
      <c r="T320" t="s">
        <v>74</v>
      </c>
      <c r="U320" t="s">
        <v>74</v>
      </c>
      <c r="V320" t="s">
        <v>74</v>
      </c>
      <c r="W320" t="s">
        <v>74</v>
      </c>
      <c r="X320" t="s">
        <v>74</v>
      </c>
      <c r="Y320" t="s">
        <v>74</v>
      </c>
      <c r="Z320" t="s">
        <v>74</v>
      </c>
      <c r="AA320" t="s">
        <v>74</v>
      </c>
      <c r="AB320" t="s">
        <v>2508</v>
      </c>
      <c r="AC320" t="s">
        <v>74</v>
      </c>
      <c r="AD320" t="s">
        <v>74</v>
      </c>
      <c r="AE320" t="s">
        <v>74</v>
      </c>
      <c r="AF320" t="s">
        <v>74</v>
      </c>
      <c r="AG320" t="s">
        <v>74</v>
      </c>
      <c r="AH320" t="s">
        <v>74</v>
      </c>
      <c r="AI320" t="s">
        <v>74</v>
      </c>
      <c r="AJ320" t="s">
        <v>74</v>
      </c>
      <c r="AK320" t="s">
        <v>74</v>
      </c>
      <c r="AL320" t="s">
        <v>74</v>
      </c>
      <c r="AM320" t="s">
        <v>74</v>
      </c>
      <c r="AN320" t="s">
        <v>74</v>
      </c>
      <c r="AO320" t="s">
        <v>2509</v>
      </c>
      <c r="AP320" t="s">
        <v>2510</v>
      </c>
      <c r="AQ320" t="s">
        <v>74</v>
      </c>
      <c r="AR320" t="s">
        <v>74</v>
      </c>
      <c r="AS320" t="s">
        <v>74</v>
      </c>
      <c r="AT320" t="s">
        <v>1573</v>
      </c>
      <c r="AU320">
        <v>2019</v>
      </c>
      <c r="AV320">
        <v>6</v>
      </c>
      <c r="AW320">
        <v>9</v>
      </c>
      <c r="AX320" t="s">
        <v>74</v>
      </c>
      <c r="AY320" t="s">
        <v>74</v>
      </c>
      <c r="AZ320" t="s">
        <v>74</v>
      </c>
      <c r="BA320" t="s">
        <v>74</v>
      </c>
      <c r="BB320">
        <v>2832</v>
      </c>
      <c r="BC320">
        <v>2849</v>
      </c>
      <c r="BD320" t="s">
        <v>74</v>
      </c>
      <c r="BE320" t="s">
        <v>2511</v>
      </c>
      <c r="BF320" t="str">
        <f>HYPERLINK("http://dx.doi.org/10.1039/c9en00434c","http://dx.doi.org/10.1039/c9en00434c")</f>
        <v>http://dx.doi.org/10.1039/c9en00434c</v>
      </c>
      <c r="BG320" t="s">
        <v>74</v>
      </c>
      <c r="BH320" t="s">
        <v>74</v>
      </c>
      <c r="BI320" t="s">
        <v>74</v>
      </c>
      <c r="BJ320" t="s">
        <v>74</v>
      </c>
      <c r="BK320" t="s">
        <v>74</v>
      </c>
      <c r="BL320" t="s">
        <v>74</v>
      </c>
      <c r="BM320" t="s">
        <v>74</v>
      </c>
      <c r="BN320" t="s">
        <v>74</v>
      </c>
      <c r="BO320" t="s">
        <v>74</v>
      </c>
      <c r="BP320" t="s">
        <v>74</v>
      </c>
      <c r="BQ320" t="s">
        <v>74</v>
      </c>
      <c r="BR320" t="s">
        <v>74</v>
      </c>
      <c r="BS320" t="s">
        <v>2512</v>
      </c>
      <c r="BT320" t="str">
        <f>HYPERLINK("https%3A%2F%2Fwww.webofscience.com%2Fwos%2Fwoscc%2Ffull-record%2FWOS:000486118600010","View Full Record in Web of Science")</f>
        <v>View Full Record in Web of Science</v>
      </c>
    </row>
    <row r="321" spans="1:72" x14ac:dyDescent="0.2">
      <c r="A321" t="s">
        <v>72</v>
      </c>
      <c r="B321" t="s">
        <v>2513</v>
      </c>
      <c r="C321" t="s">
        <v>74</v>
      </c>
      <c r="D321" t="s">
        <v>74</v>
      </c>
      <c r="E321" t="s">
        <v>74</v>
      </c>
      <c r="F321" t="s">
        <v>2514</v>
      </c>
      <c r="G321" t="s">
        <v>74</v>
      </c>
      <c r="H321" t="s">
        <v>74</v>
      </c>
      <c r="I321" t="s">
        <v>2515</v>
      </c>
      <c r="J321" t="s">
        <v>2516</v>
      </c>
      <c r="K321" t="s">
        <v>74</v>
      </c>
      <c r="L321" t="s">
        <v>74</v>
      </c>
      <c r="M321" t="s">
        <v>74</v>
      </c>
      <c r="N321" t="s">
        <v>74</v>
      </c>
      <c r="O321" t="s">
        <v>74</v>
      </c>
      <c r="P321" t="s">
        <v>74</v>
      </c>
      <c r="Q321" t="s">
        <v>74</v>
      </c>
      <c r="R321" t="s">
        <v>74</v>
      </c>
      <c r="S321" t="s">
        <v>74</v>
      </c>
      <c r="T321" t="s">
        <v>74</v>
      </c>
      <c r="U321" t="s">
        <v>74</v>
      </c>
      <c r="V321" t="s">
        <v>74</v>
      </c>
      <c r="W321" t="s">
        <v>74</v>
      </c>
      <c r="X321" t="s">
        <v>74</v>
      </c>
      <c r="Y321" t="s">
        <v>74</v>
      </c>
      <c r="Z321" t="s">
        <v>74</v>
      </c>
      <c r="AA321" t="s">
        <v>2517</v>
      </c>
      <c r="AB321" t="s">
        <v>2518</v>
      </c>
      <c r="AC321" t="s">
        <v>74</v>
      </c>
      <c r="AD321" t="s">
        <v>74</v>
      </c>
      <c r="AE321" t="s">
        <v>74</v>
      </c>
      <c r="AF321" t="s">
        <v>74</v>
      </c>
      <c r="AG321" t="s">
        <v>74</v>
      </c>
      <c r="AH321" t="s">
        <v>74</v>
      </c>
      <c r="AI321" t="s">
        <v>74</v>
      </c>
      <c r="AJ321" t="s">
        <v>74</v>
      </c>
      <c r="AK321" t="s">
        <v>74</v>
      </c>
      <c r="AL321" t="s">
        <v>74</v>
      </c>
      <c r="AM321" t="s">
        <v>74</v>
      </c>
      <c r="AN321" t="s">
        <v>74</v>
      </c>
      <c r="AO321" t="s">
        <v>2519</v>
      </c>
      <c r="AP321" t="s">
        <v>2520</v>
      </c>
      <c r="AQ321" t="s">
        <v>74</v>
      </c>
      <c r="AR321" t="s">
        <v>74</v>
      </c>
      <c r="AS321" t="s">
        <v>74</v>
      </c>
      <c r="AT321" t="s">
        <v>451</v>
      </c>
      <c r="AU321">
        <v>2019</v>
      </c>
      <c r="AV321">
        <v>11</v>
      </c>
      <c r="AW321">
        <v>3</v>
      </c>
      <c r="AX321" t="s">
        <v>74</v>
      </c>
      <c r="AY321" t="s">
        <v>74</v>
      </c>
      <c r="AZ321" t="s">
        <v>74</v>
      </c>
      <c r="BA321" t="s">
        <v>74</v>
      </c>
      <c r="BB321">
        <v>207</v>
      </c>
      <c r="BC321">
        <v>223</v>
      </c>
      <c r="BD321" t="s">
        <v>74</v>
      </c>
      <c r="BE321" t="s">
        <v>2521</v>
      </c>
      <c r="BF321" t="str">
        <f>HYPERLINK("http://dx.doi.org/10.1007/s40071-019-0233-x","http://dx.doi.org/10.1007/s40071-019-0233-x")</f>
        <v>http://dx.doi.org/10.1007/s40071-019-0233-x</v>
      </c>
      <c r="BG321" t="s">
        <v>74</v>
      </c>
      <c r="BH321" t="s">
        <v>74</v>
      </c>
      <c r="BI321" t="s">
        <v>74</v>
      </c>
      <c r="BJ321" t="s">
        <v>74</v>
      </c>
      <c r="BK321" t="s">
        <v>74</v>
      </c>
      <c r="BL321" t="s">
        <v>74</v>
      </c>
      <c r="BM321" t="s">
        <v>74</v>
      </c>
      <c r="BN321" t="s">
        <v>74</v>
      </c>
      <c r="BO321" t="s">
        <v>74</v>
      </c>
      <c r="BP321" t="s">
        <v>74</v>
      </c>
      <c r="BQ321" t="s">
        <v>74</v>
      </c>
      <c r="BR321" t="s">
        <v>74</v>
      </c>
      <c r="BS321" t="s">
        <v>2522</v>
      </c>
      <c r="BT321" t="str">
        <f>HYPERLINK("https%3A%2F%2Fwww.webofscience.com%2Fwos%2Fwoscc%2Ffull-record%2FWOS:000487058400001","View Full Record in Web of Science")</f>
        <v>View Full Record in Web of Science</v>
      </c>
    </row>
    <row r="322" spans="1:72" x14ac:dyDescent="0.2">
      <c r="A322" t="s">
        <v>72</v>
      </c>
      <c r="B322" t="s">
        <v>2523</v>
      </c>
      <c r="C322" t="s">
        <v>74</v>
      </c>
      <c r="D322" t="s">
        <v>74</v>
      </c>
      <c r="E322" t="s">
        <v>74</v>
      </c>
      <c r="F322" t="s">
        <v>2524</v>
      </c>
      <c r="G322" t="s">
        <v>74</v>
      </c>
      <c r="H322" t="s">
        <v>74</v>
      </c>
      <c r="I322" t="s">
        <v>2525</v>
      </c>
      <c r="J322" t="s">
        <v>2526</v>
      </c>
      <c r="K322" t="s">
        <v>74</v>
      </c>
      <c r="L322" t="s">
        <v>74</v>
      </c>
      <c r="M322" t="s">
        <v>74</v>
      </c>
      <c r="N322" t="s">
        <v>74</v>
      </c>
      <c r="O322" t="s">
        <v>74</v>
      </c>
      <c r="P322" t="s">
        <v>74</v>
      </c>
      <c r="Q322" t="s">
        <v>74</v>
      </c>
      <c r="R322" t="s">
        <v>74</v>
      </c>
      <c r="S322" t="s">
        <v>74</v>
      </c>
      <c r="T322" t="s">
        <v>74</v>
      </c>
      <c r="U322" t="s">
        <v>74</v>
      </c>
      <c r="V322" t="s">
        <v>74</v>
      </c>
      <c r="W322" t="s">
        <v>74</v>
      </c>
      <c r="X322" t="s">
        <v>74</v>
      </c>
      <c r="Y322" t="s">
        <v>74</v>
      </c>
      <c r="Z322" t="s">
        <v>74</v>
      </c>
      <c r="AA322" t="s">
        <v>6960</v>
      </c>
      <c r="AB322" t="s">
        <v>6961</v>
      </c>
      <c r="AC322" t="s">
        <v>74</v>
      </c>
      <c r="AD322" t="s">
        <v>74</v>
      </c>
      <c r="AE322" t="s">
        <v>74</v>
      </c>
      <c r="AF322" t="s">
        <v>74</v>
      </c>
      <c r="AG322" t="s">
        <v>74</v>
      </c>
      <c r="AH322" t="s">
        <v>74</v>
      </c>
      <c r="AI322" t="s">
        <v>74</v>
      </c>
      <c r="AJ322" t="s">
        <v>74</v>
      </c>
      <c r="AK322" t="s">
        <v>74</v>
      </c>
      <c r="AL322" t="s">
        <v>74</v>
      </c>
      <c r="AM322" t="s">
        <v>74</v>
      </c>
      <c r="AN322" t="s">
        <v>74</v>
      </c>
      <c r="AO322" t="s">
        <v>2527</v>
      </c>
      <c r="AP322" t="s">
        <v>74</v>
      </c>
      <c r="AQ322" t="s">
        <v>74</v>
      </c>
      <c r="AR322" t="s">
        <v>74</v>
      </c>
      <c r="AS322" t="s">
        <v>74</v>
      </c>
      <c r="AT322" t="s">
        <v>2528</v>
      </c>
      <c r="AU322">
        <v>2019</v>
      </c>
      <c r="AV322">
        <v>116</v>
      </c>
      <c r="AW322">
        <v>35</v>
      </c>
      <c r="AX322" t="s">
        <v>74</v>
      </c>
      <c r="AY322" t="s">
        <v>74</v>
      </c>
      <c r="AZ322" t="s">
        <v>74</v>
      </c>
      <c r="BA322" t="s">
        <v>74</v>
      </c>
      <c r="BB322">
        <v>17323</v>
      </c>
      <c r="BC322">
        <v>17329</v>
      </c>
      <c r="BD322" t="s">
        <v>74</v>
      </c>
      <c r="BE322" t="s">
        <v>2529</v>
      </c>
      <c r="BF322" t="str">
        <f>HYPERLINK("http://dx.doi.org/10.1073/pnas.1906762116","http://dx.doi.org/10.1073/pnas.1906762116")</f>
        <v>http://dx.doi.org/10.1073/pnas.1906762116</v>
      </c>
      <c r="BG322" t="s">
        <v>74</v>
      </c>
      <c r="BH322" t="s">
        <v>74</v>
      </c>
      <c r="BI322" t="s">
        <v>74</v>
      </c>
      <c r="BJ322" t="s">
        <v>74</v>
      </c>
      <c r="BK322" t="s">
        <v>74</v>
      </c>
      <c r="BL322" t="s">
        <v>74</v>
      </c>
      <c r="BM322" t="s">
        <v>74</v>
      </c>
      <c r="BN322">
        <v>31409712</v>
      </c>
      <c r="BO322" t="s">
        <v>74</v>
      </c>
      <c r="BP322" t="s">
        <v>74</v>
      </c>
      <c r="BQ322" t="s">
        <v>74</v>
      </c>
      <c r="BR322" t="s">
        <v>74</v>
      </c>
      <c r="BS322" t="s">
        <v>2530</v>
      </c>
      <c r="BT322" t="str">
        <f>HYPERLINK("https%3A%2F%2Fwww.webofscience.com%2Fwos%2Fwoscc%2Ffull-record%2FWOS:000483396800032","View Full Record in Web of Science")</f>
        <v>View Full Record in Web of Science</v>
      </c>
    </row>
    <row r="323" spans="1:72" x14ac:dyDescent="0.2">
      <c r="A323" t="s">
        <v>72</v>
      </c>
      <c r="B323" t="s">
        <v>2531</v>
      </c>
      <c r="C323" t="s">
        <v>74</v>
      </c>
      <c r="D323" t="s">
        <v>74</v>
      </c>
      <c r="E323" t="s">
        <v>74</v>
      </c>
      <c r="F323" t="s">
        <v>2532</v>
      </c>
      <c r="G323" t="s">
        <v>74</v>
      </c>
      <c r="H323" t="s">
        <v>74</v>
      </c>
      <c r="I323" t="s">
        <v>2533</v>
      </c>
      <c r="J323" t="s">
        <v>1532</v>
      </c>
      <c r="K323" t="s">
        <v>74</v>
      </c>
      <c r="L323" t="s">
        <v>74</v>
      </c>
      <c r="M323" t="s">
        <v>74</v>
      </c>
      <c r="N323" t="s">
        <v>74</v>
      </c>
      <c r="O323" t="s">
        <v>74</v>
      </c>
      <c r="P323" t="s">
        <v>74</v>
      </c>
      <c r="Q323" t="s">
        <v>74</v>
      </c>
      <c r="R323" t="s">
        <v>74</v>
      </c>
      <c r="S323" t="s">
        <v>74</v>
      </c>
      <c r="T323" t="s">
        <v>74</v>
      </c>
      <c r="U323" t="s">
        <v>74</v>
      </c>
      <c r="V323" t="s">
        <v>74</v>
      </c>
      <c r="W323" t="s">
        <v>74</v>
      </c>
      <c r="X323" t="s">
        <v>74</v>
      </c>
      <c r="Y323" t="s">
        <v>74</v>
      </c>
      <c r="Z323" t="s">
        <v>74</v>
      </c>
      <c r="AA323" t="s">
        <v>74</v>
      </c>
      <c r="AB323" t="s">
        <v>2534</v>
      </c>
      <c r="AC323" t="s">
        <v>74</v>
      </c>
      <c r="AD323" t="s">
        <v>74</v>
      </c>
      <c r="AE323" t="s">
        <v>74</v>
      </c>
      <c r="AF323" t="s">
        <v>74</v>
      </c>
      <c r="AG323" t="s">
        <v>74</v>
      </c>
      <c r="AH323" t="s">
        <v>74</v>
      </c>
      <c r="AI323" t="s">
        <v>74</v>
      </c>
      <c r="AJ323" t="s">
        <v>74</v>
      </c>
      <c r="AK323" t="s">
        <v>74</v>
      </c>
      <c r="AL323" t="s">
        <v>74</v>
      </c>
      <c r="AM323" t="s">
        <v>74</v>
      </c>
      <c r="AN323" t="s">
        <v>74</v>
      </c>
      <c r="AO323" t="s">
        <v>1535</v>
      </c>
      <c r="AP323" t="s">
        <v>1536</v>
      </c>
      <c r="AQ323" t="s">
        <v>74</v>
      </c>
      <c r="AR323" t="s">
        <v>74</v>
      </c>
      <c r="AS323" t="s">
        <v>74</v>
      </c>
      <c r="AT323" t="s">
        <v>335</v>
      </c>
      <c r="AU323">
        <v>2019</v>
      </c>
      <c r="AV323">
        <v>104</v>
      </c>
      <c r="AW323" t="s">
        <v>1537</v>
      </c>
      <c r="AX323" t="s">
        <v>74</v>
      </c>
      <c r="AY323" t="s">
        <v>74</v>
      </c>
      <c r="AZ323" t="s">
        <v>74</v>
      </c>
      <c r="BA323" t="s">
        <v>74</v>
      </c>
      <c r="BB323">
        <v>137</v>
      </c>
      <c r="BC323">
        <v>146</v>
      </c>
      <c r="BD323" t="s">
        <v>74</v>
      </c>
      <c r="BE323" t="s">
        <v>2535</v>
      </c>
      <c r="BF323" t="str">
        <f>HYPERLINK("http://dx.doi.org/10.1002/iroh.201901985","http://dx.doi.org/10.1002/iroh.201901985")</f>
        <v>http://dx.doi.org/10.1002/iroh.201901985</v>
      </c>
      <c r="BG323" t="s">
        <v>74</v>
      </c>
      <c r="BH323" t="s">
        <v>2536</v>
      </c>
      <c r="BI323" t="s">
        <v>74</v>
      </c>
      <c r="BJ323" t="s">
        <v>74</v>
      </c>
      <c r="BK323" t="s">
        <v>74</v>
      </c>
      <c r="BL323" t="s">
        <v>74</v>
      </c>
      <c r="BM323" t="s">
        <v>74</v>
      </c>
      <c r="BN323" t="s">
        <v>74</v>
      </c>
      <c r="BO323" t="s">
        <v>74</v>
      </c>
      <c r="BP323" t="s">
        <v>74</v>
      </c>
      <c r="BQ323" t="s">
        <v>74</v>
      </c>
      <c r="BR323" t="s">
        <v>74</v>
      </c>
      <c r="BS323" t="s">
        <v>2537</v>
      </c>
      <c r="BT323" t="str">
        <f>HYPERLINK("https%3A%2F%2Fwww.webofscience.com%2Fwos%2Fwoscc%2Ffull-record%2FWOS:000481942000001","View Full Record in Web of Science")</f>
        <v>View Full Record in Web of Science</v>
      </c>
    </row>
    <row r="324" spans="1:72" x14ac:dyDescent="0.2">
      <c r="A324" t="s">
        <v>72</v>
      </c>
      <c r="B324" t="s">
        <v>2538</v>
      </c>
      <c r="C324" t="s">
        <v>74</v>
      </c>
      <c r="D324" t="s">
        <v>74</v>
      </c>
      <c r="E324" t="s">
        <v>74</v>
      </c>
      <c r="F324" t="s">
        <v>2539</v>
      </c>
      <c r="G324" t="s">
        <v>74</v>
      </c>
      <c r="H324" t="s">
        <v>74</v>
      </c>
      <c r="I324" t="s">
        <v>2540</v>
      </c>
      <c r="J324" t="s">
        <v>423</v>
      </c>
      <c r="K324" t="s">
        <v>74</v>
      </c>
      <c r="L324" t="s">
        <v>74</v>
      </c>
      <c r="M324" t="s">
        <v>74</v>
      </c>
      <c r="N324" t="s">
        <v>74</v>
      </c>
      <c r="O324" t="s">
        <v>74</v>
      </c>
      <c r="P324" t="s">
        <v>74</v>
      </c>
      <c r="Q324" t="s">
        <v>74</v>
      </c>
      <c r="R324" t="s">
        <v>74</v>
      </c>
      <c r="S324" t="s">
        <v>74</v>
      </c>
      <c r="T324" t="s">
        <v>74</v>
      </c>
      <c r="U324" t="s">
        <v>74</v>
      </c>
      <c r="V324" t="s">
        <v>74</v>
      </c>
      <c r="W324" t="s">
        <v>74</v>
      </c>
      <c r="X324" t="s">
        <v>74</v>
      </c>
      <c r="Y324" t="s">
        <v>74</v>
      </c>
      <c r="Z324" t="s">
        <v>74</v>
      </c>
      <c r="AA324" t="s">
        <v>6962</v>
      </c>
      <c r="AB324" t="s">
        <v>6963</v>
      </c>
      <c r="AC324" t="s">
        <v>74</v>
      </c>
      <c r="AD324" t="s">
        <v>74</v>
      </c>
      <c r="AE324" t="s">
        <v>74</v>
      </c>
      <c r="AF324" t="s">
        <v>74</v>
      </c>
      <c r="AG324" t="s">
        <v>74</v>
      </c>
      <c r="AH324" t="s">
        <v>74</v>
      </c>
      <c r="AI324" t="s">
        <v>74</v>
      </c>
      <c r="AJ324" t="s">
        <v>74</v>
      </c>
      <c r="AK324" t="s">
        <v>74</v>
      </c>
      <c r="AL324" t="s">
        <v>74</v>
      </c>
      <c r="AM324" t="s">
        <v>74</v>
      </c>
      <c r="AN324" t="s">
        <v>74</v>
      </c>
      <c r="AO324" t="s">
        <v>425</v>
      </c>
      <c r="AP324" t="s">
        <v>426</v>
      </c>
      <c r="AQ324" t="s">
        <v>74</v>
      </c>
      <c r="AR324" t="s">
        <v>74</v>
      </c>
      <c r="AS324" t="s">
        <v>74</v>
      </c>
      <c r="AT324" t="s">
        <v>520</v>
      </c>
      <c r="AU324">
        <v>2019</v>
      </c>
      <c r="AV324">
        <v>64</v>
      </c>
      <c r="AW324">
        <v>8</v>
      </c>
      <c r="AX324" t="s">
        <v>74</v>
      </c>
      <c r="AY324" t="s">
        <v>74</v>
      </c>
      <c r="AZ324" t="s">
        <v>74</v>
      </c>
      <c r="BA324" t="s">
        <v>74</v>
      </c>
      <c r="BB324">
        <v>1369</v>
      </c>
      <c r="BC324">
        <v>1381</v>
      </c>
      <c r="BD324" t="s">
        <v>74</v>
      </c>
      <c r="BE324" t="s">
        <v>2541</v>
      </c>
      <c r="BF324" t="str">
        <f>HYPERLINK("http://dx.doi.org/10.1111/fwb.13311","http://dx.doi.org/10.1111/fwb.13311")</f>
        <v>http://dx.doi.org/10.1111/fwb.13311</v>
      </c>
      <c r="BG324" t="s">
        <v>74</v>
      </c>
      <c r="BH324" t="s">
        <v>74</v>
      </c>
      <c r="BI324" t="s">
        <v>74</v>
      </c>
      <c r="BJ324" t="s">
        <v>74</v>
      </c>
      <c r="BK324" t="s">
        <v>74</v>
      </c>
      <c r="BL324" t="s">
        <v>74</v>
      </c>
      <c r="BM324" t="s">
        <v>74</v>
      </c>
      <c r="BN324" t="s">
        <v>74</v>
      </c>
      <c r="BO324" t="s">
        <v>74</v>
      </c>
      <c r="BP324" t="s">
        <v>74</v>
      </c>
      <c r="BQ324" t="s">
        <v>74</v>
      </c>
      <c r="BR324" t="s">
        <v>74</v>
      </c>
      <c r="BS324" t="s">
        <v>2542</v>
      </c>
      <c r="BT324" t="str">
        <f>HYPERLINK("https%3A%2F%2Fwww.webofscience.com%2Fwos%2Fwoscc%2Ffull-record%2FWOS:000474661800002","View Full Record in Web of Science")</f>
        <v>View Full Record in Web of Science</v>
      </c>
    </row>
    <row r="325" spans="1:72" x14ac:dyDescent="0.2">
      <c r="A325" t="s">
        <v>72</v>
      </c>
      <c r="B325" t="s">
        <v>2543</v>
      </c>
      <c r="C325" t="s">
        <v>74</v>
      </c>
      <c r="D325" t="s">
        <v>74</v>
      </c>
      <c r="E325" t="s">
        <v>74</v>
      </c>
      <c r="F325" t="s">
        <v>2544</v>
      </c>
      <c r="G325" t="s">
        <v>74</v>
      </c>
      <c r="H325" t="s">
        <v>74</v>
      </c>
      <c r="I325" t="s">
        <v>2545</v>
      </c>
      <c r="J325" t="s">
        <v>596</v>
      </c>
      <c r="K325" t="s">
        <v>74</v>
      </c>
      <c r="L325" t="s">
        <v>74</v>
      </c>
      <c r="M325" t="s">
        <v>74</v>
      </c>
      <c r="N325" t="s">
        <v>74</v>
      </c>
      <c r="O325" t="s">
        <v>74</v>
      </c>
      <c r="P325" t="s">
        <v>74</v>
      </c>
      <c r="Q325" t="s">
        <v>74</v>
      </c>
      <c r="R325" t="s">
        <v>74</v>
      </c>
      <c r="S325" t="s">
        <v>74</v>
      </c>
      <c r="T325" t="s">
        <v>74</v>
      </c>
      <c r="U325" t="s">
        <v>74</v>
      </c>
      <c r="V325" t="s">
        <v>74</v>
      </c>
      <c r="W325" t="s">
        <v>74</v>
      </c>
      <c r="X325" t="s">
        <v>74</v>
      </c>
      <c r="Y325" t="s">
        <v>74</v>
      </c>
      <c r="Z325" t="s">
        <v>74</v>
      </c>
      <c r="AA325" t="s">
        <v>6964</v>
      </c>
      <c r="AB325" t="s">
        <v>6965</v>
      </c>
      <c r="AC325" t="s">
        <v>74</v>
      </c>
      <c r="AD325" t="s">
        <v>74</v>
      </c>
      <c r="AE325" t="s">
        <v>74</v>
      </c>
      <c r="AF325" t="s">
        <v>74</v>
      </c>
      <c r="AG325" t="s">
        <v>74</v>
      </c>
      <c r="AH325" t="s">
        <v>74</v>
      </c>
      <c r="AI325" t="s">
        <v>74</v>
      </c>
      <c r="AJ325" t="s">
        <v>74</v>
      </c>
      <c r="AK325" t="s">
        <v>74</v>
      </c>
      <c r="AL325" t="s">
        <v>74</v>
      </c>
      <c r="AM325" t="s">
        <v>74</v>
      </c>
      <c r="AN325" t="s">
        <v>74</v>
      </c>
      <c r="AO325" t="s">
        <v>597</v>
      </c>
      <c r="AP325" t="s">
        <v>74</v>
      </c>
      <c r="AQ325" t="s">
        <v>74</v>
      </c>
      <c r="AR325" t="s">
        <v>74</v>
      </c>
      <c r="AS325" t="s">
        <v>74</v>
      </c>
      <c r="AT325" t="s">
        <v>520</v>
      </c>
      <c r="AU325">
        <v>2019</v>
      </c>
      <c r="AV325">
        <v>10</v>
      </c>
      <c r="AW325">
        <v>8</v>
      </c>
      <c r="AX325" t="s">
        <v>74</v>
      </c>
      <c r="AY325" t="s">
        <v>74</v>
      </c>
      <c r="AZ325" t="s">
        <v>74</v>
      </c>
      <c r="BA325" t="s">
        <v>74</v>
      </c>
      <c r="BB325" t="s">
        <v>74</v>
      </c>
      <c r="BC325" t="s">
        <v>74</v>
      </c>
      <c r="BD325" t="s">
        <v>2546</v>
      </c>
      <c r="BE325" t="s">
        <v>2547</v>
      </c>
      <c r="BF325" t="str">
        <f>HYPERLINK("http://dx.doi.org/10.1002/ecs2.2787","http://dx.doi.org/10.1002/ecs2.2787")</f>
        <v>http://dx.doi.org/10.1002/ecs2.2787</v>
      </c>
      <c r="BG325" t="s">
        <v>74</v>
      </c>
      <c r="BH325" t="s">
        <v>74</v>
      </c>
      <c r="BI325" t="s">
        <v>74</v>
      </c>
      <c r="BJ325" t="s">
        <v>74</v>
      </c>
      <c r="BK325" t="s">
        <v>74</v>
      </c>
      <c r="BL325" t="s">
        <v>74</v>
      </c>
      <c r="BM325" t="s">
        <v>74</v>
      </c>
      <c r="BN325" t="s">
        <v>74</v>
      </c>
      <c r="BO325" t="s">
        <v>74</v>
      </c>
      <c r="BP325" t="s">
        <v>74</v>
      </c>
      <c r="BQ325" t="s">
        <v>74</v>
      </c>
      <c r="BR325" t="s">
        <v>74</v>
      </c>
      <c r="BS325" t="s">
        <v>2548</v>
      </c>
      <c r="BT325" t="str">
        <f>HYPERLINK("https%3A%2F%2Fwww.webofscience.com%2Fwos%2Fwoscc%2Ffull-record%2FWOS:000483832300005","View Full Record in Web of Science")</f>
        <v>View Full Record in Web of Science</v>
      </c>
    </row>
    <row r="326" spans="1:72" x14ac:dyDescent="0.2">
      <c r="A326" t="s">
        <v>72</v>
      </c>
      <c r="B326" t="s">
        <v>2549</v>
      </c>
      <c r="C326" t="s">
        <v>74</v>
      </c>
      <c r="D326" t="s">
        <v>74</v>
      </c>
      <c r="E326" t="s">
        <v>74</v>
      </c>
      <c r="F326" t="s">
        <v>2550</v>
      </c>
      <c r="G326" t="s">
        <v>74</v>
      </c>
      <c r="H326" t="s">
        <v>74</v>
      </c>
      <c r="I326" t="s">
        <v>2551</v>
      </c>
      <c r="J326" t="s">
        <v>381</v>
      </c>
      <c r="K326" t="s">
        <v>74</v>
      </c>
      <c r="L326" t="s">
        <v>74</v>
      </c>
      <c r="M326" t="s">
        <v>74</v>
      </c>
      <c r="N326" t="s">
        <v>74</v>
      </c>
      <c r="O326" t="s">
        <v>74</v>
      </c>
      <c r="P326" t="s">
        <v>74</v>
      </c>
      <c r="Q326" t="s">
        <v>74</v>
      </c>
      <c r="R326" t="s">
        <v>74</v>
      </c>
      <c r="S326" t="s">
        <v>74</v>
      </c>
      <c r="T326" t="s">
        <v>74</v>
      </c>
      <c r="U326" t="s">
        <v>74</v>
      </c>
      <c r="V326" t="s">
        <v>74</v>
      </c>
      <c r="W326" t="s">
        <v>74</v>
      </c>
      <c r="X326" t="s">
        <v>74</v>
      </c>
      <c r="Y326" t="s">
        <v>74</v>
      </c>
      <c r="Z326" t="s">
        <v>74</v>
      </c>
      <c r="AA326" t="s">
        <v>2552</v>
      </c>
      <c r="AB326" t="s">
        <v>2553</v>
      </c>
      <c r="AC326" t="s">
        <v>74</v>
      </c>
      <c r="AD326" t="s">
        <v>74</v>
      </c>
      <c r="AE326" t="s">
        <v>74</v>
      </c>
      <c r="AF326" t="s">
        <v>74</v>
      </c>
      <c r="AG326" t="s">
        <v>74</v>
      </c>
      <c r="AH326" t="s">
        <v>74</v>
      </c>
      <c r="AI326" t="s">
        <v>74</v>
      </c>
      <c r="AJ326" t="s">
        <v>74</v>
      </c>
      <c r="AK326" t="s">
        <v>74</v>
      </c>
      <c r="AL326" t="s">
        <v>74</v>
      </c>
      <c r="AM326" t="s">
        <v>74</v>
      </c>
      <c r="AN326" t="s">
        <v>74</v>
      </c>
      <c r="AO326" t="s">
        <v>383</v>
      </c>
      <c r="AP326" t="s">
        <v>384</v>
      </c>
      <c r="AQ326" t="s">
        <v>74</v>
      </c>
      <c r="AR326" t="s">
        <v>74</v>
      </c>
      <c r="AS326" t="s">
        <v>74</v>
      </c>
      <c r="AT326" t="s">
        <v>520</v>
      </c>
      <c r="AU326">
        <v>2019</v>
      </c>
      <c r="AV326">
        <v>251</v>
      </c>
      <c r="AW326" t="s">
        <v>74</v>
      </c>
      <c r="AX326" t="s">
        <v>74</v>
      </c>
      <c r="AY326" t="s">
        <v>74</v>
      </c>
      <c r="AZ326" t="s">
        <v>74</v>
      </c>
      <c r="BA326" t="s">
        <v>74</v>
      </c>
      <c r="BB326">
        <v>434</v>
      </c>
      <c r="BC326">
        <v>441</v>
      </c>
      <c r="BD326" t="s">
        <v>74</v>
      </c>
      <c r="BE326" t="s">
        <v>2554</v>
      </c>
      <c r="BF326" t="str">
        <f>HYPERLINK("http://dx.doi.org/10.1016/j.envpol.2019.05.034","http://dx.doi.org/10.1016/j.envpol.2019.05.034")</f>
        <v>http://dx.doi.org/10.1016/j.envpol.2019.05.034</v>
      </c>
      <c r="BG326" t="s">
        <v>74</v>
      </c>
      <c r="BH326" t="s">
        <v>74</v>
      </c>
      <c r="BI326" t="s">
        <v>74</v>
      </c>
      <c r="BJ326" t="s">
        <v>74</v>
      </c>
      <c r="BK326" t="s">
        <v>74</v>
      </c>
      <c r="BL326" t="s">
        <v>74</v>
      </c>
      <c r="BM326" t="s">
        <v>74</v>
      </c>
      <c r="BN326">
        <v>31103003</v>
      </c>
      <c r="BO326" t="s">
        <v>74</v>
      </c>
      <c r="BP326" t="s">
        <v>74</v>
      </c>
      <c r="BQ326" t="s">
        <v>74</v>
      </c>
      <c r="BR326" t="s">
        <v>74</v>
      </c>
      <c r="BS326" t="s">
        <v>2555</v>
      </c>
      <c r="BT326" t="str">
        <f>HYPERLINK("https%3A%2F%2Fwww.webofscience.com%2Fwos%2Fwoscc%2Ffull-record%2FWOS:000474329700048","View Full Record in Web of Science")</f>
        <v>View Full Record in Web of Science</v>
      </c>
    </row>
    <row r="327" spans="1:72" x14ac:dyDescent="0.2">
      <c r="A327" t="s">
        <v>72</v>
      </c>
      <c r="B327" t="s">
        <v>2556</v>
      </c>
      <c r="C327" t="s">
        <v>74</v>
      </c>
      <c r="D327" t="s">
        <v>74</v>
      </c>
      <c r="E327" t="s">
        <v>74</v>
      </c>
      <c r="F327" t="s">
        <v>2557</v>
      </c>
      <c r="G327" t="s">
        <v>74</v>
      </c>
      <c r="H327" t="s">
        <v>74</v>
      </c>
      <c r="I327" t="s">
        <v>2558</v>
      </c>
      <c r="J327" t="s">
        <v>292</v>
      </c>
      <c r="K327" t="s">
        <v>74</v>
      </c>
      <c r="L327" t="s">
        <v>74</v>
      </c>
      <c r="M327" t="s">
        <v>74</v>
      </c>
      <c r="N327" t="s">
        <v>74</v>
      </c>
      <c r="O327" t="s">
        <v>74</v>
      </c>
      <c r="P327" t="s">
        <v>74</v>
      </c>
      <c r="Q327" t="s">
        <v>74</v>
      </c>
      <c r="R327" t="s">
        <v>74</v>
      </c>
      <c r="S327" t="s">
        <v>74</v>
      </c>
      <c r="T327" t="s">
        <v>74</v>
      </c>
      <c r="U327" t="s">
        <v>74</v>
      </c>
      <c r="V327" t="s">
        <v>74</v>
      </c>
      <c r="W327" t="s">
        <v>74</v>
      </c>
      <c r="X327" t="s">
        <v>74</v>
      </c>
      <c r="Y327" t="s">
        <v>74</v>
      </c>
      <c r="Z327" t="s">
        <v>74</v>
      </c>
      <c r="AA327" t="s">
        <v>2559</v>
      </c>
      <c r="AB327" t="s">
        <v>2560</v>
      </c>
      <c r="AC327" t="s">
        <v>74</v>
      </c>
      <c r="AD327" t="s">
        <v>74</v>
      </c>
      <c r="AE327" t="s">
        <v>74</v>
      </c>
      <c r="AF327" t="s">
        <v>74</v>
      </c>
      <c r="AG327" t="s">
        <v>74</v>
      </c>
      <c r="AH327" t="s">
        <v>74</v>
      </c>
      <c r="AI327" t="s">
        <v>74</v>
      </c>
      <c r="AJ327" t="s">
        <v>74</v>
      </c>
      <c r="AK327" t="s">
        <v>74</v>
      </c>
      <c r="AL327" t="s">
        <v>74</v>
      </c>
      <c r="AM327" t="s">
        <v>74</v>
      </c>
      <c r="AN327" t="s">
        <v>74</v>
      </c>
      <c r="AO327" t="s">
        <v>74</v>
      </c>
      <c r="AP327" t="s">
        <v>294</v>
      </c>
      <c r="AQ327" t="s">
        <v>74</v>
      </c>
      <c r="AR327" t="s">
        <v>74</v>
      </c>
      <c r="AS327" t="s">
        <v>74</v>
      </c>
      <c r="AT327" t="s">
        <v>520</v>
      </c>
      <c r="AU327">
        <v>2019</v>
      </c>
      <c r="AV327">
        <v>11</v>
      </c>
      <c r="AW327">
        <v>8</v>
      </c>
      <c r="AX327" t="s">
        <v>74</v>
      </c>
      <c r="AY327" t="s">
        <v>74</v>
      </c>
      <c r="AZ327" t="s">
        <v>74</v>
      </c>
      <c r="BA327" t="s">
        <v>74</v>
      </c>
      <c r="BB327" t="s">
        <v>74</v>
      </c>
      <c r="BC327" t="s">
        <v>74</v>
      </c>
      <c r="BD327">
        <v>137</v>
      </c>
      <c r="BE327" t="s">
        <v>2561</v>
      </c>
      <c r="BF327" t="str">
        <f>HYPERLINK("http://dx.doi.org/10.3390/d11080137","http://dx.doi.org/10.3390/d11080137")</f>
        <v>http://dx.doi.org/10.3390/d11080137</v>
      </c>
      <c r="BG327" t="s">
        <v>74</v>
      </c>
      <c r="BH327" t="s">
        <v>74</v>
      </c>
      <c r="BI327" t="s">
        <v>74</v>
      </c>
      <c r="BJ327" t="s">
        <v>74</v>
      </c>
      <c r="BK327" t="s">
        <v>74</v>
      </c>
      <c r="BL327" t="s">
        <v>74</v>
      </c>
      <c r="BM327" t="s">
        <v>74</v>
      </c>
      <c r="BN327" t="s">
        <v>74</v>
      </c>
      <c r="BO327" t="s">
        <v>74</v>
      </c>
      <c r="BP327" t="s">
        <v>74</v>
      </c>
      <c r="BQ327" t="s">
        <v>74</v>
      </c>
      <c r="BR327" t="s">
        <v>74</v>
      </c>
      <c r="BS327" t="s">
        <v>2562</v>
      </c>
      <c r="BT327" t="str">
        <f>HYPERLINK("https%3A%2F%2Fwww.webofscience.com%2Fwos%2Fwoscc%2Ffull-record%2FWOS:000482961700004","View Full Record in Web of Science")</f>
        <v>View Full Record in Web of Science</v>
      </c>
    </row>
    <row r="328" spans="1:72" x14ac:dyDescent="0.2">
      <c r="A328" t="s">
        <v>72</v>
      </c>
      <c r="B328" t="s">
        <v>2563</v>
      </c>
      <c r="C328" t="s">
        <v>74</v>
      </c>
      <c r="D328" t="s">
        <v>74</v>
      </c>
      <c r="E328" t="s">
        <v>74</v>
      </c>
      <c r="F328" t="s">
        <v>2564</v>
      </c>
      <c r="G328" t="s">
        <v>74</v>
      </c>
      <c r="H328" t="s">
        <v>74</v>
      </c>
      <c r="I328" t="s">
        <v>2565</v>
      </c>
      <c r="J328" t="s">
        <v>2566</v>
      </c>
      <c r="K328" t="s">
        <v>74</v>
      </c>
      <c r="L328" t="s">
        <v>74</v>
      </c>
      <c r="M328" t="s">
        <v>74</v>
      </c>
      <c r="N328" t="s">
        <v>74</v>
      </c>
      <c r="O328" t="s">
        <v>74</v>
      </c>
      <c r="P328" t="s">
        <v>74</v>
      </c>
      <c r="Q328" t="s">
        <v>74</v>
      </c>
      <c r="R328" t="s">
        <v>74</v>
      </c>
      <c r="S328" t="s">
        <v>74</v>
      </c>
      <c r="T328" t="s">
        <v>74</v>
      </c>
      <c r="U328" t="s">
        <v>74</v>
      </c>
      <c r="V328" t="s">
        <v>74</v>
      </c>
      <c r="W328" t="s">
        <v>74</v>
      </c>
      <c r="X328" t="s">
        <v>74</v>
      </c>
      <c r="Y328" t="s">
        <v>74</v>
      </c>
      <c r="Z328" t="s">
        <v>74</v>
      </c>
      <c r="AA328" t="s">
        <v>2567</v>
      </c>
      <c r="AB328" t="s">
        <v>2568</v>
      </c>
      <c r="AC328" t="s">
        <v>74</v>
      </c>
      <c r="AD328" t="s">
        <v>74</v>
      </c>
      <c r="AE328" t="s">
        <v>74</v>
      </c>
      <c r="AF328" t="s">
        <v>74</v>
      </c>
      <c r="AG328" t="s">
        <v>74</v>
      </c>
      <c r="AH328" t="s">
        <v>74</v>
      </c>
      <c r="AI328" t="s">
        <v>74</v>
      </c>
      <c r="AJ328" t="s">
        <v>74</v>
      </c>
      <c r="AK328" t="s">
        <v>74</v>
      </c>
      <c r="AL328" t="s">
        <v>74</v>
      </c>
      <c r="AM328" t="s">
        <v>74</v>
      </c>
      <c r="AN328" t="s">
        <v>74</v>
      </c>
      <c r="AO328" t="s">
        <v>2569</v>
      </c>
      <c r="AP328" t="s">
        <v>74</v>
      </c>
      <c r="AQ328" t="s">
        <v>74</v>
      </c>
      <c r="AR328" t="s">
        <v>74</v>
      </c>
      <c r="AS328" t="s">
        <v>74</v>
      </c>
      <c r="AT328" t="s">
        <v>520</v>
      </c>
      <c r="AU328">
        <v>2019</v>
      </c>
      <c r="AV328">
        <v>12</v>
      </c>
      <c r="AW328">
        <v>7</v>
      </c>
      <c r="AX328" t="s">
        <v>74</v>
      </c>
      <c r="AY328" t="s">
        <v>74</v>
      </c>
      <c r="AZ328" t="s">
        <v>632</v>
      </c>
      <c r="BA328" t="s">
        <v>74</v>
      </c>
      <c r="BB328">
        <v>1463</v>
      </c>
      <c r="BC328">
        <v>1474</v>
      </c>
      <c r="BD328" t="s">
        <v>74</v>
      </c>
      <c r="BE328" t="s">
        <v>2570</v>
      </c>
      <c r="BF328" t="str">
        <f>HYPERLINK("http://dx.doi.org/10.1111/eva.12805","http://dx.doi.org/10.1111/eva.12805")</f>
        <v>http://dx.doi.org/10.1111/eva.12805</v>
      </c>
      <c r="BG328" t="s">
        <v>74</v>
      </c>
      <c r="BH328" t="s">
        <v>74</v>
      </c>
      <c r="BI328" t="s">
        <v>74</v>
      </c>
      <c r="BJ328" t="s">
        <v>74</v>
      </c>
      <c r="BK328" t="s">
        <v>74</v>
      </c>
      <c r="BL328" t="s">
        <v>74</v>
      </c>
      <c r="BM328" t="s">
        <v>74</v>
      </c>
      <c r="BN328">
        <v>31417627</v>
      </c>
      <c r="BO328" t="s">
        <v>74</v>
      </c>
      <c r="BP328" t="s">
        <v>74</v>
      </c>
      <c r="BQ328" t="s">
        <v>74</v>
      </c>
      <c r="BR328" t="s">
        <v>74</v>
      </c>
      <c r="BS328" t="s">
        <v>2571</v>
      </c>
      <c r="BT328" t="str">
        <f>HYPERLINK("https%3A%2F%2Fwww.webofscience.com%2Fwos%2Fwoscc%2Ffull-record%2FWOS:000480580300017","View Full Record in Web of Science")</f>
        <v>View Full Record in Web of Science</v>
      </c>
    </row>
    <row r="329" spans="1:72" x14ac:dyDescent="0.2">
      <c r="A329" t="s">
        <v>72</v>
      </c>
      <c r="B329" t="s">
        <v>2572</v>
      </c>
      <c r="C329" t="s">
        <v>74</v>
      </c>
      <c r="D329" t="s">
        <v>74</v>
      </c>
      <c r="E329" t="s">
        <v>74</v>
      </c>
      <c r="F329" t="s">
        <v>2573</v>
      </c>
      <c r="G329" t="s">
        <v>74</v>
      </c>
      <c r="H329" t="s">
        <v>74</v>
      </c>
      <c r="I329" t="s">
        <v>2574</v>
      </c>
      <c r="J329" t="s">
        <v>360</v>
      </c>
      <c r="K329" t="s">
        <v>74</v>
      </c>
      <c r="L329" t="s">
        <v>74</v>
      </c>
      <c r="M329" t="s">
        <v>74</v>
      </c>
      <c r="N329" t="s">
        <v>74</v>
      </c>
      <c r="O329" t="s">
        <v>74</v>
      </c>
      <c r="P329" t="s">
        <v>74</v>
      </c>
      <c r="Q329" t="s">
        <v>74</v>
      </c>
      <c r="R329" t="s">
        <v>74</v>
      </c>
      <c r="S329" t="s">
        <v>74</v>
      </c>
      <c r="T329" t="s">
        <v>74</v>
      </c>
      <c r="U329" t="s">
        <v>74</v>
      </c>
      <c r="V329" t="s">
        <v>74</v>
      </c>
      <c r="W329" t="s">
        <v>74</v>
      </c>
      <c r="X329" t="s">
        <v>74</v>
      </c>
      <c r="Y329" t="s">
        <v>74</v>
      </c>
      <c r="Z329" t="s">
        <v>74</v>
      </c>
      <c r="AA329" t="s">
        <v>2575</v>
      </c>
      <c r="AB329" t="s">
        <v>2576</v>
      </c>
      <c r="AC329" t="s">
        <v>74</v>
      </c>
      <c r="AD329" t="s">
        <v>74</v>
      </c>
      <c r="AE329" t="s">
        <v>74</v>
      </c>
      <c r="AF329" t="s">
        <v>74</v>
      </c>
      <c r="AG329" t="s">
        <v>74</v>
      </c>
      <c r="AH329" t="s">
        <v>74</v>
      </c>
      <c r="AI329" t="s">
        <v>74</v>
      </c>
      <c r="AJ329" t="s">
        <v>74</v>
      </c>
      <c r="AK329" t="s">
        <v>74</v>
      </c>
      <c r="AL329" t="s">
        <v>74</v>
      </c>
      <c r="AM329" t="s">
        <v>74</v>
      </c>
      <c r="AN329" t="s">
        <v>74</v>
      </c>
      <c r="AO329" t="s">
        <v>361</v>
      </c>
      <c r="AP329" t="s">
        <v>362</v>
      </c>
      <c r="AQ329" t="s">
        <v>74</v>
      </c>
      <c r="AR329" t="s">
        <v>74</v>
      </c>
      <c r="AS329" t="s">
        <v>74</v>
      </c>
      <c r="AT329" t="s">
        <v>2577</v>
      </c>
      <c r="AU329">
        <v>2019</v>
      </c>
      <c r="AV329">
        <v>286</v>
      </c>
      <c r="AW329">
        <v>1907</v>
      </c>
      <c r="AX329" t="s">
        <v>74</v>
      </c>
      <c r="AY329" t="s">
        <v>74</v>
      </c>
      <c r="AZ329" t="s">
        <v>74</v>
      </c>
      <c r="BA329" t="s">
        <v>74</v>
      </c>
      <c r="BB329" t="s">
        <v>74</v>
      </c>
      <c r="BC329" t="s">
        <v>74</v>
      </c>
      <c r="BD329">
        <v>20190929</v>
      </c>
      <c r="BE329" t="s">
        <v>2578</v>
      </c>
      <c r="BF329" t="str">
        <f>HYPERLINK("http://dx.doi.org/10.1098/rspb.2019.0929","http://dx.doi.org/10.1098/rspb.2019.0929")</f>
        <v>http://dx.doi.org/10.1098/rspb.2019.0929</v>
      </c>
      <c r="BG329" t="s">
        <v>74</v>
      </c>
      <c r="BH329" t="s">
        <v>74</v>
      </c>
      <c r="BI329" t="s">
        <v>74</v>
      </c>
      <c r="BJ329" t="s">
        <v>74</v>
      </c>
      <c r="BK329" t="s">
        <v>74</v>
      </c>
      <c r="BL329" t="s">
        <v>74</v>
      </c>
      <c r="BM329" t="s">
        <v>74</v>
      </c>
      <c r="BN329">
        <v>31337313</v>
      </c>
      <c r="BO329" t="s">
        <v>74</v>
      </c>
      <c r="BP329" t="s">
        <v>74</v>
      </c>
      <c r="BQ329" t="s">
        <v>74</v>
      </c>
      <c r="BR329" t="s">
        <v>74</v>
      </c>
      <c r="BS329" t="s">
        <v>2579</v>
      </c>
      <c r="BT329" t="str">
        <f>HYPERLINK("https%3A%2F%2Fwww.webofscience.com%2Fwos%2Fwoscc%2Ffull-record%2FWOS:000477953500014","View Full Record in Web of Science")</f>
        <v>View Full Record in Web of Science</v>
      </c>
    </row>
    <row r="330" spans="1:72" x14ac:dyDescent="0.2">
      <c r="A330" t="s">
        <v>72</v>
      </c>
      <c r="B330" t="s">
        <v>2580</v>
      </c>
      <c r="C330" t="s">
        <v>74</v>
      </c>
      <c r="D330" t="s">
        <v>74</v>
      </c>
      <c r="E330" t="s">
        <v>74</v>
      </c>
      <c r="F330" t="s">
        <v>2581</v>
      </c>
      <c r="G330" t="s">
        <v>74</v>
      </c>
      <c r="H330" t="s">
        <v>74</v>
      </c>
      <c r="I330" t="s">
        <v>2582</v>
      </c>
      <c r="J330" t="s">
        <v>2583</v>
      </c>
      <c r="K330" t="s">
        <v>74</v>
      </c>
      <c r="L330" t="s">
        <v>74</v>
      </c>
      <c r="M330" t="s">
        <v>74</v>
      </c>
      <c r="N330" t="s">
        <v>74</v>
      </c>
      <c r="O330" t="s">
        <v>74</v>
      </c>
      <c r="P330" t="s">
        <v>74</v>
      </c>
      <c r="Q330" t="s">
        <v>74</v>
      </c>
      <c r="R330" t="s">
        <v>74</v>
      </c>
      <c r="S330" t="s">
        <v>74</v>
      </c>
      <c r="T330" t="s">
        <v>74</v>
      </c>
      <c r="U330" t="s">
        <v>74</v>
      </c>
      <c r="V330" t="s">
        <v>74</v>
      </c>
      <c r="W330" t="s">
        <v>74</v>
      </c>
      <c r="X330" t="s">
        <v>74</v>
      </c>
      <c r="Y330" t="s">
        <v>74</v>
      </c>
      <c r="Z330" t="s">
        <v>74</v>
      </c>
      <c r="AA330" t="s">
        <v>6966</v>
      </c>
      <c r="AB330" t="s">
        <v>6967</v>
      </c>
      <c r="AC330" t="s">
        <v>74</v>
      </c>
      <c r="AD330" t="s">
        <v>74</v>
      </c>
      <c r="AE330" t="s">
        <v>74</v>
      </c>
      <c r="AF330" t="s">
        <v>74</v>
      </c>
      <c r="AG330" t="s">
        <v>74</v>
      </c>
      <c r="AH330" t="s">
        <v>74</v>
      </c>
      <c r="AI330" t="s">
        <v>74</v>
      </c>
      <c r="AJ330" t="s">
        <v>74</v>
      </c>
      <c r="AK330" t="s">
        <v>74</v>
      </c>
      <c r="AL330" t="s">
        <v>74</v>
      </c>
      <c r="AM330" t="s">
        <v>74</v>
      </c>
      <c r="AN330" t="s">
        <v>74</v>
      </c>
      <c r="AO330" t="s">
        <v>2584</v>
      </c>
      <c r="AP330" t="s">
        <v>74</v>
      </c>
      <c r="AQ330" t="s">
        <v>74</v>
      </c>
      <c r="AR330" t="s">
        <v>74</v>
      </c>
      <c r="AS330" t="s">
        <v>74</v>
      </c>
      <c r="AT330" t="s">
        <v>2585</v>
      </c>
      <c r="AU330">
        <v>2019</v>
      </c>
      <c r="AV330">
        <v>10</v>
      </c>
      <c r="AW330">
        <v>4</v>
      </c>
      <c r="AX330" t="s">
        <v>74</v>
      </c>
      <c r="AY330" t="s">
        <v>74</v>
      </c>
      <c r="AZ330" t="s">
        <v>74</v>
      </c>
      <c r="BA330" t="s">
        <v>74</v>
      </c>
      <c r="BB330" t="s">
        <v>74</v>
      </c>
      <c r="BC330" t="s">
        <v>74</v>
      </c>
      <c r="BD330" t="s">
        <v>2586</v>
      </c>
      <c r="BE330" t="s">
        <v>2587</v>
      </c>
      <c r="BF330" t="str">
        <f>HYPERLINK("http://dx.doi.org/10.1128/mBio.01557-19","http://dx.doi.org/10.1128/mBio.01557-19")</f>
        <v>http://dx.doi.org/10.1128/mBio.01557-19</v>
      </c>
      <c r="BG330" t="s">
        <v>74</v>
      </c>
      <c r="BH330" t="s">
        <v>74</v>
      </c>
      <c r="BI330" t="s">
        <v>74</v>
      </c>
      <c r="BJ330" t="s">
        <v>74</v>
      </c>
      <c r="BK330" t="s">
        <v>74</v>
      </c>
      <c r="BL330" t="s">
        <v>74</v>
      </c>
      <c r="BM330" t="s">
        <v>74</v>
      </c>
      <c r="BN330">
        <v>31431551</v>
      </c>
      <c r="BO330" t="s">
        <v>74</v>
      </c>
      <c r="BP330" t="s">
        <v>74</v>
      </c>
      <c r="BQ330" t="s">
        <v>74</v>
      </c>
      <c r="BR330" t="s">
        <v>74</v>
      </c>
      <c r="BS330" t="s">
        <v>2588</v>
      </c>
      <c r="BT330" t="str">
        <f>HYPERLINK("https%3A%2F%2Fwww.webofscience.com%2Fwos%2Fwoscc%2Ffull-record%2FWOS:000493912200004","View Full Record in Web of Science")</f>
        <v>View Full Record in Web of Science</v>
      </c>
    </row>
    <row r="331" spans="1:72" x14ac:dyDescent="0.2">
      <c r="A331" t="s">
        <v>72</v>
      </c>
      <c r="B331" t="s">
        <v>2589</v>
      </c>
      <c r="C331" t="s">
        <v>74</v>
      </c>
      <c r="D331" t="s">
        <v>74</v>
      </c>
      <c r="E331" t="s">
        <v>74</v>
      </c>
      <c r="F331" t="s">
        <v>2590</v>
      </c>
      <c r="G331" t="s">
        <v>74</v>
      </c>
      <c r="H331" t="s">
        <v>74</v>
      </c>
      <c r="I331" t="s">
        <v>2591</v>
      </c>
      <c r="J331" t="s">
        <v>154</v>
      </c>
      <c r="K331" t="s">
        <v>74</v>
      </c>
      <c r="L331" t="s">
        <v>74</v>
      </c>
      <c r="M331" t="s">
        <v>74</v>
      </c>
      <c r="N331" t="s">
        <v>74</v>
      </c>
      <c r="O331" t="s">
        <v>74</v>
      </c>
      <c r="P331" t="s">
        <v>74</v>
      </c>
      <c r="Q331" t="s">
        <v>74</v>
      </c>
      <c r="R331" t="s">
        <v>74</v>
      </c>
      <c r="S331" t="s">
        <v>74</v>
      </c>
      <c r="T331" t="s">
        <v>74</v>
      </c>
      <c r="U331" t="s">
        <v>74</v>
      </c>
      <c r="V331" t="s">
        <v>74</v>
      </c>
      <c r="W331" t="s">
        <v>74</v>
      </c>
      <c r="X331" t="s">
        <v>74</v>
      </c>
      <c r="Y331" t="s">
        <v>74</v>
      </c>
      <c r="Z331" t="s">
        <v>74</v>
      </c>
      <c r="AA331" t="s">
        <v>6968</v>
      </c>
      <c r="AB331" t="s">
        <v>6969</v>
      </c>
      <c r="AC331" t="s">
        <v>74</v>
      </c>
      <c r="AD331" t="s">
        <v>74</v>
      </c>
      <c r="AE331" t="s">
        <v>74</v>
      </c>
      <c r="AF331" t="s">
        <v>74</v>
      </c>
      <c r="AG331" t="s">
        <v>74</v>
      </c>
      <c r="AH331" t="s">
        <v>74</v>
      </c>
      <c r="AI331" t="s">
        <v>74</v>
      </c>
      <c r="AJ331" t="s">
        <v>74</v>
      </c>
      <c r="AK331" t="s">
        <v>74</v>
      </c>
      <c r="AL331" t="s">
        <v>74</v>
      </c>
      <c r="AM331" t="s">
        <v>74</v>
      </c>
      <c r="AN331" t="s">
        <v>74</v>
      </c>
      <c r="AO331" t="s">
        <v>155</v>
      </c>
      <c r="AP331" t="s">
        <v>156</v>
      </c>
      <c r="AQ331" t="s">
        <v>74</v>
      </c>
      <c r="AR331" t="s">
        <v>74</v>
      </c>
      <c r="AS331" t="s">
        <v>74</v>
      </c>
      <c r="AT331" t="s">
        <v>624</v>
      </c>
      <c r="AU331">
        <v>2019</v>
      </c>
      <c r="AV331">
        <v>77</v>
      </c>
      <c r="AW331" t="s">
        <v>74</v>
      </c>
      <c r="AX331" t="s">
        <v>74</v>
      </c>
      <c r="AY331" t="s">
        <v>74</v>
      </c>
      <c r="AZ331" t="s">
        <v>74</v>
      </c>
      <c r="BA331" t="s">
        <v>74</v>
      </c>
      <c r="BB331" t="s">
        <v>74</v>
      </c>
      <c r="BC331" t="s">
        <v>74</v>
      </c>
      <c r="BD331">
        <v>125690</v>
      </c>
      <c r="BE331" t="s">
        <v>2592</v>
      </c>
      <c r="BF331" t="str">
        <f>HYPERLINK("http://dx.doi.org/10.1016/j.limno.2019.125690","http://dx.doi.org/10.1016/j.limno.2019.125690")</f>
        <v>http://dx.doi.org/10.1016/j.limno.2019.125690</v>
      </c>
      <c r="BG331" t="s">
        <v>74</v>
      </c>
      <c r="BH331" t="s">
        <v>74</v>
      </c>
      <c r="BI331" t="s">
        <v>74</v>
      </c>
      <c r="BJ331" t="s">
        <v>74</v>
      </c>
      <c r="BK331" t="s">
        <v>74</v>
      </c>
      <c r="BL331" t="s">
        <v>74</v>
      </c>
      <c r="BM331" t="s">
        <v>74</v>
      </c>
      <c r="BN331" t="s">
        <v>74</v>
      </c>
      <c r="BO331" t="s">
        <v>74</v>
      </c>
      <c r="BP331" t="s">
        <v>74</v>
      </c>
      <c r="BQ331" t="s">
        <v>74</v>
      </c>
      <c r="BR331" t="s">
        <v>74</v>
      </c>
      <c r="BS331" t="s">
        <v>2593</v>
      </c>
      <c r="BT331" t="str">
        <f>HYPERLINK("https%3A%2F%2Fwww.webofscience.com%2Fwos%2Fwoscc%2Ffull-record%2FWOS:000485794700009","View Full Record in Web of Science")</f>
        <v>View Full Record in Web of Science</v>
      </c>
    </row>
    <row r="332" spans="1:72" x14ac:dyDescent="0.2">
      <c r="A332" t="s">
        <v>72</v>
      </c>
      <c r="B332" t="s">
        <v>2594</v>
      </c>
      <c r="C332" t="s">
        <v>74</v>
      </c>
      <c r="D332" t="s">
        <v>74</v>
      </c>
      <c r="E332" t="s">
        <v>74</v>
      </c>
      <c r="F332" t="s">
        <v>2595</v>
      </c>
      <c r="G332" t="s">
        <v>74</v>
      </c>
      <c r="H332" t="s">
        <v>74</v>
      </c>
      <c r="I332" t="s">
        <v>2596</v>
      </c>
      <c r="J332" t="s">
        <v>2597</v>
      </c>
      <c r="K332" t="s">
        <v>74</v>
      </c>
      <c r="L332" t="s">
        <v>74</v>
      </c>
      <c r="M332" t="s">
        <v>74</v>
      </c>
      <c r="N332" t="s">
        <v>74</v>
      </c>
      <c r="O332" t="s">
        <v>74</v>
      </c>
      <c r="P332" t="s">
        <v>74</v>
      </c>
      <c r="Q332" t="s">
        <v>74</v>
      </c>
      <c r="R332" t="s">
        <v>74</v>
      </c>
      <c r="S332" t="s">
        <v>74</v>
      </c>
      <c r="T332" t="s">
        <v>74</v>
      </c>
      <c r="U332" t="s">
        <v>74</v>
      </c>
      <c r="V332" t="s">
        <v>74</v>
      </c>
      <c r="W332" t="s">
        <v>74</v>
      </c>
      <c r="X332" t="s">
        <v>74</v>
      </c>
      <c r="Y332" t="s">
        <v>74</v>
      </c>
      <c r="Z332" t="s">
        <v>74</v>
      </c>
      <c r="AA332" t="s">
        <v>2598</v>
      </c>
      <c r="AB332" t="s">
        <v>2599</v>
      </c>
      <c r="AC332" t="s">
        <v>74</v>
      </c>
      <c r="AD332" t="s">
        <v>74</v>
      </c>
      <c r="AE332" t="s">
        <v>74</v>
      </c>
      <c r="AF332" t="s">
        <v>74</v>
      </c>
      <c r="AG332" t="s">
        <v>74</v>
      </c>
      <c r="AH332" t="s">
        <v>74</v>
      </c>
      <c r="AI332" t="s">
        <v>74</v>
      </c>
      <c r="AJ332" t="s">
        <v>74</v>
      </c>
      <c r="AK332" t="s">
        <v>74</v>
      </c>
      <c r="AL332" t="s">
        <v>74</v>
      </c>
      <c r="AM332" t="s">
        <v>74</v>
      </c>
      <c r="AN332" t="s">
        <v>74</v>
      </c>
      <c r="AO332" t="s">
        <v>2600</v>
      </c>
      <c r="AP332" t="s">
        <v>2601</v>
      </c>
      <c r="AQ332" t="s">
        <v>74</v>
      </c>
      <c r="AR332" t="s">
        <v>74</v>
      </c>
      <c r="AS332" t="s">
        <v>74</v>
      </c>
      <c r="AT332" t="s">
        <v>569</v>
      </c>
      <c r="AU332">
        <v>2019</v>
      </c>
      <c r="AV332">
        <v>17</v>
      </c>
      <c r="AW332">
        <v>6</v>
      </c>
      <c r="AX332" t="s">
        <v>74</v>
      </c>
      <c r="AY332" t="s">
        <v>74</v>
      </c>
      <c r="AZ332" t="s">
        <v>74</v>
      </c>
      <c r="BA332" t="s">
        <v>74</v>
      </c>
      <c r="BB332" t="s">
        <v>74</v>
      </c>
      <c r="BC332" t="s">
        <v>74</v>
      </c>
      <c r="BD332" t="s">
        <v>2602</v>
      </c>
      <c r="BE332" t="s">
        <v>2603</v>
      </c>
      <c r="BF332" t="str">
        <f>HYPERLINK("http://dx.doi.org/10.1371/journal.pbio.2006806","http://dx.doi.org/10.1371/journal.pbio.2006806")</f>
        <v>http://dx.doi.org/10.1371/journal.pbio.2006806</v>
      </c>
      <c r="BG332" t="s">
        <v>74</v>
      </c>
      <c r="BH332" t="s">
        <v>74</v>
      </c>
      <c r="BI332" t="s">
        <v>74</v>
      </c>
      <c r="BJ332" t="s">
        <v>74</v>
      </c>
      <c r="BK332" t="s">
        <v>74</v>
      </c>
      <c r="BL332" t="s">
        <v>74</v>
      </c>
      <c r="BM332" t="s">
        <v>74</v>
      </c>
      <c r="BN332">
        <v>31181076</v>
      </c>
      <c r="BO332" t="s">
        <v>74</v>
      </c>
      <c r="BP332" t="s">
        <v>74</v>
      </c>
      <c r="BQ332" t="s">
        <v>74</v>
      </c>
      <c r="BR332" t="s">
        <v>74</v>
      </c>
      <c r="BS332" t="s">
        <v>2604</v>
      </c>
      <c r="BT332" t="str">
        <f>HYPERLINK("https%3A%2F%2Fwww.webofscience.com%2Fwos%2Fwoscc%2Ffull-record%2FWOS:000473675900006","View Full Record in Web of Science")</f>
        <v>View Full Record in Web of Science</v>
      </c>
    </row>
    <row r="333" spans="1:72" x14ac:dyDescent="0.2">
      <c r="A333" t="s">
        <v>72</v>
      </c>
      <c r="B333" t="s">
        <v>2605</v>
      </c>
      <c r="C333" t="s">
        <v>74</v>
      </c>
      <c r="D333" t="s">
        <v>74</v>
      </c>
      <c r="E333" t="s">
        <v>74</v>
      </c>
      <c r="F333" t="s">
        <v>2606</v>
      </c>
      <c r="G333" t="s">
        <v>74</v>
      </c>
      <c r="H333" t="s">
        <v>74</v>
      </c>
      <c r="I333" t="s">
        <v>2607</v>
      </c>
      <c r="J333" t="s">
        <v>145</v>
      </c>
      <c r="K333" t="s">
        <v>74</v>
      </c>
      <c r="L333" t="s">
        <v>74</v>
      </c>
      <c r="M333" t="s">
        <v>74</v>
      </c>
      <c r="N333" t="s">
        <v>74</v>
      </c>
      <c r="O333" t="s">
        <v>74</v>
      </c>
      <c r="P333" t="s">
        <v>74</v>
      </c>
      <c r="Q333" t="s">
        <v>74</v>
      </c>
      <c r="R333" t="s">
        <v>74</v>
      </c>
      <c r="S333" t="s">
        <v>74</v>
      </c>
      <c r="T333" t="s">
        <v>74</v>
      </c>
      <c r="U333" t="s">
        <v>74</v>
      </c>
      <c r="V333" t="s">
        <v>74</v>
      </c>
      <c r="W333" t="s">
        <v>74</v>
      </c>
      <c r="X333" t="s">
        <v>74</v>
      </c>
      <c r="Y333" t="s">
        <v>74</v>
      </c>
      <c r="Z333" t="s">
        <v>74</v>
      </c>
      <c r="AA333" t="s">
        <v>6970</v>
      </c>
      <c r="AB333" t="s">
        <v>2608</v>
      </c>
      <c r="AC333" t="s">
        <v>74</v>
      </c>
      <c r="AD333" t="s">
        <v>74</v>
      </c>
      <c r="AE333" t="s">
        <v>74</v>
      </c>
      <c r="AF333" t="s">
        <v>74</v>
      </c>
      <c r="AG333" t="s">
        <v>74</v>
      </c>
      <c r="AH333" t="s">
        <v>74</v>
      </c>
      <c r="AI333" t="s">
        <v>74</v>
      </c>
      <c r="AJ333" t="s">
        <v>74</v>
      </c>
      <c r="AK333" t="s">
        <v>74</v>
      </c>
      <c r="AL333" t="s">
        <v>74</v>
      </c>
      <c r="AM333" t="s">
        <v>74</v>
      </c>
      <c r="AN333" t="s">
        <v>74</v>
      </c>
      <c r="AO333" t="s">
        <v>146</v>
      </c>
      <c r="AP333" t="s">
        <v>147</v>
      </c>
      <c r="AQ333" t="s">
        <v>74</v>
      </c>
      <c r="AR333" t="s">
        <v>74</v>
      </c>
      <c r="AS333" t="s">
        <v>74</v>
      </c>
      <c r="AT333" t="s">
        <v>2609</v>
      </c>
      <c r="AU333">
        <v>2019</v>
      </c>
      <c r="AV333">
        <v>667</v>
      </c>
      <c r="AW333" t="s">
        <v>74</v>
      </c>
      <c r="AX333" t="s">
        <v>74</v>
      </c>
      <c r="AY333" t="s">
        <v>74</v>
      </c>
      <c r="AZ333" t="s">
        <v>74</v>
      </c>
      <c r="BA333" t="s">
        <v>74</v>
      </c>
      <c r="BB333">
        <v>601</v>
      </c>
      <c r="BC333">
        <v>612</v>
      </c>
      <c r="BD333" t="s">
        <v>74</v>
      </c>
      <c r="BE333" t="s">
        <v>2610</v>
      </c>
      <c r="BF333" t="str">
        <f>HYPERLINK("http://dx.doi.org/10.1016/j.scitotenv.2019.02.259","http://dx.doi.org/10.1016/j.scitotenv.2019.02.259")</f>
        <v>http://dx.doi.org/10.1016/j.scitotenv.2019.02.259</v>
      </c>
      <c r="BG333" t="s">
        <v>74</v>
      </c>
      <c r="BH333" t="s">
        <v>74</v>
      </c>
      <c r="BI333" t="s">
        <v>74</v>
      </c>
      <c r="BJ333" t="s">
        <v>74</v>
      </c>
      <c r="BK333" t="s">
        <v>74</v>
      </c>
      <c r="BL333" t="s">
        <v>74</v>
      </c>
      <c r="BM333" t="s">
        <v>74</v>
      </c>
      <c r="BN333">
        <v>30833259</v>
      </c>
      <c r="BO333" t="s">
        <v>74</v>
      </c>
      <c r="BP333" t="s">
        <v>74</v>
      </c>
      <c r="BQ333" t="s">
        <v>74</v>
      </c>
      <c r="BR333" t="s">
        <v>74</v>
      </c>
      <c r="BS333" t="s">
        <v>2611</v>
      </c>
      <c r="BT333" t="str">
        <f>HYPERLINK("https%3A%2F%2Fwww.webofscience.com%2Fwos%2Fwoscc%2Ffull-record%2FWOS:000461676600063","View Full Record in Web of Science")</f>
        <v>View Full Record in Web of Science</v>
      </c>
    </row>
    <row r="334" spans="1:72" x14ac:dyDescent="0.2">
      <c r="A334" t="s">
        <v>72</v>
      </c>
      <c r="B334" t="s">
        <v>2612</v>
      </c>
      <c r="C334" t="s">
        <v>74</v>
      </c>
      <c r="D334" t="s">
        <v>74</v>
      </c>
      <c r="E334" t="s">
        <v>74</v>
      </c>
      <c r="F334" t="s">
        <v>2613</v>
      </c>
      <c r="G334" t="s">
        <v>74</v>
      </c>
      <c r="H334" t="s">
        <v>74</v>
      </c>
      <c r="I334" t="s">
        <v>2614</v>
      </c>
      <c r="J334" t="s">
        <v>502</v>
      </c>
      <c r="K334" t="s">
        <v>74</v>
      </c>
      <c r="L334" t="s">
        <v>74</v>
      </c>
      <c r="M334" t="s">
        <v>74</v>
      </c>
      <c r="N334" t="s">
        <v>74</v>
      </c>
      <c r="O334" t="s">
        <v>74</v>
      </c>
      <c r="P334" t="s">
        <v>74</v>
      </c>
      <c r="Q334" t="s">
        <v>74</v>
      </c>
      <c r="R334" t="s">
        <v>74</v>
      </c>
      <c r="S334" t="s">
        <v>74</v>
      </c>
      <c r="T334" t="s">
        <v>74</v>
      </c>
      <c r="U334" t="s">
        <v>74</v>
      </c>
      <c r="V334" t="s">
        <v>74</v>
      </c>
      <c r="W334" t="s">
        <v>74</v>
      </c>
      <c r="X334" t="s">
        <v>74</v>
      </c>
      <c r="Y334" t="s">
        <v>74</v>
      </c>
      <c r="Z334" t="s">
        <v>74</v>
      </c>
      <c r="AA334" t="s">
        <v>2615</v>
      </c>
      <c r="AB334" t="s">
        <v>2616</v>
      </c>
      <c r="AC334" t="s">
        <v>74</v>
      </c>
      <c r="AD334" t="s">
        <v>74</v>
      </c>
      <c r="AE334" t="s">
        <v>74</v>
      </c>
      <c r="AF334" t="s">
        <v>74</v>
      </c>
      <c r="AG334" t="s">
        <v>74</v>
      </c>
      <c r="AH334" t="s">
        <v>74</v>
      </c>
      <c r="AI334" t="s">
        <v>74</v>
      </c>
      <c r="AJ334" t="s">
        <v>74</v>
      </c>
      <c r="AK334" t="s">
        <v>74</v>
      </c>
      <c r="AL334" t="s">
        <v>74</v>
      </c>
      <c r="AM334" t="s">
        <v>74</v>
      </c>
      <c r="AN334" t="s">
        <v>74</v>
      </c>
      <c r="AO334" t="s">
        <v>503</v>
      </c>
      <c r="AP334" t="s">
        <v>504</v>
      </c>
      <c r="AQ334" t="s">
        <v>74</v>
      </c>
      <c r="AR334" t="s">
        <v>74</v>
      </c>
      <c r="AS334" t="s">
        <v>74</v>
      </c>
      <c r="AT334" t="s">
        <v>569</v>
      </c>
      <c r="AU334">
        <v>2019</v>
      </c>
      <c r="AV334">
        <v>101</v>
      </c>
      <c r="AW334" t="s">
        <v>74</v>
      </c>
      <c r="AX334" t="s">
        <v>74</v>
      </c>
      <c r="AY334" t="s">
        <v>74</v>
      </c>
      <c r="AZ334" t="s">
        <v>74</v>
      </c>
      <c r="BA334" t="s">
        <v>74</v>
      </c>
      <c r="BB334">
        <v>41</v>
      </c>
      <c r="BC334">
        <v>49</v>
      </c>
      <c r="BD334" t="s">
        <v>74</v>
      </c>
      <c r="BE334" t="s">
        <v>2617</v>
      </c>
      <c r="BF334" t="str">
        <f>HYPERLINK("http://dx.doi.org/10.1016/j.ecolind.2018.12.049","http://dx.doi.org/10.1016/j.ecolind.2018.12.049")</f>
        <v>http://dx.doi.org/10.1016/j.ecolind.2018.12.049</v>
      </c>
      <c r="BG334" t="s">
        <v>74</v>
      </c>
      <c r="BH334" t="s">
        <v>74</v>
      </c>
      <c r="BI334" t="s">
        <v>74</v>
      </c>
      <c r="BJ334" t="s">
        <v>74</v>
      </c>
      <c r="BK334" t="s">
        <v>74</v>
      </c>
      <c r="BL334" t="s">
        <v>74</v>
      </c>
      <c r="BM334" t="s">
        <v>74</v>
      </c>
      <c r="BN334" t="s">
        <v>74</v>
      </c>
      <c r="BO334" t="s">
        <v>74</v>
      </c>
      <c r="BP334" t="s">
        <v>74</v>
      </c>
      <c r="BQ334" t="s">
        <v>74</v>
      </c>
      <c r="BR334" t="s">
        <v>74</v>
      </c>
      <c r="BS334" t="s">
        <v>2618</v>
      </c>
      <c r="BT334" t="str">
        <f>HYPERLINK("https%3A%2F%2Fwww.webofscience.com%2Fwos%2Fwoscc%2Ffull-record%2FWOS:000470963300005","View Full Record in Web of Science")</f>
        <v>View Full Record in Web of Science</v>
      </c>
    </row>
    <row r="335" spans="1:72" x14ac:dyDescent="0.2">
      <c r="A335" t="s">
        <v>72</v>
      </c>
      <c r="B335" t="s">
        <v>2619</v>
      </c>
      <c r="C335" t="s">
        <v>74</v>
      </c>
      <c r="D335" t="s">
        <v>74</v>
      </c>
      <c r="E335" t="s">
        <v>74</v>
      </c>
      <c r="F335" t="s">
        <v>2620</v>
      </c>
      <c r="G335" t="s">
        <v>74</v>
      </c>
      <c r="H335" t="s">
        <v>74</v>
      </c>
      <c r="I335" t="s">
        <v>2621</v>
      </c>
      <c r="J335" t="s">
        <v>656</v>
      </c>
      <c r="K335" t="s">
        <v>74</v>
      </c>
      <c r="L335" t="s">
        <v>74</v>
      </c>
      <c r="M335" t="s">
        <v>74</v>
      </c>
      <c r="N335" t="s">
        <v>74</v>
      </c>
      <c r="O335" t="s">
        <v>74</v>
      </c>
      <c r="P335" t="s">
        <v>74</v>
      </c>
      <c r="Q335" t="s">
        <v>74</v>
      </c>
      <c r="R335" t="s">
        <v>74</v>
      </c>
      <c r="S335" t="s">
        <v>74</v>
      </c>
      <c r="T335" t="s">
        <v>74</v>
      </c>
      <c r="U335" t="s">
        <v>74</v>
      </c>
      <c r="V335" t="s">
        <v>74</v>
      </c>
      <c r="W335" t="s">
        <v>74</v>
      </c>
      <c r="X335" t="s">
        <v>74</v>
      </c>
      <c r="Y335" t="s">
        <v>74</v>
      </c>
      <c r="Z335" t="s">
        <v>74</v>
      </c>
      <c r="AA335" t="s">
        <v>2622</v>
      </c>
      <c r="AB335" t="s">
        <v>2623</v>
      </c>
      <c r="AC335" t="s">
        <v>74</v>
      </c>
      <c r="AD335" t="s">
        <v>74</v>
      </c>
      <c r="AE335" t="s">
        <v>74</v>
      </c>
      <c r="AF335" t="s">
        <v>74</v>
      </c>
      <c r="AG335" t="s">
        <v>74</v>
      </c>
      <c r="AH335" t="s">
        <v>74</v>
      </c>
      <c r="AI335" t="s">
        <v>74</v>
      </c>
      <c r="AJ335" t="s">
        <v>74</v>
      </c>
      <c r="AK335" t="s">
        <v>74</v>
      </c>
      <c r="AL335" t="s">
        <v>74</v>
      </c>
      <c r="AM335" t="s">
        <v>74</v>
      </c>
      <c r="AN335" t="s">
        <v>74</v>
      </c>
      <c r="AO335" t="s">
        <v>658</v>
      </c>
      <c r="AP335" t="s">
        <v>74</v>
      </c>
      <c r="AQ335" t="s">
        <v>74</v>
      </c>
      <c r="AR335" t="s">
        <v>74</v>
      </c>
      <c r="AS335" t="s">
        <v>74</v>
      </c>
      <c r="AT335" t="s">
        <v>2624</v>
      </c>
      <c r="AU335">
        <v>2019</v>
      </c>
      <c r="AV335">
        <v>174</v>
      </c>
      <c r="AW335" t="s">
        <v>74</v>
      </c>
      <c r="AX335" t="s">
        <v>74</v>
      </c>
      <c r="AY335" t="s">
        <v>74</v>
      </c>
      <c r="AZ335" t="s">
        <v>632</v>
      </c>
      <c r="BA335" t="s">
        <v>74</v>
      </c>
      <c r="BB335">
        <v>162</v>
      </c>
      <c r="BC335">
        <v>172</v>
      </c>
      <c r="BD335" t="s">
        <v>74</v>
      </c>
      <c r="BE335" t="s">
        <v>2625</v>
      </c>
      <c r="BF335" t="str">
        <f>HYPERLINK("http://dx.doi.org/10.1016/j.pocean.2018.10.011","http://dx.doi.org/10.1016/j.pocean.2018.10.011")</f>
        <v>http://dx.doi.org/10.1016/j.pocean.2018.10.011</v>
      </c>
      <c r="BG335" t="s">
        <v>74</v>
      </c>
      <c r="BH335" t="s">
        <v>74</v>
      </c>
      <c r="BI335" t="s">
        <v>74</v>
      </c>
      <c r="BJ335" t="s">
        <v>74</v>
      </c>
      <c r="BK335" t="s">
        <v>74</v>
      </c>
      <c r="BL335" t="s">
        <v>74</v>
      </c>
      <c r="BM335" t="s">
        <v>74</v>
      </c>
      <c r="BN335" t="s">
        <v>74</v>
      </c>
      <c r="BO335" t="s">
        <v>74</v>
      </c>
      <c r="BP335" t="s">
        <v>74</v>
      </c>
      <c r="BQ335" t="s">
        <v>74</v>
      </c>
      <c r="BR335" t="s">
        <v>74</v>
      </c>
      <c r="BS335" t="s">
        <v>2626</v>
      </c>
      <c r="BT335" t="str">
        <f>HYPERLINK("https%3A%2F%2Fwww.webofscience.com%2Fwos%2Fwoscc%2Ffull-record%2FWOS:000471364200016","View Full Record in Web of Science")</f>
        <v>View Full Record in Web of Science</v>
      </c>
    </row>
    <row r="336" spans="1:72" x14ac:dyDescent="0.2">
      <c r="A336" t="s">
        <v>72</v>
      </c>
      <c r="B336" t="s">
        <v>2627</v>
      </c>
      <c r="C336" t="s">
        <v>74</v>
      </c>
      <c r="D336" t="s">
        <v>74</v>
      </c>
      <c r="E336" t="s">
        <v>74</v>
      </c>
      <c r="F336" t="s">
        <v>2628</v>
      </c>
      <c r="G336" t="s">
        <v>74</v>
      </c>
      <c r="H336" t="s">
        <v>74</v>
      </c>
      <c r="I336" t="s">
        <v>2629</v>
      </c>
      <c r="J336" t="s">
        <v>2630</v>
      </c>
      <c r="K336" t="s">
        <v>74</v>
      </c>
      <c r="L336" t="s">
        <v>74</v>
      </c>
      <c r="M336" t="s">
        <v>74</v>
      </c>
      <c r="N336" t="s">
        <v>74</v>
      </c>
      <c r="O336" t="s">
        <v>74</v>
      </c>
      <c r="P336" t="s">
        <v>74</v>
      </c>
      <c r="Q336" t="s">
        <v>74</v>
      </c>
      <c r="R336" t="s">
        <v>74</v>
      </c>
      <c r="S336" t="s">
        <v>74</v>
      </c>
      <c r="T336" t="s">
        <v>74</v>
      </c>
      <c r="U336" t="s">
        <v>74</v>
      </c>
      <c r="V336" t="s">
        <v>74</v>
      </c>
      <c r="W336" t="s">
        <v>74</v>
      </c>
      <c r="X336" t="s">
        <v>74</v>
      </c>
      <c r="Y336" t="s">
        <v>74</v>
      </c>
      <c r="Z336" t="s">
        <v>74</v>
      </c>
      <c r="AA336" t="s">
        <v>2631</v>
      </c>
      <c r="AB336" t="s">
        <v>6971</v>
      </c>
      <c r="AC336" t="s">
        <v>74</v>
      </c>
      <c r="AD336" t="s">
        <v>74</v>
      </c>
      <c r="AE336" t="s">
        <v>74</v>
      </c>
      <c r="AF336" t="s">
        <v>74</v>
      </c>
      <c r="AG336" t="s">
        <v>74</v>
      </c>
      <c r="AH336" t="s">
        <v>74</v>
      </c>
      <c r="AI336" t="s">
        <v>74</v>
      </c>
      <c r="AJ336" t="s">
        <v>74</v>
      </c>
      <c r="AK336" t="s">
        <v>74</v>
      </c>
      <c r="AL336" t="s">
        <v>74</v>
      </c>
      <c r="AM336" t="s">
        <v>74</v>
      </c>
      <c r="AN336" t="s">
        <v>74</v>
      </c>
      <c r="AO336" t="s">
        <v>74</v>
      </c>
      <c r="AP336" t="s">
        <v>2632</v>
      </c>
      <c r="AQ336" t="s">
        <v>74</v>
      </c>
      <c r="AR336" t="s">
        <v>74</v>
      </c>
      <c r="AS336" t="s">
        <v>74</v>
      </c>
      <c r="AT336" t="s">
        <v>575</v>
      </c>
      <c r="AU336">
        <v>2019</v>
      </c>
      <c r="AV336">
        <v>10</v>
      </c>
      <c r="AW336">
        <v>5</v>
      </c>
      <c r="AX336" t="s">
        <v>74</v>
      </c>
      <c r="AY336" t="s">
        <v>74</v>
      </c>
      <c r="AZ336" t="s">
        <v>74</v>
      </c>
      <c r="BA336" t="s">
        <v>74</v>
      </c>
      <c r="BB336" t="s">
        <v>74</v>
      </c>
      <c r="BC336" t="s">
        <v>74</v>
      </c>
      <c r="BD336">
        <v>125</v>
      </c>
      <c r="BE336" t="s">
        <v>2633</v>
      </c>
      <c r="BF336" t="str">
        <f>HYPERLINK("http://dx.doi.org/10.3390/insects10050125","http://dx.doi.org/10.3390/insects10050125")</f>
        <v>http://dx.doi.org/10.3390/insects10050125</v>
      </c>
      <c r="BG336" t="s">
        <v>74</v>
      </c>
      <c r="BH336" t="s">
        <v>74</v>
      </c>
      <c r="BI336" t="s">
        <v>74</v>
      </c>
      <c r="BJ336" t="s">
        <v>74</v>
      </c>
      <c r="BK336" t="s">
        <v>74</v>
      </c>
      <c r="BL336" t="s">
        <v>74</v>
      </c>
      <c r="BM336" t="s">
        <v>74</v>
      </c>
      <c r="BN336">
        <v>31052441</v>
      </c>
      <c r="BO336" t="s">
        <v>74</v>
      </c>
      <c r="BP336" t="s">
        <v>74</v>
      </c>
      <c r="BQ336" t="s">
        <v>74</v>
      </c>
      <c r="BR336" t="s">
        <v>74</v>
      </c>
      <c r="BS336" t="s">
        <v>2634</v>
      </c>
      <c r="BT336" t="str">
        <f>HYPERLINK("https%3A%2F%2Fwww.webofscience.com%2Fwos%2Fwoscc%2Ffull-record%2FWOS:000476846800007","View Full Record in Web of Science")</f>
        <v>View Full Record in Web of Science</v>
      </c>
    </row>
    <row r="337" spans="1:72" x14ac:dyDescent="0.2">
      <c r="A337" t="s">
        <v>72</v>
      </c>
      <c r="B337" t="s">
        <v>2635</v>
      </c>
      <c r="C337" t="s">
        <v>74</v>
      </c>
      <c r="D337" t="s">
        <v>74</v>
      </c>
      <c r="E337" t="s">
        <v>74</v>
      </c>
      <c r="F337" t="s">
        <v>2636</v>
      </c>
      <c r="G337" t="s">
        <v>74</v>
      </c>
      <c r="H337" t="s">
        <v>74</v>
      </c>
      <c r="I337" t="s">
        <v>2637</v>
      </c>
      <c r="J337" t="s">
        <v>423</v>
      </c>
      <c r="K337" t="s">
        <v>74</v>
      </c>
      <c r="L337" t="s">
        <v>74</v>
      </c>
      <c r="M337" t="s">
        <v>74</v>
      </c>
      <c r="N337" t="s">
        <v>74</v>
      </c>
      <c r="O337" t="s">
        <v>74</v>
      </c>
      <c r="P337" t="s">
        <v>74</v>
      </c>
      <c r="Q337" t="s">
        <v>74</v>
      </c>
      <c r="R337" t="s">
        <v>74</v>
      </c>
      <c r="S337" t="s">
        <v>74</v>
      </c>
      <c r="T337" t="s">
        <v>74</v>
      </c>
      <c r="U337" t="s">
        <v>74</v>
      </c>
      <c r="V337" t="s">
        <v>74</v>
      </c>
      <c r="W337" t="s">
        <v>74</v>
      </c>
      <c r="X337" t="s">
        <v>74</v>
      </c>
      <c r="Y337" t="s">
        <v>74</v>
      </c>
      <c r="Z337" t="s">
        <v>74</v>
      </c>
      <c r="AA337" t="s">
        <v>2638</v>
      </c>
      <c r="AB337" t="s">
        <v>6972</v>
      </c>
      <c r="AC337" t="s">
        <v>74</v>
      </c>
      <c r="AD337" t="s">
        <v>74</v>
      </c>
      <c r="AE337" t="s">
        <v>74</v>
      </c>
      <c r="AF337" t="s">
        <v>74</v>
      </c>
      <c r="AG337" t="s">
        <v>74</v>
      </c>
      <c r="AH337" t="s">
        <v>74</v>
      </c>
      <c r="AI337" t="s">
        <v>74</v>
      </c>
      <c r="AJ337" t="s">
        <v>74</v>
      </c>
      <c r="AK337" t="s">
        <v>74</v>
      </c>
      <c r="AL337" t="s">
        <v>74</v>
      </c>
      <c r="AM337" t="s">
        <v>74</v>
      </c>
      <c r="AN337" t="s">
        <v>74</v>
      </c>
      <c r="AO337" t="s">
        <v>425</v>
      </c>
      <c r="AP337" t="s">
        <v>426</v>
      </c>
      <c r="AQ337" t="s">
        <v>74</v>
      </c>
      <c r="AR337" t="s">
        <v>74</v>
      </c>
      <c r="AS337" t="s">
        <v>74</v>
      </c>
      <c r="AT337" t="s">
        <v>575</v>
      </c>
      <c r="AU337">
        <v>2019</v>
      </c>
      <c r="AV337">
        <v>64</v>
      </c>
      <c r="AW337">
        <v>5</v>
      </c>
      <c r="AX337" t="s">
        <v>74</v>
      </c>
      <c r="AY337" t="s">
        <v>74</v>
      </c>
      <c r="AZ337" t="s">
        <v>74</v>
      </c>
      <c r="BA337" t="s">
        <v>74</v>
      </c>
      <c r="BB337">
        <v>903</v>
      </c>
      <c r="BC337">
        <v>912</v>
      </c>
      <c r="BD337" t="s">
        <v>74</v>
      </c>
      <c r="BE337" t="s">
        <v>2639</v>
      </c>
      <c r="BF337" t="str">
        <f>HYPERLINK("http://dx.doi.org/10.1111/fwb.13272","http://dx.doi.org/10.1111/fwb.13272")</f>
        <v>http://dx.doi.org/10.1111/fwb.13272</v>
      </c>
      <c r="BG337" t="s">
        <v>74</v>
      </c>
      <c r="BH337" t="s">
        <v>74</v>
      </c>
      <c r="BI337" t="s">
        <v>74</v>
      </c>
      <c r="BJ337" t="s">
        <v>74</v>
      </c>
      <c r="BK337" t="s">
        <v>74</v>
      </c>
      <c r="BL337" t="s">
        <v>74</v>
      </c>
      <c r="BM337" t="s">
        <v>74</v>
      </c>
      <c r="BN337" t="s">
        <v>74</v>
      </c>
      <c r="BO337" t="s">
        <v>74</v>
      </c>
      <c r="BP337" t="s">
        <v>74</v>
      </c>
      <c r="BQ337" t="s">
        <v>74</v>
      </c>
      <c r="BR337" t="s">
        <v>74</v>
      </c>
      <c r="BS337" t="s">
        <v>2640</v>
      </c>
      <c r="BT337" t="str">
        <f>HYPERLINK("https%3A%2F%2Fwww.webofscience.com%2Fwos%2Fwoscc%2Ffull-record%2FWOS:000466805700007","View Full Record in Web of Science")</f>
        <v>View Full Record in Web of Science</v>
      </c>
    </row>
    <row r="338" spans="1:72" x14ac:dyDescent="0.2">
      <c r="A338" t="s">
        <v>72</v>
      </c>
      <c r="B338" t="s">
        <v>2641</v>
      </c>
      <c r="C338" t="s">
        <v>74</v>
      </c>
      <c r="D338" t="s">
        <v>74</v>
      </c>
      <c r="E338" t="s">
        <v>74</v>
      </c>
      <c r="F338" t="s">
        <v>2642</v>
      </c>
      <c r="G338" t="s">
        <v>74</v>
      </c>
      <c r="H338" t="s">
        <v>74</v>
      </c>
      <c r="I338" t="s">
        <v>2643</v>
      </c>
      <c r="J338" t="s">
        <v>973</v>
      </c>
      <c r="K338" t="s">
        <v>74</v>
      </c>
      <c r="L338" t="s">
        <v>74</v>
      </c>
      <c r="M338" t="s">
        <v>74</v>
      </c>
      <c r="N338" t="s">
        <v>74</v>
      </c>
      <c r="O338" t="s">
        <v>74</v>
      </c>
      <c r="P338" t="s">
        <v>74</v>
      </c>
      <c r="Q338" t="s">
        <v>74</v>
      </c>
      <c r="R338" t="s">
        <v>74</v>
      </c>
      <c r="S338" t="s">
        <v>74</v>
      </c>
      <c r="T338" t="s">
        <v>74</v>
      </c>
      <c r="U338" t="s">
        <v>74</v>
      </c>
      <c r="V338" t="s">
        <v>74</v>
      </c>
      <c r="W338" t="s">
        <v>74</v>
      </c>
      <c r="X338" t="s">
        <v>74</v>
      </c>
      <c r="Y338" t="s">
        <v>74</v>
      </c>
      <c r="Z338" t="s">
        <v>74</v>
      </c>
      <c r="AA338" t="s">
        <v>74</v>
      </c>
      <c r="AB338" t="s">
        <v>74</v>
      </c>
      <c r="AC338" t="s">
        <v>74</v>
      </c>
      <c r="AD338" t="s">
        <v>74</v>
      </c>
      <c r="AE338" t="s">
        <v>74</v>
      </c>
      <c r="AF338" t="s">
        <v>74</v>
      </c>
      <c r="AG338" t="s">
        <v>74</v>
      </c>
      <c r="AH338" t="s">
        <v>74</v>
      </c>
      <c r="AI338" t="s">
        <v>74</v>
      </c>
      <c r="AJ338" t="s">
        <v>74</v>
      </c>
      <c r="AK338" t="s">
        <v>74</v>
      </c>
      <c r="AL338" t="s">
        <v>74</v>
      </c>
      <c r="AM338" t="s">
        <v>74</v>
      </c>
      <c r="AN338" t="s">
        <v>74</v>
      </c>
      <c r="AO338" t="s">
        <v>974</v>
      </c>
      <c r="AP338" t="s">
        <v>975</v>
      </c>
      <c r="AQ338" t="s">
        <v>74</v>
      </c>
      <c r="AR338" t="s">
        <v>74</v>
      </c>
      <c r="AS338" t="s">
        <v>74</v>
      </c>
      <c r="AT338" t="s">
        <v>2644</v>
      </c>
      <c r="AU338">
        <v>2019</v>
      </c>
      <c r="AV338">
        <v>219</v>
      </c>
      <c r="AW338" t="s">
        <v>74</v>
      </c>
      <c r="AX338" t="s">
        <v>74</v>
      </c>
      <c r="AY338" t="s">
        <v>74</v>
      </c>
      <c r="AZ338" t="s">
        <v>74</v>
      </c>
      <c r="BA338" t="s">
        <v>74</v>
      </c>
      <c r="BB338">
        <v>341</v>
      </c>
      <c r="BC338">
        <v>353</v>
      </c>
      <c r="BD338" t="s">
        <v>74</v>
      </c>
      <c r="BE338" t="s">
        <v>2645</v>
      </c>
      <c r="BF338" t="str">
        <f>HYPERLINK("http://dx.doi.org/10.1016/j.ecss.2019.01.021","http://dx.doi.org/10.1016/j.ecss.2019.01.021")</f>
        <v>http://dx.doi.org/10.1016/j.ecss.2019.01.021</v>
      </c>
      <c r="BG338" t="s">
        <v>74</v>
      </c>
      <c r="BH338" t="s">
        <v>74</v>
      </c>
      <c r="BI338" t="s">
        <v>74</v>
      </c>
      <c r="BJ338" t="s">
        <v>74</v>
      </c>
      <c r="BK338" t="s">
        <v>74</v>
      </c>
      <c r="BL338" t="s">
        <v>74</v>
      </c>
      <c r="BM338" t="s">
        <v>74</v>
      </c>
      <c r="BN338" t="s">
        <v>74</v>
      </c>
      <c r="BO338" t="s">
        <v>74</v>
      </c>
      <c r="BP338" t="s">
        <v>74</v>
      </c>
      <c r="BQ338" t="s">
        <v>74</v>
      </c>
      <c r="BR338" t="s">
        <v>74</v>
      </c>
      <c r="BS338" t="s">
        <v>2646</v>
      </c>
      <c r="BT338" t="str">
        <f>HYPERLINK("https%3A%2F%2Fwww.webofscience.com%2Fwos%2Fwoscc%2Ffull-record%2FWOS:000462100000033","View Full Record in Web of Science")</f>
        <v>View Full Record in Web of Science</v>
      </c>
    </row>
    <row r="339" spans="1:72" x14ac:dyDescent="0.2">
      <c r="A339" t="s">
        <v>72</v>
      </c>
      <c r="B339" t="s">
        <v>2647</v>
      </c>
      <c r="C339" t="s">
        <v>74</v>
      </c>
      <c r="D339" t="s">
        <v>74</v>
      </c>
      <c r="E339" t="s">
        <v>74</v>
      </c>
      <c r="F339" t="s">
        <v>2648</v>
      </c>
      <c r="G339" t="s">
        <v>74</v>
      </c>
      <c r="H339" t="s">
        <v>74</v>
      </c>
      <c r="I339" t="s">
        <v>2649</v>
      </c>
      <c r="J339" t="s">
        <v>656</v>
      </c>
      <c r="K339" t="s">
        <v>74</v>
      </c>
      <c r="L339" t="s">
        <v>74</v>
      </c>
      <c r="M339" t="s">
        <v>74</v>
      </c>
      <c r="N339" t="s">
        <v>74</v>
      </c>
      <c r="O339" t="s">
        <v>74</v>
      </c>
      <c r="P339" t="s">
        <v>74</v>
      </c>
      <c r="Q339" t="s">
        <v>74</v>
      </c>
      <c r="R339" t="s">
        <v>74</v>
      </c>
      <c r="S339" t="s">
        <v>74</v>
      </c>
      <c r="T339" t="s">
        <v>74</v>
      </c>
      <c r="U339" t="s">
        <v>74</v>
      </c>
      <c r="V339" t="s">
        <v>74</v>
      </c>
      <c r="W339" t="s">
        <v>74</v>
      </c>
      <c r="X339" t="s">
        <v>74</v>
      </c>
      <c r="Y339" t="s">
        <v>74</v>
      </c>
      <c r="Z339" t="s">
        <v>74</v>
      </c>
      <c r="AA339" t="s">
        <v>2622</v>
      </c>
      <c r="AB339" t="s">
        <v>6973</v>
      </c>
      <c r="AC339" t="s">
        <v>74</v>
      </c>
      <c r="AD339" t="s">
        <v>74</v>
      </c>
      <c r="AE339" t="s">
        <v>74</v>
      </c>
      <c r="AF339" t="s">
        <v>74</v>
      </c>
      <c r="AG339" t="s">
        <v>74</v>
      </c>
      <c r="AH339" t="s">
        <v>74</v>
      </c>
      <c r="AI339" t="s">
        <v>74</v>
      </c>
      <c r="AJ339" t="s">
        <v>74</v>
      </c>
      <c r="AK339" t="s">
        <v>74</v>
      </c>
      <c r="AL339" t="s">
        <v>74</v>
      </c>
      <c r="AM339" t="s">
        <v>74</v>
      </c>
      <c r="AN339" t="s">
        <v>74</v>
      </c>
      <c r="AO339" t="s">
        <v>658</v>
      </c>
      <c r="AP339" t="s">
        <v>659</v>
      </c>
      <c r="AQ339" t="s">
        <v>74</v>
      </c>
      <c r="AR339" t="s">
        <v>74</v>
      </c>
      <c r="AS339" t="s">
        <v>74</v>
      </c>
      <c r="AT339" t="s">
        <v>203</v>
      </c>
      <c r="AU339">
        <v>2019</v>
      </c>
      <c r="AV339">
        <v>173</v>
      </c>
      <c r="AW339" t="s">
        <v>74</v>
      </c>
      <c r="AX339" t="s">
        <v>74</v>
      </c>
      <c r="AY339" t="s">
        <v>74</v>
      </c>
      <c r="AZ339" t="s">
        <v>74</v>
      </c>
      <c r="BA339" t="s">
        <v>74</v>
      </c>
      <c r="BB339">
        <v>103</v>
      </c>
      <c r="BC339">
        <v>113</v>
      </c>
      <c r="BD339" t="s">
        <v>74</v>
      </c>
      <c r="BE339" t="s">
        <v>2650</v>
      </c>
      <c r="BF339" t="str">
        <f>HYPERLINK("http://dx.doi.org/10.1016/j.pocean.2019.02.012","http://dx.doi.org/10.1016/j.pocean.2019.02.012")</f>
        <v>http://dx.doi.org/10.1016/j.pocean.2019.02.012</v>
      </c>
      <c r="BG339" t="s">
        <v>74</v>
      </c>
      <c r="BH339" t="s">
        <v>74</v>
      </c>
      <c r="BI339" t="s">
        <v>74</v>
      </c>
      <c r="BJ339" t="s">
        <v>74</v>
      </c>
      <c r="BK339" t="s">
        <v>74</v>
      </c>
      <c r="BL339" t="s">
        <v>74</v>
      </c>
      <c r="BM339" t="s">
        <v>74</v>
      </c>
      <c r="BN339" t="s">
        <v>74</v>
      </c>
      <c r="BO339" t="s">
        <v>74</v>
      </c>
      <c r="BP339" t="s">
        <v>74</v>
      </c>
      <c r="BQ339" t="s">
        <v>74</v>
      </c>
      <c r="BR339" t="s">
        <v>74</v>
      </c>
      <c r="BS339" t="s">
        <v>2651</v>
      </c>
      <c r="BT339" t="str">
        <f>HYPERLINK("https%3A%2F%2Fwww.webofscience.com%2Fwos%2Fwoscc%2Ffull-record%2FWOS:000471739000009","View Full Record in Web of Science")</f>
        <v>View Full Record in Web of Science</v>
      </c>
    </row>
    <row r="340" spans="1:72" x14ac:dyDescent="0.2">
      <c r="A340" t="s">
        <v>72</v>
      </c>
      <c r="B340" t="s">
        <v>2652</v>
      </c>
      <c r="C340" t="s">
        <v>74</v>
      </c>
      <c r="D340" t="s">
        <v>74</v>
      </c>
      <c r="E340" t="s">
        <v>74</v>
      </c>
      <c r="F340" t="s">
        <v>2653</v>
      </c>
      <c r="G340" t="s">
        <v>74</v>
      </c>
      <c r="H340" t="s">
        <v>74</v>
      </c>
      <c r="I340" t="s">
        <v>2654</v>
      </c>
      <c r="J340" t="s">
        <v>423</v>
      </c>
      <c r="K340" t="s">
        <v>74</v>
      </c>
      <c r="L340" t="s">
        <v>74</v>
      </c>
      <c r="M340" t="s">
        <v>74</v>
      </c>
      <c r="N340" t="s">
        <v>74</v>
      </c>
      <c r="O340" t="s">
        <v>74</v>
      </c>
      <c r="P340" t="s">
        <v>74</v>
      </c>
      <c r="Q340" t="s">
        <v>74</v>
      </c>
      <c r="R340" t="s">
        <v>74</v>
      </c>
      <c r="S340" t="s">
        <v>74</v>
      </c>
      <c r="T340" t="s">
        <v>74</v>
      </c>
      <c r="U340" t="s">
        <v>74</v>
      </c>
      <c r="V340" t="s">
        <v>74</v>
      </c>
      <c r="W340" t="s">
        <v>74</v>
      </c>
      <c r="X340" t="s">
        <v>74</v>
      </c>
      <c r="Y340" t="s">
        <v>74</v>
      </c>
      <c r="Z340" t="s">
        <v>74</v>
      </c>
      <c r="AA340" t="s">
        <v>74</v>
      </c>
      <c r="AB340" t="s">
        <v>2655</v>
      </c>
      <c r="AC340" t="s">
        <v>74</v>
      </c>
      <c r="AD340" t="s">
        <v>74</v>
      </c>
      <c r="AE340" t="s">
        <v>74</v>
      </c>
      <c r="AF340" t="s">
        <v>74</v>
      </c>
      <c r="AG340" t="s">
        <v>74</v>
      </c>
      <c r="AH340" t="s">
        <v>74</v>
      </c>
      <c r="AI340" t="s">
        <v>74</v>
      </c>
      <c r="AJ340" t="s">
        <v>74</v>
      </c>
      <c r="AK340" t="s">
        <v>74</v>
      </c>
      <c r="AL340" t="s">
        <v>74</v>
      </c>
      <c r="AM340" t="s">
        <v>74</v>
      </c>
      <c r="AN340" t="s">
        <v>74</v>
      </c>
      <c r="AO340" t="s">
        <v>425</v>
      </c>
      <c r="AP340" t="s">
        <v>426</v>
      </c>
      <c r="AQ340" t="s">
        <v>74</v>
      </c>
      <c r="AR340" t="s">
        <v>74</v>
      </c>
      <c r="AS340" t="s">
        <v>74</v>
      </c>
      <c r="AT340" t="s">
        <v>203</v>
      </c>
      <c r="AU340">
        <v>2019</v>
      </c>
      <c r="AV340">
        <v>64</v>
      </c>
      <c r="AW340">
        <v>4</v>
      </c>
      <c r="AX340" t="s">
        <v>74</v>
      </c>
      <c r="AY340" t="s">
        <v>74</v>
      </c>
      <c r="AZ340" t="s">
        <v>74</v>
      </c>
      <c r="BA340" t="s">
        <v>74</v>
      </c>
      <c r="BB340">
        <v>697</v>
      </c>
      <c r="BC340">
        <v>707</v>
      </c>
      <c r="BD340" t="s">
        <v>74</v>
      </c>
      <c r="BE340" t="s">
        <v>2656</v>
      </c>
      <c r="BF340" t="str">
        <f>HYPERLINK("http://dx.doi.org/10.1111/fwb.13255","http://dx.doi.org/10.1111/fwb.13255")</f>
        <v>http://dx.doi.org/10.1111/fwb.13255</v>
      </c>
      <c r="BG340" t="s">
        <v>74</v>
      </c>
      <c r="BH340" t="s">
        <v>74</v>
      </c>
      <c r="BI340" t="s">
        <v>74</v>
      </c>
      <c r="BJ340" t="s">
        <v>74</v>
      </c>
      <c r="BK340" t="s">
        <v>74</v>
      </c>
      <c r="BL340" t="s">
        <v>74</v>
      </c>
      <c r="BM340" t="s">
        <v>74</v>
      </c>
      <c r="BN340" t="s">
        <v>74</v>
      </c>
      <c r="BO340" t="s">
        <v>74</v>
      </c>
      <c r="BP340" t="s">
        <v>74</v>
      </c>
      <c r="BQ340" t="s">
        <v>74</v>
      </c>
      <c r="BR340" t="s">
        <v>74</v>
      </c>
      <c r="BS340" t="s">
        <v>2657</v>
      </c>
      <c r="BT340" t="str">
        <f>HYPERLINK("https%3A%2F%2Fwww.webofscience.com%2Fwos%2Fwoscc%2Ffull-record%2FWOS:000461212700007","View Full Record in Web of Science")</f>
        <v>View Full Record in Web of Science</v>
      </c>
    </row>
    <row r="341" spans="1:72" x14ac:dyDescent="0.2">
      <c r="A341" t="s">
        <v>72</v>
      </c>
      <c r="B341" t="s">
        <v>2658</v>
      </c>
      <c r="C341" t="s">
        <v>74</v>
      </c>
      <c r="D341" t="s">
        <v>74</v>
      </c>
      <c r="E341" t="s">
        <v>74</v>
      </c>
      <c r="F341" t="s">
        <v>2659</v>
      </c>
      <c r="G341" t="s">
        <v>74</v>
      </c>
      <c r="H341" t="s">
        <v>74</v>
      </c>
      <c r="I341" t="s">
        <v>2660</v>
      </c>
      <c r="J341" t="s">
        <v>1716</v>
      </c>
      <c r="K341" t="s">
        <v>74</v>
      </c>
      <c r="L341" t="s">
        <v>74</v>
      </c>
      <c r="M341" t="s">
        <v>74</v>
      </c>
      <c r="N341" t="s">
        <v>74</v>
      </c>
      <c r="O341" t="s">
        <v>74</v>
      </c>
      <c r="P341" t="s">
        <v>74</v>
      </c>
      <c r="Q341" t="s">
        <v>74</v>
      </c>
      <c r="R341" t="s">
        <v>74</v>
      </c>
      <c r="S341" t="s">
        <v>74</v>
      </c>
      <c r="T341" t="s">
        <v>74</v>
      </c>
      <c r="U341" t="s">
        <v>74</v>
      </c>
      <c r="V341" t="s">
        <v>74</v>
      </c>
      <c r="W341" t="s">
        <v>74</v>
      </c>
      <c r="X341" t="s">
        <v>74</v>
      </c>
      <c r="Y341" t="s">
        <v>74</v>
      </c>
      <c r="Z341" t="s">
        <v>74</v>
      </c>
      <c r="AA341" t="s">
        <v>74</v>
      </c>
      <c r="AB341" t="s">
        <v>2661</v>
      </c>
      <c r="AC341" t="s">
        <v>74</v>
      </c>
      <c r="AD341" t="s">
        <v>74</v>
      </c>
      <c r="AE341" t="s">
        <v>74</v>
      </c>
      <c r="AF341" t="s">
        <v>74</v>
      </c>
      <c r="AG341" t="s">
        <v>74</v>
      </c>
      <c r="AH341" t="s">
        <v>74</v>
      </c>
      <c r="AI341" t="s">
        <v>74</v>
      </c>
      <c r="AJ341" t="s">
        <v>74</v>
      </c>
      <c r="AK341" t="s">
        <v>74</v>
      </c>
      <c r="AL341" t="s">
        <v>74</v>
      </c>
      <c r="AM341" t="s">
        <v>74</v>
      </c>
      <c r="AN341" t="s">
        <v>74</v>
      </c>
      <c r="AO341" t="s">
        <v>1717</v>
      </c>
      <c r="AP341" t="s">
        <v>1718</v>
      </c>
      <c r="AQ341" t="s">
        <v>74</v>
      </c>
      <c r="AR341" t="s">
        <v>74</v>
      </c>
      <c r="AS341" t="s">
        <v>74</v>
      </c>
      <c r="AT341" t="s">
        <v>203</v>
      </c>
      <c r="AU341">
        <v>2019</v>
      </c>
      <c r="AV341">
        <v>55</v>
      </c>
      <c r="AW341">
        <v>2</v>
      </c>
      <c r="AX341" t="s">
        <v>74</v>
      </c>
      <c r="AY341" t="s">
        <v>74</v>
      </c>
      <c r="AZ341" t="s">
        <v>74</v>
      </c>
      <c r="BA341" t="s">
        <v>74</v>
      </c>
      <c r="BB341">
        <v>404</v>
      </c>
      <c r="BC341">
        <v>414</v>
      </c>
      <c r="BD341" t="s">
        <v>74</v>
      </c>
      <c r="BE341" t="s">
        <v>2662</v>
      </c>
      <c r="BF341" t="str">
        <f>HYPERLINK("http://dx.doi.org/10.1111/jpy.12826","http://dx.doi.org/10.1111/jpy.12826")</f>
        <v>http://dx.doi.org/10.1111/jpy.12826</v>
      </c>
      <c r="BG341" t="s">
        <v>74</v>
      </c>
      <c r="BH341" t="s">
        <v>74</v>
      </c>
      <c r="BI341" t="s">
        <v>74</v>
      </c>
      <c r="BJ341" t="s">
        <v>74</v>
      </c>
      <c r="BK341" t="s">
        <v>74</v>
      </c>
      <c r="BL341" t="s">
        <v>74</v>
      </c>
      <c r="BM341" t="s">
        <v>74</v>
      </c>
      <c r="BN341">
        <v>30556585</v>
      </c>
      <c r="BO341" t="s">
        <v>74</v>
      </c>
      <c r="BP341" t="s">
        <v>74</v>
      </c>
      <c r="BQ341" t="s">
        <v>74</v>
      </c>
      <c r="BR341" t="s">
        <v>74</v>
      </c>
      <c r="BS341" t="s">
        <v>2663</v>
      </c>
      <c r="BT341" t="str">
        <f>HYPERLINK("https%3A%2F%2Fwww.webofscience.com%2Fwos%2Fwoscc%2Ffull-record%2FWOS:000465097000013","View Full Record in Web of Science")</f>
        <v>View Full Record in Web of Science</v>
      </c>
    </row>
    <row r="342" spans="1:72" x14ac:dyDescent="0.2">
      <c r="A342" t="s">
        <v>72</v>
      </c>
      <c r="B342" t="s">
        <v>2664</v>
      </c>
      <c r="C342" t="s">
        <v>74</v>
      </c>
      <c r="D342" t="s">
        <v>74</v>
      </c>
      <c r="E342" t="s">
        <v>74</v>
      </c>
      <c r="F342" t="s">
        <v>2665</v>
      </c>
      <c r="G342" t="s">
        <v>74</v>
      </c>
      <c r="H342" t="s">
        <v>74</v>
      </c>
      <c r="I342" t="s">
        <v>2666</v>
      </c>
      <c r="J342" t="s">
        <v>124</v>
      </c>
      <c r="K342" t="s">
        <v>74</v>
      </c>
      <c r="L342" t="s">
        <v>74</v>
      </c>
      <c r="M342" t="s">
        <v>74</v>
      </c>
      <c r="N342" t="s">
        <v>74</v>
      </c>
      <c r="O342" t="s">
        <v>74</v>
      </c>
      <c r="P342" t="s">
        <v>74</v>
      </c>
      <c r="Q342" t="s">
        <v>74</v>
      </c>
      <c r="R342" t="s">
        <v>74</v>
      </c>
      <c r="S342" t="s">
        <v>74</v>
      </c>
      <c r="T342" t="s">
        <v>74</v>
      </c>
      <c r="U342" t="s">
        <v>74</v>
      </c>
      <c r="V342" t="s">
        <v>74</v>
      </c>
      <c r="W342" t="s">
        <v>74</v>
      </c>
      <c r="X342" t="s">
        <v>74</v>
      </c>
      <c r="Y342" t="s">
        <v>74</v>
      </c>
      <c r="Z342" t="s">
        <v>74</v>
      </c>
      <c r="AA342" t="s">
        <v>2667</v>
      </c>
      <c r="AB342" t="s">
        <v>2668</v>
      </c>
      <c r="AC342" t="s">
        <v>74</v>
      </c>
      <c r="AD342" t="s">
        <v>74</v>
      </c>
      <c r="AE342" t="s">
        <v>74</v>
      </c>
      <c r="AF342" t="s">
        <v>74</v>
      </c>
      <c r="AG342" t="s">
        <v>74</v>
      </c>
      <c r="AH342" t="s">
        <v>74</v>
      </c>
      <c r="AI342" t="s">
        <v>74</v>
      </c>
      <c r="AJ342" t="s">
        <v>74</v>
      </c>
      <c r="AK342" t="s">
        <v>74</v>
      </c>
      <c r="AL342" t="s">
        <v>74</v>
      </c>
      <c r="AM342" t="s">
        <v>74</v>
      </c>
      <c r="AN342" t="s">
        <v>74</v>
      </c>
      <c r="AO342" t="s">
        <v>127</v>
      </c>
      <c r="AP342" t="s">
        <v>128</v>
      </c>
      <c r="AQ342" t="s">
        <v>74</v>
      </c>
      <c r="AR342" t="s">
        <v>74</v>
      </c>
      <c r="AS342" t="s">
        <v>74</v>
      </c>
      <c r="AT342" t="s">
        <v>157</v>
      </c>
      <c r="AU342">
        <v>2019</v>
      </c>
      <c r="AV342">
        <v>831</v>
      </c>
      <c r="AW342">
        <v>1</v>
      </c>
      <c r="AX342" t="s">
        <v>74</v>
      </c>
      <c r="AY342" t="s">
        <v>74</v>
      </c>
      <c r="AZ342" t="s">
        <v>632</v>
      </c>
      <c r="BA342" t="s">
        <v>74</v>
      </c>
      <c r="BB342">
        <v>43</v>
      </c>
      <c r="BC342">
        <v>54</v>
      </c>
      <c r="BD342" t="s">
        <v>74</v>
      </c>
      <c r="BE342" t="s">
        <v>2669</v>
      </c>
      <c r="BF342" t="str">
        <f>HYPERLINK("http://dx.doi.org/10.1007/s10750-018-3583-2","http://dx.doi.org/10.1007/s10750-018-3583-2")</f>
        <v>http://dx.doi.org/10.1007/s10750-018-3583-2</v>
      </c>
      <c r="BG342" t="s">
        <v>74</v>
      </c>
      <c r="BH342" t="s">
        <v>74</v>
      </c>
      <c r="BI342" t="s">
        <v>74</v>
      </c>
      <c r="BJ342" t="s">
        <v>74</v>
      </c>
      <c r="BK342" t="s">
        <v>74</v>
      </c>
      <c r="BL342" t="s">
        <v>74</v>
      </c>
      <c r="BM342" t="s">
        <v>74</v>
      </c>
      <c r="BN342" t="s">
        <v>74</v>
      </c>
      <c r="BO342" t="s">
        <v>74</v>
      </c>
      <c r="BP342" t="s">
        <v>74</v>
      </c>
      <c r="BQ342" t="s">
        <v>74</v>
      </c>
      <c r="BR342" t="s">
        <v>74</v>
      </c>
      <c r="BS342" t="s">
        <v>2670</v>
      </c>
      <c r="BT342" t="str">
        <f>HYPERLINK("https%3A%2F%2Fwww.webofscience.com%2Fwos%2Fwoscc%2Ffull-record%2FWOS:000458372800005","View Full Record in Web of Science")</f>
        <v>View Full Record in Web of Science</v>
      </c>
    </row>
    <row r="343" spans="1:72" x14ac:dyDescent="0.2">
      <c r="A343" t="s">
        <v>72</v>
      </c>
      <c r="B343" t="s">
        <v>2671</v>
      </c>
      <c r="C343" t="s">
        <v>74</v>
      </c>
      <c r="D343" t="s">
        <v>74</v>
      </c>
      <c r="E343" t="s">
        <v>74</v>
      </c>
      <c r="F343" t="s">
        <v>2672</v>
      </c>
      <c r="G343" t="s">
        <v>74</v>
      </c>
      <c r="H343" t="s">
        <v>74</v>
      </c>
      <c r="I343" t="s">
        <v>2673</v>
      </c>
      <c r="J343" t="s">
        <v>227</v>
      </c>
      <c r="K343" t="s">
        <v>74</v>
      </c>
      <c r="L343" t="s">
        <v>74</v>
      </c>
      <c r="M343" t="s">
        <v>74</v>
      </c>
      <c r="N343" t="s">
        <v>74</v>
      </c>
      <c r="O343" t="s">
        <v>74</v>
      </c>
      <c r="P343" t="s">
        <v>74</v>
      </c>
      <c r="Q343" t="s">
        <v>74</v>
      </c>
      <c r="R343" t="s">
        <v>74</v>
      </c>
      <c r="S343" t="s">
        <v>74</v>
      </c>
      <c r="T343" t="s">
        <v>74</v>
      </c>
      <c r="U343" t="s">
        <v>74</v>
      </c>
      <c r="V343" t="s">
        <v>74</v>
      </c>
      <c r="W343" t="s">
        <v>74</v>
      </c>
      <c r="X343" t="s">
        <v>74</v>
      </c>
      <c r="Y343" t="s">
        <v>74</v>
      </c>
      <c r="Z343" t="s">
        <v>74</v>
      </c>
      <c r="AA343" t="s">
        <v>2674</v>
      </c>
      <c r="AB343" t="s">
        <v>2675</v>
      </c>
      <c r="AC343" t="s">
        <v>74</v>
      </c>
      <c r="AD343" t="s">
        <v>74</v>
      </c>
      <c r="AE343" t="s">
        <v>74</v>
      </c>
      <c r="AF343" t="s">
        <v>74</v>
      </c>
      <c r="AG343" t="s">
        <v>74</v>
      </c>
      <c r="AH343" t="s">
        <v>74</v>
      </c>
      <c r="AI343" t="s">
        <v>74</v>
      </c>
      <c r="AJ343" t="s">
        <v>74</v>
      </c>
      <c r="AK343" t="s">
        <v>74</v>
      </c>
      <c r="AL343" t="s">
        <v>74</v>
      </c>
      <c r="AM343" t="s">
        <v>74</v>
      </c>
      <c r="AN343" t="s">
        <v>74</v>
      </c>
      <c r="AO343" t="s">
        <v>230</v>
      </c>
      <c r="AP343" t="s">
        <v>231</v>
      </c>
      <c r="AQ343" t="s">
        <v>74</v>
      </c>
      <c r="AR343" t="s">
        <v>74</v>
      </c>
      <c r="AS343" t="s">
        <v>74</v>
      </c>
      <c r="AT343" t="s">
        <v>157</v>
      </c>
      <c r="AU343">
        <v>2019</v>
      </c>
      <c r="AV343">
        <v>64</v>
      </c>
      <c r="AW343">
        <v>2</v>
      </c>
      <c r="AX343" t="s">
        <v>74</v>
      </c>
      <c r="AY343" t="s">
        <v>74</v>
      </c>
      <c r="AZ343" t="s">
        <v>74</v>
      </c>
      <c r="BA343" t="s">
        <v>74</v>
      </c>
      <c r="BB343">
        <v>820</v>
      </c>
      <c r="BC343">
        <v>831</v>
      </c>
      <c r="BD343" t="s">
        <v>74</v>
      </c>
      <c r="BE343" t="s">
        <v>2676</v>
      </c>
      <c r="BF343" t="str">
        <f>HYPERLINK("http://dx.doi.org/10.1002/lno.11077","http://dx.doi.org/10.1002/lno.11077")</f>
        <v>http://dx.doi.org/10.1002/lno.11077</v>
      </c>
      <c r="BG343" t="s">
        <v>74</v>
      </c>
      <c r="BH343" t="s">
        <v>74</v>
      </c>
      <c r="BI343" t="s">
        <v>74</v>
      </c>
      <c r="BJ343" t="s">
        <v>74</v>
      </c>
      <c r="BK343" t="s">
        <v>74</v>
      </c>
      <c r="BL343" t="s">
        <v>74</v>
      </c>
      <c r="BM343" t="s">
        <v>74</v>
      </c>
      <c r="BN343" t="s">
        <v>74</v>
      </c>
      <c r="BO343" t="s">
        <v>74</v>
      </c>
      <c r="BP343" t="s">
        <v>74</v>
      </c>
      <c r="BQ343" t="s">
        <v>74</v>
      </c>
      <c r="BR343" t="s">
        <v>74</v>
      </c>
      <c r="BS343" t="s">
        <v>2677</v>
      </c>
      <c r="BT343" t="str">
        <f>HYPERLINK("https%3A%2F%2Fwww.webofscience.com%2Fwos%2Fwoscc%2Ffull-record%2FWOS:000461865500027","View Full Record in Web of Science")</f>
        <v>View Full Record in Web of Science</v>
      </c>
    </row>
    <row r="344" spans="1:72" x14ac:dyDescent="0.2">
      <c r="A344" t="s">
        <v>72</v>
      </c>
      <c r="B344" t="s">
        <v>2678</v>
      </c>
      <c r="C344" t="s">
        <v>74</v>
      </c>
      <c r="D344" t="s">
        <v>74</v>
      </c>
      <c r="E344" t="s">
        <v>74</v>
      </c>
      <c r="F344" t="s">
        <v>2679</v>
      </c>
      <c r="G344" t="s">
        <v>74</v>
      </c>
      <c r="H344" t="s">
        <v>74</v>
      </c>
      <c r="I344" t="s">
        <v>2680</v>
      </c>
      <c r="J344" t="s">
        <v>124</v>
      </c>
      <c r="K344" t="s">
        <v>74</v>
      </c>
      <c r="L344" t="s">
        <v>74</v>
      </c>
      <c r="M344" t="s">
        <v>74</v>
      </c>
      <c r="N344" t="s">
        <v>74</v>
      </c>
      <c r="O344" t="s">
        <v>74</v>
      </c>
      <c r="P344" t="s">
        <v>74</v>
      </c>
      <c r="Q344" t="s">
        <v>74</v>
      </c>
      <c r="R344" t="s">
        <v>74</v>
      </c>
      <c r="S344" t="s">
        <v>74</v>
      </c>
      <c r="T344" t="s">
        <v>74</v>
      </c>
      <c r="U344" t="s">
        <v>74</v>
      </c>
      <c r="V344" t="s">
        <v>74</v>
      </c>
      <c r="W344" t="s">
        <v>74</v>
      </c>
      <c r="X344" t="s">
        <v>74</v>
      </c>
      <c r="Y344" t="s">
        <v>74</v>
      </c>
      <c r="Z344" t="s">
        <v>74</v>
      </c>
      <c r="AA344" t="s">
        <v>6974</v>
      </c>
      <c r="AB344" t="s">
        <v>6975</v>
      </c>
      <c r="AC344" t="s">
        <v>74</v>
      </c>
      <c r="AD344" t="s">
        <v>74</v>
      </c>
      <c r="AE344" t="s">
        <v>74</v>
      </c>
      <c r="AF344" t="s">
        <v>74</v>
      </c>
      <c r="AG344" t="s">
        <v>74</v>
      </c>
      <c r="AH344" t="s">
        <v>74</v>
      </c>
      <c r="AI344" t="s">
        <v>74</v>
      </c>
      <c r="AJ344" t="s">
        <v>74</v>
      </c>
      <c r="AK344" t="s">
        <v>74</v>
      </c>
      <c r="AL344" t="s">
        <v>74</v>
      </c>
      <c r="AM344" t="s">
        <v>74</v>
      </c>
      <c r="AN344" t="s">
        <v>74</v>
      </c>
      <c r="AO344" t="s">
        <v>127</v>
      </c>
      <c r="AP344" t="s">
        <v>128</v>
      </c>
      <c r="AQ344" t="s">
        <v>74</v>
      </c>
      <c r="AR344" t="s">
        <v>74</v>
      </c>
      <c r="AS344" t="s">
        <v>74</v>
      </c>
      <c r="AT344" t="s">
        <v>157</v>
      </c>
      <c r="AU344">
        <v>2019</v>
      </c>
      <c r="AV344">
        <v>831</v>
      </c>
      <c r="AW344">
        <v>1</v>
      </c>
      <c r="AX344" t="s">
        <v>74</v>
      </c>
      <c r="AY344" t="s">
        <v>74</v>
      </c>
      <c r="AZ344" t="s">
        <v>632</v>
      </c>
      <c r="BA344" t="s">
        <v>74</v>
      </c>
      <c r="BB344">
        <v>149</v>
      </c>
      <c r="BC344">
        <v>161</v>
      </c>
      <c r="BD344" t="s">
        <v>74</v>
      </c>
      <c r="BE344" t="s">
        <v>2681</v>
      </c>
      <c r="BF344" t="str">
        <f>HYPERLINK("http://dx.doi.org/10.1007/s10750-018-3710-0","http://dx.doi.org/10.1007/s10750-018-3710-0")</f>
        <v>http://dx.doi.org/10.1007/s10750-018-3710-0</v>
      </c>
      <c r="BG344" t="s">
        <v>74</v>
      </c>
      <c r="BH344" t="s">
        <v>74</v>
      </c>
      <c r="BI344" t="s">
        <v>74</v>
      </c>
      <c r="BJ344" t="s">
        <v>74</v>
      </c>
      <c r="BK344" t="s">
        <v>74</v>
      </c>
      <c r="BL344" t="s">
        <v>74</v>
      </c>
      <c r="BM344" t="s">
        <v>74</v>
      </c>
      <c r="BN344" t="s">
        <v>74</v>
      </c>
      <c r="BO344" t="s">
        <v>74</v>
      </c>
      <c r="BP344" t="s">
        <v>74</v>
      </c>
      <c r="BQ344" t="s">
        <v>74</v>
      </c>
      <c r="BR344" t="s">
        <v>74</v>
      </c>
      <c r="BS344" t="s">
        <v>2682</v>
      </c>
      <c r="BT344" t="str">
        <f>HYPERLINK("https%3A%2F%2Fwww.webofscience.com%2Fwos%2Fwoscc%2Ffull-record%2FWOS:000458372800013","View Full Record in Web of Science")</f>
        <v>View Full Record in Web of Science</v>
      </c>
    </row>
    <row r="345" spans="1:72" x14ac:dyDescent="0.2">
      <c r="A345" t="s">
        <v>72</v>
      </c>
      <c r="B345" t="s">
        <v>2683</v>
      </c>
      <c r="C345" t="s">
        <v>74</v>
      </c>
      <c r="D345" t="s">
        <v>74</v>
      </c>
      <c r="E345" t="s">
        <v>74</v>
      </c>
      <c r="F345" t="s">
        <v>2684</v>
      </c>
      <c r="G345" t="s">
        <v>74</v>
      </c>
      <c r="H345" t="s">
        <v>74</v>
      </c>
      <c r="I345" t="s">
        <v>2685</v>
      </c>
      <c r="J345" t="s">
        <v>949</v>
      </c>
      <c r="K345" t="s">
        <v>74</v>
      </c>
      <c r="L345" t="s">
        <v>74</v>
      </c>
      <c r="M345" t="s">
        <v>74</v>
      </c>
      <c r="N345" t="s">
        <v>74</v>
      </c>
      <c r="O345" t="s">
        <v>74</v>
      </c>
      <c r="P345" t="s">
        <v>74</v>
      </c>
      <c r="Q345" t="s">
        <v>74</v>
      </c>
      <c r="R345" t="s">
        <v>74</v>
      </c>
      <c r="S345" t="s">
        <v>74</v>
      </c>
      <c r="T345" t="s">
        <v>74</v>
      </c>
      <c r="U345" t="s">
        <v>74</v>
      </c>
      <c r="V345" t="s">
        <v>74</v>
      </c>
      <c r="W345" t="s">
        <v>74</v>
      </c>
      <c r="X345" t="s">
        <v>74</v>
      </c>
      <c r="Y345" t="s">
        <v>74</v>
      </c>
      <c r="Z345" t="s">
        <v>74</v>
      </c>
      <c r="AA345" t="s">
        <v>2686</v>
      </c>
      <c r="AB345" t="s">
        <v>2687</v>
      </c>
      <c r="AC345" t="s">
        <v>74</v>
      </c>
      <c r="AD345" t="s">
        <v>74</v>
      </c>
      <c r="AE345" t="s">
        <v>74</v>
      </c>
      <c r="AF345" t="s">
        <v>74</v>
      </c>
      <c r="AG345" t="s">
        <v>74</v>
      </c>
      <c r="AH345" t="s">
        <v>74</v>
      </c>
      <c r="AI345" t="s">
        <v>74</v>
      </c>
      <c r="AJ345" t="s">
        <v>74</v>
      </c>
      <c r="AK345" t="s">
        <v>74</v>
      </c>
      <c r="AL345" t="s">
        <v>74</v>
      </c>
      <c r="AM345" t="s">
        <v>74</v>
      </c>
      <c r="AN345" t="s">
        <v>74</v>
      </c>
      <c r="AO345" t="s">
        <v>74</v>
      </c>
      <c r="AP345" t="s">
        <v>951</v>
      </c>
      <c r="AQ345" t="s">
        <v>74</v>
      </c>
      <c r="AR345" t="s">
        <v>74</v>
      </c>
      <c r="AS345" t="s">
        <v>74</v>
      </c>
      <c r="AT345" t="s">
        <v>2688</v>
      </c>
      <c r="AU345">
        <v>2019</v>
      </c>
      <c r="AV345">
        <v>6</v>
      </c>
      <c r="AW345" t="s">
        <v>74</v>
      </c>
      <c r="AX345" t="s">
        <v>74</v>
      </c>
      <c r="AY345" t="s">
        <v>74</v>
      </c>
      <c r="AZ345" t="s">
        <v>74</v>
      </c>
      <c r="BA345" t="s">
        <v>74</v>
      </c>
      <c r="BB345" t="s">
        <v>74</v>
      </c>
      <c r="BC345" t="s">
        <v>74</v>
      </c>
      <c r="BD345">
        <v>40</v>
      </c>
      <c r="BE345" t="s">
        <v>2689</v>
      </c>
      <c r="BF345" t="str">
        <f>HYPERLINK("http://dx.doi.org/10.3389/fmars.2019.00040","http://dx.doi.org/10.3389/fmars.2019.00040")</f>
        <v>http://dx.doi.org/10.3389/fmars.2019.00040</v>
      </c>
      <c r="BG345" t="s">
        <v>74</v>
      </c>
      <c r="BH345" t="s">
        <v>74</v>
      </c>
      <c r="BI345" t="s">
        <v>74</v>
      </c>
      <c r="BJ345" t="s">
        <v>74</v>
      </c>
      <c r="BK345" t="s">
        <v>74</v>
      </c>
      <c r="BL345" t="s">
        <v>74</v>
      </c>
      <c r="BM345" t="s">
        <v>74</v>
      </c>
      <c r="BN345" t="s">
        <v>74</v>
      </c>
      <c r="BO345" t="s">
        <v>74</v>
      </c>
      <c r="BP345" t="s">
        <v>74</v>
      </c>
      <c r="BQ345" t="s">
        <v>74</v>
      </c>
      <c r="BR345" t="s">
        <v>74</v>
      </c>
      <c r="BS345" t="s">
        <v>2690</v>
      </c>
      <c r="BT345" t="str">
        <f>HYPERLINK("https%3A%2F%2Fwww.webofscience.com%2Fwos%2Fwoscc%2Ffull-record%2FWOS:000462667000002","View Full Record in Web of Science")</f>
        <v>View Full Record in Web of Science</v>
      </c>
    </row>
    <row r="346" spans="1:72" x14ac:dyDescent="0.2">
      <c r="A346" t="s">
        <v>72</v>
      </c>
      <c r="B346" t="s">
        <v>2691</v>
      </c>
      <c r="C346" t="s">
        <v>74</v>
      </c>
      <c r="D346" t="s">
        <v>74</v>
      </c>
      <c r="E346" t="s">
        <v>74</v>
      </c>
      <c r="F346" t="s">
        <v>2692</v>
      </c>
      <c r="G346" t="s">
        <v>74</v>
      </c>
      <c r="H346" t="s">
        <v>74</v>
      </c>
      <c r="I346" t="s">
        <v>2693</v>
      </c>
      <c r="J346" t="s">
        <v>2694</v>
      </c>
      <c r="K346" t="s">
        <v>74</v>
      </c>
      <c r="L346" t="s">
        <v>74</v>
      </c>
      <c r="M346" t="s">
        <v>74</v>
      </c>
      <c r="N346" t="s">
        <v>74</v>
      </c>
      <c r="O346" t="s">
        <v>74</v>
      </c>
      <c r="P346" t="s">
        <v>74</v>
      </c>
      <c r="Q346" t="s">
        <v>74</v>
      </c>
      <c r="R346" t="s">
        <v>74</v>
      </c>
      <c r="S346" t="s">
        <v>74</v>
      </c>
      <c r="T346" t="s">
        <v>74</v>
      </c>
      <c r="U346" t="s">
        <v>74</v>
      </c>
      <c r="V346" t="s">
        <v>74</v>
      </c>
      <c r="W346" t="s">
        <v>74</v>
      </c>
      <c r="X346" t="s">
        <v>74</v>
      </c>
      <c r="Y346" t="s">
        <v>74</v>
      </c>
      <c r="Z346" t="s">
        <v>74</v>
      </c>
      <c r="AA346" t="s">
        <v>6976</v>
      </c>
      <c r="AB346" t="s">
        <v>6977</v>
      </c>
      <c r="AC346" t="s">
        <v>74</v>
      </c>
      <c r="AD346" t="s">
        <v>74</v>
      </c>
      <c r="AE346" t="s">
        <v>74</v>
      </c>
      <c r="AF346" t="s">
        <v>74</v>
      </c>
      <c r="AG346" t="s">
        <v>74</v>
      </c>
      <c r="AH346" t="s">
        <v>74</v>
      </c>
      <c r="AI346" t="s">
        <v>74</v>
      </c>
      <c r="AJ346" t="s">
        <v>74</v>
      </c>
      <c r="AK346" t="s">
        <v>74</v>
      </c>
      <c r="AL346" t="s">
        <v>74</v>
      </c>
      <c r="AM346" t="s">
        <v>74</v>
      </c>
      <c r="AN346" t="s">
        <v>74</v>
      </c>
      <c r="AO346" t="s">
        <v>2695</v>
      </c>
      <c r="AP346" t="s">
        <v>2696</v>
      </c>
      <c r="AQ346" t="s">
        <v>74</v>
      </c>
      <c r="AR346" t="s">
        <v>74</v>
      </c>
      <c r="AS346" t="s">
        <v>74</v>
      </c>
      <c r="AT346" t="s">
        <v>416</v>
      </c>
      <c r="AU346">
        <v>2019</v>
      </c>
      <c r="AV346">
        <v>125</v>
      </c>
      <c r="AW346">
        <v>2</v>
      </c>
      <c r="AX346" t="s">
        <v>74</v>
      </c>
      <c r="AY346" t="s">
        <v>74</v>
      </c>
      <c r="AZ346" t="s">
        <v>74</v>
      </c>
      <c r="BA346" t="s">
        <v>74</v>
      </c>
      <c r="BB346">
        <v>106</v>
      </c>
      <c r="BC346">
        <v>113</v>
      </c>
      <c r="BD346" t="s">
        <v>74</v>
      </c>
      <c r="BE346" t="s">
        <v>2697</v>
      </c>
      <c r="BF346" t="str">
        <f>HYPERLINK("http://dx.doi.org/10.1111/eth.12835","http://dx.doi.org/10.1111/eth.12835")</f>
        <v>http://dx.doi.org/10.1111/eth.12835</v>
      </c>
      <c r="BG346" t="s">
        <v>74</v>
      </c>
      <c r="BH346" t="s">
        <v>74</v>
      </c>
      <c r="BI346" t="s">
        <v>74</v>
      </c>
      <c r="BJ346" t="s">
        <v>74</v>
      </c>
      <c r="BK346" t="s">
        <v>74</v>
      </c>
      <c r="BL346" t="s">
        <v>74</v>
      </c>
      <c r="BM346" t="s">
        <v>74</v>
      </c>
      <c r="BN346" t="s">
        <v>74</v>
      </c>
      <c r="BO346" t="s">
        <v>74</v>
      </c>
      <c r="BP346" t="s">
        <v>74</v>
      </c>
      <c r="BQ346" t="s">
        <v>74</v>
      </c>
      <c r="BR346" t="s">
        <v>74</v>
      </c>
      <c r="BS346" t="s">
        <v>2698</v>
      </c>
      <c r="BT346" t="str">
        <f>HYPERLINK("https%3A%2F%2Fwww.webofscience.com%2Fwos%2Fwoscc%2Ffull-record%2FWOS:000455963400005","View Full Record in Web of Science")</f>
        <v>View Full Record in Web of Science</v>
      </c>
    </row>
    <row r="347" spans="1:72" x14ac:dyDescent="0.2">
      <c r="A347" t="s">
        <v>72</v>
      </c>
      <c r="B347" t="s">
        <v>2699</v>
      </c>
      <c r="C347" t="s">
        <v>74</v>
      </c>
      <c r="D347" t="s">
        <v>74</v>
      </c>
      <c r="E347" t="s">
        <v>74</v>
      </c>
      <c r="F347" t="s">
        <v>2700</v>
      </c>
      <c r="G347" t="s">
        <v>74</v>
      </c>
      <c r="H347" t="s">
        <v>74</v>
      </c>
      <c r="I347" t="s">
        <v>2701</v>
      </c>
      <c r="J347" t="s">
        <v>2702</v>
      </c>
      <c r="K347" t="s">
        <v>74</v>
      </c>
      <c r="L347" t="s">
        <v>74</v>
      </c>
      <c r="M347" t="s">
        <v>74</v>
      </c>
      <c r="N347" t="s">
        <v>74</v>
      </c>
      <c r="O347" t="s">
        <v>74</v>
      </c>
      <c r="P347" t="s">
        <v>74</v>
      </c>
      <c r="Q347" t="s">
        <v>74</v>
      </c>
      <c r="R347" t="s">
        <v>74</v>
      </c>
      <c r="S347" t="s">
        <v>74</v>
      </c>
      <c r="T347" t="s">
        <v>74</v>
      </c>
      <c r="U347" t="s">
        <v>74</v>
      </c>
      <c r="V347" t="s">
        <v>74</v>
      </c>
      <c r="W347" t="s">
        <v>74</v>
      </c>
      <c r="X347" t="s">
        <v>74</v>
      </c>
      <c r="Y347" t="s">
        <v>74</v>
      </c>
      <c r="Z347" t="s">
        <v>74</v>
      </c>
      <c r="AA347" t="s">
        <v>74</v>
      </c>
      <c r="AB347" t="s">
        <v>2703</v>
      </c>
      <c r="AC347" t="s">
        <v>74</v>
      </c>
      <c r="AD347" t="s">
        <v>74</v>
      </c>
      <c r="AE347" t="s">
        <v>74</v>
      </c>
      <c r="AF347" t="s">
        <v>74</v>
      </c>
      <c r="AG347" t="s">
        <v>74</v>
      </c>
      <c r="AH347" t="s">
        <v>74</v>
      </c>
      <c r="AI347" t="s">
        <v>74</v>
      </c>
      <c r="AJ347" t="s">
        <v>74</v>
      </c>
      <c r="AK347" t="s">
        <v>74</v>
      </c>
      <c r="AL347" t="s">
        <v>74</v>
      </c>
      <c r="AM347" t="s">
        <v>74</v>
      </c>
      <c r="AN347" t="s">
        <v>74</v>
      </c>
      <c r="AO347" t="s">
        <v>2704</v>
      </c>
      <c r="AP347" t="s">
        <v>2705</v>
      </c>
      <c r="AQ347" t="s">
        <v>74</v>
      </c>
      <c r="AR347" t="s">
        <v>74</v>
      </c>
      <c r="AS347" t="s">
        <v>74</v>
      </c>
      <c r="AT347" t="s">
        <v>416</v>
      </c>
      <c r="AU347">
        <v>2019</v>
      </c>
      <c r="AV347">
        <v>55</v>
      </c>
      <c r="AW347">
        <v>2</v>
      </c>
      <c r="AX347" t="s">
        <v>74</v>
      </c>
      <c r="AY347" t="s">
        <v>74</v>
      </c>
      <c r="AZ347" t="s">
        <v>74</v>
      </c>
      <c r="BA347" t="s">
        <v>74</v>
      </c>
      <c r="BB347">
        <v>954</v>
      </c>
      <c r="BC347">
        <v>972</v>
      </c>
      <c r="BD347" t="s">
        <v>74</v>
      </c>
      <c r="BE347" t="s">
        <v>2706</v>
      </c>
      <c r="BF347" t="str">
        <f>HYPERLINK("http://dx.doi.org/10.1029/2018WR024228","http://dx.doi.org/10.1029/2018WR024228")</f>
        <v>http://dx.doi.org/10.1029/2018WR024228</v>
      </c>
      <c r="BG347" t="s">
        <v>74</v>
      </c>
      <c r="BH347" t="s">
        <v>74</v>
      </c>
      <c r="BI347" t="s">
        <v>74</v>
      </c>
      <c r="BJ347" t="s">
        <v>74</v>
      </c>
      <c r="BK347" t="s">
        <v>74</v>
      </c>
      <c r="BL347" t="s">
        <v>74</v>
      </c>
      <c r="BM347" t="s">
        <v>74</v>
      </c>
      <c r="BN347" t="s">
        <v>74</v>
      </c>
      <c r="BO347" t="s">
        <v>74</v>
      </c>
      <c r="BP347" t="s">
        <v>74</v>
      </c>
      <c r="BQ347" t="s">
        <v>74</v>
      </c>
      <c r="BR347" t="s">
        <v>74</v>
      </c>
      <c r="BS347" t="s">
        <v>2707</v>
      </c>
      <c r="BT347" t="str">
        <f>HYPERLINK("https%3A%2F%2Fwww.webofscience.com%2Fwos%2Fwoscc%2Ffull-record%2FWOS:000461858900006","View Full Record in Web of Science")</f>
        <v>View Full Record in Web of Science</v>
      </c>
    </row>
    <row r="348" spans="1:72" x14ac:dyDescent="0.2">
      <c r="A348" t="s">
        <v>72</v>
      </c>
      <c r="B348" t="s">
        <v>2708</v>
      </c>
      <c r="C348" t="s">
        <v>74</v>
      </c>
      <c r="D348" t="s">
        <v>74</v>
      </c>
      <c r="E348" t="s">
        <v>74</v>
      </c>
      <c r="F348" t="s">
        <v>2709</v>
      </c>
      <c r="G348" t="s">
        <v>74</v>
      </c>
      <c r="H348" t="s">
        <v>74</v>
      </c>
      <c r="I348" t="s">
        <v>2710</v>
      </c>
      <c r="J348" t="s">
        <v>2711</v>
      </c>
      <c r="K348" t="s">
        <v>74</v>
      </c>
      <c r="L348" t="s">
        <v>74</v>
      </c>
      <c r="M348" t="s">
        <v>74</v>
      </c>
      <c r="N348" t="s">
        <v>74</v>
      </c>
      <c r="O348" t="s">
        <v>74</v>
      </c>
      <c r="P348" t="s">
        <v>74</v>
      </c>
      <c r="Q348" t="s">
        <v>74</v>
      </c>
      <c r="R348" t="s">
        <v>74</v>
      </c>
      <c r="S348" t="s">
        <v>74</v>
      </c>
      <c r="T348" t="s">
        <v>74</v>
      </c>
      <c r="U348" t="s">
        <v>74</v>
      </c>
      <c r="V348" t="s">
        <v>74</v>
      </c>
      <c r="W348" t="s">
        <v>74</v>
      </c>
      <c r="X348" t="s">
        <v>74</v>
      </c>
      <c r="Y348" t="s">
        <v>74</v>
      </c>
      <c r="Z348" t="s">
        <v>74</v>
      </c>
      <c r="AA348" t="s">
        <v>74</v>
      </c>
      <c r="AB348" t="s">
        <v>6978</v>
      </c>
      <c r="AC348" t="s">
        <v>74</v>
      </c>
      <c r="AD348" t="s">
        <v>74</v>
      </c>
      <c r="AE348" t="s">
        <v>74</v>
      </c>
      <c r="AF348" t="s">
        <v>74</v>
      </c>
      <c r="AG348" t="s">
        <v>74</v>
      </c>
      <c r="AH348" t="s">
        <v>74</v>
      </c>
      <c r="AI348" t="s">
        <v>74</v>
      </c>
      <c r="AJ348" t="s">
        <v>74</v>
      </c>
      <c r="AK348" t="s">
        <v>74</v>
      </c>
      <c r="AL348" t="s">
        <v>74</v>
      </c>
      <c r="AM348" t="s">
        <v>74</v>
      </c>
      <c r="AN348" t="s">
        <v>74</v>
      </c>
      <c r="AO348" t="s">
        <v>2712</v>
      </c>
      <c r="AP348" t="s">
        <v>2713</v>
      </c>
      <c r="AQ348" t="s">
        <v>74</v>
      </c>
      <c r="AR348" t="s">
        <v>74</v>
      </c>
      <c r="AS348" t="s">
        <v>74</v>
      </c>
      <c r="AT348" t="s">
        <v>74</v>
      </c>
      <c r="AU348">
        <v>2019</v>
      </c>
      <c r="AV348">
        <v>51</v>
      </c>
      <c r="AW348">
        <v>1</v>
      </c>
      <c r="AX348" t="s">
        <v>74</v>
      </c>
      <c r="AY348" t="s">
        <v>74</v>
      </c>
      <c r="AZ348" t="s">
        <v>74</v>
      </c>
      <c r="BA348" t="s">
        <v>74</v>
      </c>
      <c r="BB348">
        <v>327</v>
      </c>
      <c r="BC348">
        <v>345</v>
      </c>
      <c r="BD348" t="s">
        <v>74</v>
      </c>
      <c r="BE348" t="s">
        <v>2714</v>
      </c>
      <c r="BF348" t="str">
        <f>HYPERLINK("http://dx.doi.org/10.1080/15230430.2019.1643210","http://dx.doi.org/10.1080/15230430.2019.1643210")</f>
        <v>http://dx.doi.org/10.1080/15230430.2019.1643210</v>
      </c>
      <c r="BG348" t="s">
        <v>74</v>
      </c>
      <c r="BH348" t="s">
        <v>74</v>
      </c>
      <c r="BI348" t="s">
        <v>74</v>
      </c>
      <c r="BJ348" t="s">
        <v>74</v>
      </c>
      <c r="BK348" t="s">
        <v>74</v>
      </c>
      <c r="BL348" t="s">
        <v>74</v>
      </c>
      <c r="BM348" t="s">
        <v>74</v>
      </c>
      <c r="BN348" t="s">
        <v>74</v>
      </c>
      <c r="BO348" t="s">
        <v>74</v>
      </c>
      <c r="BP348" t="s">
        <v>74</v>
      </c>
      <c r="BQ348" t="s">
        <v>74</v>
      </c>
      <c r="BR348" t="s">
        <v>74</v>
      </c>
      <c r="BS348" t="s">
        <v>2715</v>
      </c>
      <c r="BT348" t="str">
        <f>HYPERLINK("https%3A%2F%2Fwww.webofscience.com%2Fwos%2Fwoscc%2Ffull-record%2FWOS:000486105800024","View Full Record in Web of Science")</f>
        <v>View Full Record in Web of Science</v>
      </c>
    </row>
    <row r="349" spans="1:72" x14ac:dyDescent="0.2">
      <c r="A349" t="s">
        <v>2716</v>
      </c>
      <c r="B349" t="s">
        <v>2717</v>
      </c>
      <c r="C349" t="s">
        <v>74</v>
      </c>
      <c r="D349" t="s">
        <v>2718</v>
      </c>
      <c r="E349" t="s">
        <v>74</v>
      </c>
      <c r="F349" t="s">
        <v>2719</v>
      </c>
      <c r="G349" t="s">
        <v>74</v>
      </c>
      <c r="H349" t="s">
        <v>74</v>
      </c>
      <c r="I349" t="s">
        <v>2720</v>
      </c>
      <c r="J349" t="s">
        <v>2721</v>
      </c>
      <c r="K349" t="s">
        <v>2722</v>
      </c>
      <c r="L349" t="s">
        <v>74</v>
      </c>
      <c r="M349" t="s">
        <v>74</v>
      </c>
      <c r="N349" t="s">
        <v>74</v>
      </c>
      <c r="O349" t="s">
        <v>74</v>
      </c>
      <c r="P349" t="s">
        <v>74</v>
      </c>
      <c r="Q349" t="s">
        <v>74</v>
      </c>
      <c r="R349" t="s">
        <v>74</v>
      </c>
      <c r="S349" t="s">
        <v>74</v>
      </c>
      <c r="T349" t="s">
        <v>74</v>
      </c>
      <c r="U349" t="s">
        <v>74</v>
      </c>
      <c r="V349" t="s">
        <v>74</v>
      </c>
      <c r="W349" t="s">
        <v>74</v>
      </c>
      <c r="X349" t="s">
        <v>74</v>
      </c>
      <c r="Y349" t="s">
        <v>74</v>
      </c>
      <c r="Z349" t="s">
        <v>74</v>
      </c>
      <c r="AA349" t="s">
        <v>2723</v>
      </c>
      <c r="AB349" t="s">
        <v>2724</v>
      </c>
      <c r="AC349" t="s">
        <v>74</v>
      </c>
      <c r="AD349" t="s">
        <v>74</v>
      </c>
      <c r="AE349" t="s">
        <v>74</v>
      </c>
      <c r="AF349" t="s">
        <v>74</v>
      </c>
      <c r="AG349" t="s">
        <v>74</v>
      </c>
      <c r="AH349" t="s">
        <v>74</v>
      </c>
      <c r="AI349" t="s">
        <v>74</v>
      </c>
      <c r="AJ349" t="s">
        <v>74</v>
      </c>
      <c r="AK349" t="s">
        <v>74</v>
      </c>
      <c r="AL349" t="s">
        <v>74</v>
      </c>
      <c r="AM349" t="s">
        <v>74</v>
      </c>
      <c r="AN349" t="s">
        <v>74</v>
      </c>
      <c r="AO349" t="s">
        <v>74</v>
      </c>
      <c r="AP349" t="s">
        <v>74</v>
      </c>
      <c r="AQ349" t="s">
        <v>2725</v>
      </c>
      <c r="AR349" t="s">
        <v>74</v>
      </c>
      <c r="AS349" t="s">
        <v>74</v>
      </c>
      <c r="AT349" t="s">
        <v>74</v>
      </c>
      <c r="AU349">
        <v>2019</v>
      </c>
      <c r="AV349" t="s">
        <v>74</v>
      </c>
      <c r="AW349" t="s">
        <v>74</v>
      </c>
      <c r="AX349" t="s">
        <v>74</v>
      </c>
      <c r="AY349" t="s">
        <v>74</v>
      </c>
      <c r="AZ349" t="s">
        <v>74</v>
      </c>
      <c r="BA349" t="s">
        <v>74</v>
      </c>
      <c r="BB349">
        <v>257</v>
      </c>
      <c r="BC349">
        <v>282</v>
      </c>
      <c r="BD349" t="s">
        <v>74</v>
      </c>
      <c r="BE349" t="s">
        <v>2726</v>
      </c>
      <c r="BF349" t="str">
        <f>HYPERLINK("http://dx.doi.org/10.1093/oso/9780198766384.003.0012","http://dx.doi.org/10.1093/oso/9780198766384.003.0012")</f>
        <v>http://dx.doi.org/10.1093/oso/9780198766384.003.0012</v>
      </c>
      <c r="BG349" t="s">
        <v>2727</v>
      </c>
      <c r="BH349" t="s">
        <v>74</v>
      </c>
      <c r="BI349" t="s">
        <v>74</v>
      </c>
      <c r="BJ349" t="s">
        <v>74</v>
      </c>
      <c r="BK349" t="s">
        <v>74</v>
      </c>
      <c r="BL349" t="s">
        <v>74</v>
      </c>
      <c r="BM349" t="s">
        <v>74</v>
      </c>
      <c r="BN349" t="s">
        <v>74</v>
      </c>
      <c r="BO349" t="s">
        <v>74</v>
      </c>
      <c r="BP349" t="s">
        <v>74</v>
      </c>
      <c r="BQ349" t="s">
        <v>74</v>
      </c>
      <c r="BR349" t="s">
        <v>74</v>
      </c>
      <c r="BS349" t="s">
        <v>2728</v>
      </c>
      <c r="BT349" t="str">
        <f>HYPERLINK("https%3A%2F%2Fwww.webofscience.com%2Fwos%2Fwoscc%2Ffull-record%2FWOS:000482748800013","View Full Record in Web of Science")</f>
        <v>View Full Record in Web of Science</v>
      </c>
    </row>
    <row r="350" spans="1:72" x14ac:dyDescent="0.2">
      <c r="A350" t="s">
        <v>72</v>
      </c>
      <c r="B350" t="s">
        <v>2729</v>
      </c>
      <c r="C350" t="s">
        <v>74</v>
      </c>
      <c r="D350" t="s">
        <v>74</v>
      </c>
      <c r="E350" t="s">
        <v>74</v>
      </c>
      <c r="F350" t="s">
        <v>2730</v>
      </c>
      <c r="G350" t="s">
        <v>74</v>
      </c>
      <c r="H350" t="s">
        <v>74</v>
      </c>
      <c r="I350" t="s">
        <v>2731</v>
      </c>
      <c r="J350" t="s">
        <v>227</v>
      </c>
      <c r="K350" t="s">
        <v>74</v>
      </c>
      <c r="L350" t="s">
        <v>74</v>
      </c>
      <c r="M350" t="s">
        <v>74</v>
      </c>
      <c r="N350" t="s">
        <v>74</v>
      </c>
      <c r="O350" t="s">
        <v>74</v>
      </c>
      <c r="P350" t="s">
        <v>74</v>
      </c>
      <c r="Q350" t="s">
        <v>74</v>
      </c>
      <c r="R350" t="s">
        <v>74</v>
      </c>
      <c r="S350" t="s">
        <v>74</v>
      </c>
      <c r="T350" t="s">
        <v>74</v>
      </c>
      <c r="U350" t="s">
        <v>74</v>
      </c>
      <c r="V350" t="s">
        <v>74</v>
      </c>
      <c r="W350" t="s">
        <v>74</v>
      </c>
      <c r="X350" t="s">
        <v>74</v>
      </c>
      <c r="Y350" t="s">
        <v>74</v>
      </c>
      <c r="Z350" t="s">
        <v>74</v>
      </c>
      <c r="AA350" t="s">
        <v>6979</v>
      </c>
      <c r="AB350" t="s">
        <v>351</v>
      </c>
      <c r="AC350" t="s">
        <v>74</v>
      </c>
      <c r="AD350" t="s">
        <v>74</v>
      </c>
      <c r="AE350" t="s">
        <v>74</v>
      </c>
      <c r="AF350" t="s">
        <v>74</v>
      </c>
      <c r="AG350" t="s">
        <v>74</v>
      </c>
      <c r="AH350" t="s">
        <v>74</v>
      </c>
      <c r="AI350" t="s">
        <v>74</v>
      </c>
      <c r="AJ350" t="s">
        <v>74</v>
      </c>
      <c r="AK350" t="s">
        <v>74</v>
      </c>
      <c r="AL350" t="s">
        <v>74</v>
      </c>
      <c r="AM350" t="s">
        <v>74</v>
      </c>
      <c r="AN350" t="s">
        <v>74</v>
      </c>
      <c r="AO350" t="s">
        <v>230</v>
      </c>
      <c r="AP350" t="s">
        <v>231</v>
      </c>
      <c r="AQ350" t="s">
        <v>74</v>
      </c>
      <c r="AR350" t="s">
        <v>74</v>
      </c>
      <c r="AS350" t="s">
        <v>74</v>
      </c>
      <c r="AT350" t="s">
        <v>315</v>
      </c>
      <c r="AU350">
        <v>2019</v>
      </c>
      <c r="AV350">
        <v>64</v>
      </c>
      <c r="AW350">
        <v>1</v>
      </c>
      <c r="AX350" t="s">
        <v>74</v>
      </c>
      <c r="AY350" t="s">
        <v>74</v>
      </c>
      <c r="AZ350" t="s">
        <v>74</v>
      </c>
      <c r="BA350" t="s">
        <v>74</v>
      </c>
      <c r="BB350">
        <v>272</v>
      </c>
      <c r="BC350">
        <v>283</v>
      </c>
      <c r="BD350" t="s">
        <v>74</v>
      </c>
      <c r="BE350" t="s">
        <v>2732</v>
      </c>
      <c r="BF350" t="str">
        <f>HYPERLINK("http://dx.doi.org/10.1002/lno.11038","http://dx.doi.org/10.1002/lno.11038")</f>
        <v>http://dx.doi.org/10.1002/lno.11038</v>
      </c>
      <c r="BG350" t="s">
        <v>74</v>
      </c>
      <c r="BH350" t="s">
        <v>74</v>
      </c>
      <c r="BI350" t="s">
        <v>74</v>
      </c>
      <c r="BJ350" t="s">
        <v>74</v>
      </c>
      <c r="BK350" t="s">
        <v>74</v>
      </c>
      <c r="BL350" t="s">
        <v>74</v>
      </c>
      <c r="BM350" t="s">
        <v>74</v>
      </c>
      <c r="BN350" t="s">
        <v>74</v>
      </c>
      <c r="BO350" t="s">
        <v>74</v>
      </c>
      <c r="BP350" t="s">
        <v>74</v>
      </c>
      <c r="BQ350" t="s">
        <v>74</v>
      </c>
      <c r="BR350" t="s">
        <v>74</v>
      </c>
      <c r="BS350" t="s">
        <v>2733</v>
      </c>
      <c r="BT350" t="str">
        <f>HYPERLINK("https%3A%2F%2Fwww.webofscience.com%2Fwos%2Fwoscc%2Ffull-record%2FWOS:000456720900019","View Full Record in Web of Science")</f>
        <v>View Full Record in Web of Science</v>
      </c>
    </row>
    <row r="351" spans="1:72" x14ac:dyDescent="0.2">
      <c r="A351" t="s">
        <v>72</v>
      </c>
      <c r="B351" t="s">
        <v>2734</v>
      </c>
      <c r="C351" t="s">
        <v>74</v>
      </c>
      <c r="D351" t="s">
        <v>74</v>
      </c>
      <c r="E351" t="s">
        <v>74</v>
      </c>
      <c r="F351" t="s">
        <v>2735</v>
      </c>
      <c r="G351" t="s">
        <v>74</v>
      </c>
      <c r="H351" t="s">
        <v>74</v>
      </c>
      <c r="I351" t="s">
        <v>2736</v>
      </c>
      <c r="J351" t="s">
        <v>2737</v>
      </c>
      <c r="K351" t="s">
        <v>74</v>
      </c>
      <c r="L351" t="s">
        <v>74</v>
      </c>
      <c r="M351" t="s">
        <v>74</v>
      </c>
      <c r="N351" t="s">
        <v>74</v>
      </c>
      <c r="O351" t="s">
        <v>74</v>
      </c>
      <c r="P351" t="s">
        <v>74</v>
      </c>
      <c r="Q351" t="s">
        <v>74</v>
      </c>
      <c r="R351" t="s">
        <v>74</v>
      </c>
      <c r="S351" t="s">
        <v>74</v>
      </c>
      <c r="T351" t="s">
        <v>74</v>
      </c>
      <c r="U351" t="s">
        <v>74</v>
      </c>
      <c r="V351" t="s">
        <v>74</v>
      </c>
      <c r="W351" t="s">
        <v>74</v>
      </c>
      <c r="X351" t="s">
        <v>74</v>
      </c>
      <c r="Y351" t="s">
        <v>74</v>
      </c>
      <c r="Z351" t="s">
        <v>74</v>
      </c>
      <c r="AA351" t="s">
        <v>2738</v>
      </c>
      <c r="AB351" t="s">
        <v>2739</v>
      </c>
      <c r="AC351" t="s">
        <v>74</v>
      </c>
      <c r="AD351" t="s">
        <v>74</v>
      </c>
      <c r="AE351" t="s">
        <v>74</v>
      </c>
      <c r="AF351" t="s">
        <v>74</v>
      </c>
      <c r="AG351" t="s">
        <v>74</v>
      </c>
      <c r="AH351" t="s">
        <v>74</v>
      </c>
      <c r="AI351" t="s">
        <v>74</v>
      </c>
      <c r="AJ351" t="s">
        <v>74</v>
      </c>
      <c r="AK351" t="s">
        <v>74</v>
      </c>
      <c r="AL351" t="s">
        <v>74</v>
      </c>
      <c r="AM351" t="s">
        <v>74</v>
      </c>
      <c r="AN351" t="s">
        <v>74</v>
      </c>
      <c r="AO351" t="s">
        <v>2740</v>
      </c>
      <c r="AP351" t="s">
        <v>2741</v>
      </c>
      <c r="AQ351" t="s">
        <v>74</v>
      </c>
      <c r="AR351" t="s">
        <v>74</v>
      </c>
      <c r="AS351" t="s">
        <v>74</v>
      </c>
      <c r="AT351" t="s">
        <v>315</v>
      </c>
      <c r="AU351">
        <v>2019</v>
      </c>
      <c r="AV351">
        <v>146</v>
      </c>
      <c r="AW351">
        <v>1</v>
      </c>
      <c r="AX351" t="s">
        <v>74</v>
      </c>
      <c r="AY351" t="s">
        <v>74</v>
      </c>
      <c r="AZ351" t="s">
        <v>74</v>
      </c>
      <c r="BA351" t="s">
        <v>74</v>
      </c>
      <c r="BB351">
        <v>105</v>
      </c>
      <c r="BC351">
        <v>111</v>
      </c>
      <c r="BD351" t="s">
        <v>74</v>
      </c>
      <c r="BE351" t="s">
        <v>2742</v>
      </c>
      <c r="BF351" t="str">
        <f>HYPERLINK("http://dx.doi.org/10.1017/S0031182018000963","http://dx.doi.org/10.1017/S0031182018000963")</f>
        <v>http://dx.doi.org/10.1017/S0031182018000963</v>
      </c>
      <c r="BG351" t="s">
        <v>74</v>
      </c>
      <c r="BH351" t="s">
        <v>74</v>
      </c>
      <c r="BI351" t="s">
        <v>74</v>
      </c>
      <c r="BJ351" t="s">
        <v>74</v>
      </c>
      <c r="BK351" t="s">
        <v>74</v>
      </c>
      <c r="BL351" t="s">
        <v>74</v>
      </c>
      <c r="BM351" t="s">
        <v>74</v>
      </c>
      <c r="BN351">
        <v>29898802</v>
      </c>
      <c r="BO351" t="s">
        <v>74</v>
      </c>
      <c r="BP351" t="s">
        <v>74</v>
      </c>
      <c r="BQ351" t="s">
        <v>74</v>
      </c>
      <c r="BR351" t="s">
        <v>74</v>
      </c>
      <c r="BS351" t="s">
        <v>2743</v>
      </c>
      <c r="BT351" t="str">
        <f>HYPERLINK("https%3A%2F%2Fwww.webofscience.com%2Fwos%2Fwoscc%2Ffull-record%2FWOS:000455203800009","View Full Record in Web of Science")</f>
        <v>View Full Record in Web of Science</v>
      </c>
    </row>
    <row r="352" spans="1:72" x14ac:dyDescent="0.2">
      <c r="A352" t="s">
        <v>72</v>
      </c>
      <c r="B352" t="s">
        <v>2744</v>
      </c>
      <c r="C352" t="s">
        <v>74</v>
      </c>
      <c r="D352" t="s">
        <v>74</v>
      </c>
      <c r="E352" t="s">
        <v>74</v>
      </c>
      <c r="F352" t="s">
        <v>2745</v>
      </c>
      <c r="G352" t="s">
        <v>74</v>
      </c>
      <c r="H352" t="s">
        <v>74</v>
      </c>
      <c r="I352" t="s">
        <v>2746</v>
      </c>
      <c r="J352" t="s">
        <v>180</v>
      </c>
      <c r="K352" t="s">
        <v>74</v>
      </c>
      <c r="L352" t="s">
        <v>74</v>
      </c>
      <c r="M352" t="s">
        <v>74</v>
      </c>
      <c r="N352" t="s">
        <v>74</v>
      </c>
      <c r="O352" t="s">
        <v>74</v>
      </c>
      <c r="P352" t="s">
        <v>74</v>
      </c>
      <c r="Q352" t="s">
        <v>74</v>
      </c>
      <c r="R352" t="s">
        <v>74</v>
      </c>
      <c r="S352" t="s">
        <v>74</v>
      </c>
      <c r="T352" t="s">
        <v>74</v>
      </c>
      <c r="U352" t="s">
        <v>74</v>
      </c>
      <c r="V352" t="s">
        <v>74</v>
      </c>
      <c r="W352" t="s">
        <v>74</v>
      </c>
      <c r="X352" t="s">
        <v>74</v>
      </c>
      <c r="Y352" t="s">
        <v>74</v>
      </c>
      <c r="Z352" t="s">
        <v>74</v>
      </c>
      <c r="AA352" t="s">
        <v>2747</v>
      </c>
      <c r="AB352" t="s">
        <v>2748</v>
      </c>
      <c r="AC352" t="s">
        <v>74</v>
      </c>
      <c r="AD352" t="s">
        <v>74</v>
      </c>
      <c r="AE352" t="s">
        <v>74</v>
      </c>
      <c r="AF352" t="s">
        <v>74</v>
      </c>
      <c r="AG352" t="s">
        <v>74</v>
      </c>
      <c r="AH352" t="s">
        <v>74</v>
      </c>
      <c r="AI352" t="s">
        <v>74</v>
      </c>
      <c r="AJ352" t="s">
        <v>74</v>
      </c>
      <c r="AK352" t="s">
        <v>74</v>
      </c>
      <c r="AL352" t="s">
        <v>74</v>
      </c>
      <c r="AM352" t="s">
        <v>74</v>
      </c>
      <c r="AN352" t="s">
        <v>74</v>
      </c>
      <c r="AO352" t="s">
        <v>182</v>
      </c>
      <c r="AP352" t="s">
        <v>183</v>
      </c>
      <c r="AQ352" t="s">
        <v>74</v>
      </c>
      <c r="AR352" t="s">
        <v>74</v>
      </c>
      <c r="AS352" t="s">
        <v>74</v>
      </c>
      <c r="AT352" t="s">
        <v>315</v>
      </c>
      <c r="AU352">
        <v>2019</v>
      </c>
      <c r="AV352">
        <v>128</v>
      </c>
      <c r="AW352">
        <v>1</v>
      </c>
      <c r="AX352" t="s">
        <v>74</v>
      </c>
      <c r="AY352" t="s">
        <v>74</v>
      </c>
      <c r="AZ352" t="s">
        <v>74</v>
      </c>
      <c r="BA352" t="s">
        <v>74</v>
      </c>
      <c r="BB352">
        <v>102</v>
      </c>
      <c r="BC352">
        <v>112</v>
      </c>
      <c r="BD352" t="s">
        <v>74</v>
      </c>
      <c r="BE352" t="s">
        <v>2749</v>
      </c>
      <c r="BF352" t="str">
        <f>HYPERLINK("http://dx.doi.org/10.1111/oik.05339","http://dx.doi.org/10.1111/oik.05339")</f>
        <v>http://dx.doi.org/10.1111/oik.05339</v>
      </c>
      <c r="BG352" t="s">
        <v>74</v>
      </c>
      <c r="BH352" t="s">
        <v>74</v>
      </c>
      <c r="BI352" t="s">
        <v>74</v>
      </c>
      <c r="BJ352" t="s">
        <v>74</v>
      </c>
      <c r="BK352" t="s">
        <v>74</v>
      </c>
      <c r="BL352" t="s">
        <v>74</v>
      </c>
      <c r="BM352" t="s">
        <v>74</v>
      </c>
      <c r="BN352" t="s">
        <v>74</v>
      </c>
      <c r="BO352" t="s">
        <v>74</v>
      </c>
      <c r="BP352" t="s">
        <v>74</v>
      </c>
      <c r="BQ352" t="s">
        <v>74</v>
      </c>
      <c r="BR352" t="s">
        <v>74</v>
      </c>
      <c r="BS352" t="s">
        <v>2750</v>
      </c>
      <c r="BT352" t="str">
        <f>HYPERLINK("https%3A%2F%2Fwww.webofscience.com%2Fwos%2Fwoscc%2Ffull-record%2FWOS:000454822500010","View Full Record in Web of Science")</f>
        <v>View Full Record in Web of Science</v>
      </c>
    </row>
    <row r="353" spans="1:72" x14ac:dyDescent="0.2">
      <c r="A353" t="s">
        <v>72</v>
      </c>
      <c r="B353" t="s">
        <v>2751</v>
      </c>
      <c r="C353" t="s">
        <v>74</v>
      </c>
      <c r="D353" t="s">
        <v>74</v>
      </c>
      <c r="E353" t="s">
        <v>74</v>
      </c>
      <c r="F353" t="s">
        <v>2752</v>
      </c>
      <c r="G353" t="s">
        <v>74</v>
      </c>
      <c r="H353" t="s">
        <v>74</v>
      </c>
      <c r="I353" t="s">
        <v>2753</v>
      </c>
      <c r="J353" t="s">
        <v>1904</v>
      </c>
      <c r="K353" t="s">
        <v>74</v>
      </c>
      <c r="L353" t="s">
        <v>74</v>
      </c>
      <c r="M353" t="s">
        <v>74</v>
      </c>
      <c r="N353" t="s">
        <v>74</v>
      </c>
      <c r="O353" t="s">
        <v>74</v>
      </c>
      <c r="P353" t="s">
        <v>74</v>
      </c>
      <c r="Q353" t="s">
        <v>74</v>
      </c>
      <c r="R353" t="s">
        <v>74</v>
      </c>
      <c r="S353" t="s">
        <v>74</v>
      </c>
      <c r="T353" t="s">
        <v>74</v>
      </c>
      <c r="U353" t="s">
        <v>74</v>
      </c>
      <c r="V353" t="s">
        <v>74</v>
      </c>
      <c r="W353" t="s">
        <v>74</v>
      </c>
      <c r="X353" t="s">
        <v>74</v>
      </c>
      <c r="Y353" t="s">
        <v>74</v>
      </c>
      <c r="Z353" t="s">
        <v>74</v>
      </c>
      <c r="AA353" t="s">
        <v>74</v>
      </c>
      <c r="AB353" t="s">
        <v>74</v>
      </c>
      <c r="AC353" t="s">
        <v>74</v>
      </c>
      <c r="AD353" t="s">
        <v>74</v>
      </c>
      <c r="AE353" t="s">
        <v>74</v>
      </c>
      <c r="AF353" t="s">
        <v>74</v>
      </c>
      <c r="AG353" t="s">
        <v>74</v>
      </c>
      <c r="AH353" t="s">
        <v>74</v>
      </c>
      <c r="AI353" t="s">
        <v>74</v>
      </c>
      <c r="AJ353" t="s">
        <v>74</v>
      </c>
      <c r="AK353" t="s">
        <v>74</v>
      </c>
      <c r="AL353" t="s">
        <v>74</v>
      </c>
      <c r="AM353" t="s">
        <v>74</v>
      </c>
      <c r="AN353" t="s">
        <v>74</v>
      </c>
      <c r="AO353" t="s">
        <v>1905</v>
      </c>
      <c r="AP353" t="s">
        <v>1906</v>
      </c>
      <c r="AQ353" t="s">
        <v>74</v>
      </c>
      <c r="AR353" t="s">
        <v>74</v>
      </c>
      <c r="AS353" t="s">
        <v>74</v>
      </c>
      <c r="AT353" t="s">
        <v>74</v>
      </c>
      <c r="AU353">
        <v>2019</v>
      </c>
      <c r="AV353">
        <v>38</v>
      </c>
      <c r="AW353">
        <v>1</v>
      </c>
      <c r="AX353" t="s">
        <v>74</v>
      </c>
      <c r="AY353" t="s">
        <v>74</v>
      </c>
      <c r="AZ353" t="s">
        <v>74</v>
      </c>
      <c r="BA353" t="s">
        <v>74</v>
      </c>
      <c r="BB353">
        <v>103</v>
      </c>
      <c r="BC353">
        <v>117</v>
      </c>
      <c r="BD353" t="s">
        <v>74</v>
      </c>
      <c r="BE353" t="s">
        <v>2754</v>
      </c>
      <c r="BF353" t="str">
        <f>HYPERLINK("http://dx.doi.org/10.23818/limn.38.14","http://dx.doi.org/10.23818/limn.38.14")</f>
        <v>http://dx.doi.org/10.23818/limn.38.14</v>
      </c>
      <c r="BG353" t="s">
        <v>74</v>
      </c>
      <c r="BH353" t="s">
        <v>74</v>
      </c>
      <c r="BI353" t="s">
        <v>74</v>
      </c>
      <c r="BJ353" t="s">
        <v>74</v>
      </c>
      <c r="BK353" t="s">
        <v>74</v>
      </c>
      <c r="BL353" t="s">
        <v>74</v>
      </c>
      <c r="BM353" t="s">
        <v>74</v>
      </c>
      <c r="BN353" t="s">
        <v>74</v>
      </c>
      <c r="BO353" t="s">
        <v>74</v>
      </c>
      <c r="BP353" t="s">
        <v>74</v>
      </c>
      <c r="BQ353" t="s">
        <v>74</v>
      </c>
      <c r="BR353" t="s">
        <v>74</v>
      </c>
      <c r="BS353" t="s">
        <v>2755</v>
      </c>
      <c r="BT353" t="str">
        <f>HYPERLINK("https%3A%2F%2Fwww.webofscience.com%2Fwos%2Fwoscc%2Ffull-record%2FWOS:000457181700007","View Full Record in Web of Science")</f>
        <v>View Full Record in Web of Science</v>
      </c>
    </row>
    <row r="354" spans="1:72" x14ac:dyDescent="0.2">
      <c r="A354" t="s">
        <v>72</v>
      </c>
      <c r="B354" t="s">
        <v>2756</v>
      </c>
      <c r="C354" t="s">
        <v>74</v>
      </c>
      <c r="D354" t="s">
        <v>74</v>
      </c>
      <c r="E354" t="s">
        <v>74</v>
      </c>
      <c r="F354" t="s">
        <v>2757</v>
      </c>
      <c r="G354" t="s">
        <v>74</v>
      </c>
      <c r="H354" t="s">
        <v>74</v>
      </c>
      <c r="I354" t="s">
        <v>2758</v>
      </c>
      <c r="J354" t="s">
        <v>2759</v>
      </c>
      <c r="K354" t="s">
        <v>74</v>
      </c>
      <c r="L354" t="s">
        <v>74</v>
      </c>
      <c r="M354" t="s">
        <v>74</v>
      </c>
      <c r="N354" t="s">
        <v>74</v>
      </c>
      <c r="O354" t="s">
        <v>74</v>
      </c>
      <c r="P354" t="s">
        <v>74</v>
      </c>
      <c r="Q354" t="s">
        <v>74</v>
      </c>
      <c r="R354" t="s">
        <v>74</v>
      </c>
      <c r="S354" t="s">
        <v>74</v>
      </c>
      <c r="T354" t="s">
        <v>74</v>
      </c>
      <c r="U354" t="s">
        <v>74</v>
      </c>
      <c r="V354" t="s">
        <v>74</v>
      </c>
      <c r="W354" t="s">
        <v>74</v>
      </c>
      <c r="X354" t="s">
        <v>74</v>
      </c>
      <c r="Y354" t="s">
        <v>74</v>
      </c>
      <c r="Z354" t="s">
        <v>74</v>
      </c>
      <c r="AA354" t="s">
        <v>2760</v>
      </c>
      <c r="AB354" t="s">
        <v>2761</v>
      </c>
      <c r="AC354" t="s">
        <v>74</v>
      </c>
      <c r="AD354" t="s">
        <v>74</v>
      </c>
      <c r="AE354" t="s">
        <v>74</v>
      </c>
      <c r="AF354" t="s">
        <v>74</v>
      </c>
      <c r="AG354" t="s">
        <v>74</v>
      </c>
      <c r="AH354" t="s">
        <v>74</v>
      </c>
      <c r="AI354" t="s">
        <v>74</v>
      </c>
      <c r="AJ354" t="s">
        <v>74</v>
      </c>
      <c r="AK354" t="s">
        <v>74</v>
      </c>
      <c r="AL354" t="s">
        <v>74</v>
      </c>
      <c r="AM354" t="s">
        <v>74</v>
      </c>
      <c r="AN354" t="s">
        <v>74</v>
      </c>
      <c r="AO354" t="s">
        <v>2762</v>
      </c>
      <c r="AP354" t="s">
        <v>2763</v>
      </c>
      <c r="AQ354" t="s">
        <v>74</v>
      </c>
      <c r="AR354" t="s">
        <v>74</v>
      </c>
      <c r="AS354" t="s">
        <v>74</v>
      </c>
      <c r="AT354" t="s">
        <v>315</v>
      </c>
      <c r="AU354">
        <v>2019</v>
      </c>
      <c r="AV354">
        <v>88</v>
      </c>
      <c r="AW354">
        <v>1</v>
      </c>
      <c r="AX354" t="s">
        <v>74</v>
      </c>
      <c r="AY354" t="s">
        <v>74</v>
      </c>
      <c r="AZ354" t="s">
        <v>74</v>
      </c>
      <c r="BA354" t="s">
        <v>74</v>
      </c>
      <c r="BB354">
        <v>35</v>
      </c>
      <c r="BC354">
        <v>46</v>
      </c>
      <c r="BD354" t="s">
        <v>74</v>
      </c>
      <c r="BE354" t="s">
        <v>2764</v>
      </c>
      <c r="BF354" t="str">
        <f>HYPERLINK("http://dx.doi.org/10.1111/1365-2656.12938","http://dx.doi.org/10.1111/1365-2656.12938")</f>
        <v>http://dx.doi.org/10.1111/1365-2656.12938</v>
      </c>
      <c r="BG354" t="s">
        <v>74</v>
      </c>
      <c r="BH354" t="s">
        <v>74</v>
      </c>
      <c r="BI354" t="s">
        <v>74</v>
      </c>
      <c r="BJ354" t="s">
        <v>74</v>
      </c>
      <c r="BK354" t="s">
        <v>74</v>
      </c>
      <c r="BL354" t="s">
        <v>74</v>
      </c>
      <c r="BM354" t="s">
        <v>74</v>
      </c>
      <c r="BN354">
        <v>30548579</v>
      </c>
      <c r="BO354" t="s">
        <v>74</v>
      </c>
      <c r="BP354" t="s">
        <v>74</v>
      </c>
      <c r="BQ354" t="s">
        <v>74</v>
      </c>
      <c r="BR354" t="s">
        <v>74</v>
      </c>
      <c r="BS354" t="s">
        <v>2765</v>
      </c>
      <c r="BT354" t="str">
        <f>HYPERLINK("https%3A%2F%2Fwww.webofscience.com%2Fwos%2Fwoscc%2Ffull-record%2FWOS:000456690800005","View Full Record in Web of Science")</f>
        <v>View Full Record in Web of Science</v>
      </c>
    </row>
    <row r="355" spans="1:72" x14ac:dyDescent="0.2">
      <c r="A355" t="s">
        <v>72</v>
      </c>
      <c r="B355" t="s">
        <v>2766</v>
      </c>
      <c r="C355" t="s">
        <v>74</v>
      </c>
      <c r="D355" t="s">
        <v>74</v>
      </c>
      <c r="E355" t="s">
        <v>74</v>
      </c>
      <c r="F355" t="s">
        <v>2767</v>
      </c>
      <c r="G355" t="s">
        <v>74</v>
      </c>
      <c r="H355" t="s">
        <v>74</v>
      </c>
      <c r="I355" t="s">
        <v>2768</v>
      </c>
      <c r="J355" t="s">
        <v>2769</v>
      </c>
      <c r="K355" t="s">
        <v>74</v>
      </c>
      <c r="L355" t="s">
        <v>74</v>
      </c>
      <c r="M355" t="s">
        <v>74</v>
      </c>
      <c r="N355" t="s">
        <v>74</v>
      </c>
      <c r="O355" t="s">
        <v>74</v>
      </c>
      <c r="P355" t="s">
        <v>74</v>
      </c>
      <c r="Q355" t="s">
        <v>74</v>
      </c>
      <c r="R355" t="s">
        <v>74</v>
      </c>
      <c r="S355" t="s">
        <v>74</v>
      </c>
      <c r="T355" t="s">
        <v>74</v>
      </c>
      <c r="U355" t="s">
        <v>74</v>
      </c>
      <c r="V355" t="s">
        <v>74</v>
      </c>
      <c r="W355" t="s">
        <v>74</v>
      </c>
      <c r="X355" t="s">
        <v>74</v>
      </c>
      <c r="Y355" t="s">
        <v>74</v>
      </c>
      <c r="Z355" t="s">
        <v>74</v>
      </c>
      <c r="AA355" t="s">
        <v>2770</v>
      </c>
      <c r="AB355" t="s">
        <v>2771</v>
      </c>
      <c r="AC355" t="s">
        <v>74</v>
      </c>
      <c r="AD355" t="s">
        <v>74</v>
      </c>
      <c r="AE355" t="s">
        <v>74</v>
      </c>
      <c r="AF355" t="s">
        <v>74</v>
      </c>
      <c r="AG355" t="s">
        <v>74</v>
      </c>
      <c r="AH355" t="s">
        <v>74</v>
      </c>
      <c r="AI355" t="s">
        <v>74</v>
      </c>
      <c r="AJ355" t="s">
        <v>74</v>
      </c>
      <c r="AK355" t="s">
        <v>74</v>
      </c>
      <c r="AL355" t="s">
        <v>74</v>
      </c>
      <c r="AM355" t="s">
        <v>74</v>
      </c>
      <c r="AN355" t="s">
        <v>74</v>
      </c>
      <c r="AO355" t="s">
        <v>2772</v>
      </c>
      <c r="AP355" t="s">
        <v>2773</v>
      </c>
      <c r="AQ355" t="s">
        <v>74</v>
      </c>
      <c r="AR355" t="s">
        <v>74</v>
      </c>
      <c r="AS355" t="s">
        <v>74</v>
      </c>
      <c r="AT355" t="s">
        <v>74</v>
      </c>
      <c r="AU355">
        <v>2019</v>
      </c>
      <c r="AV355">
        <v>83</v>
      </c>
      <c r="AW355">
        <v>3</v>
      </c>
      <c r="AX355" t="s">
        <v>74</v>
      </c>
      <c r="AY355" t="s">
        <v>74</v>
      </c>
      <c r="AZ355" t="s">
        <v>74</v>
      </c>
      <c r="BA355" t="s">
        <v>74</v>
      </c>
      <c r="BB355">
        <v>295</v>
      </c>
      <c r="BC355">
        <v>308</v>
      </c>
      <c r="BD355" t="s">
        <v>74</v>
      </c>
      <c r="BE355" t="s">
        <v>2774</v>
      </c>
      <c r="BF355" t="str">
        <f>HYPERLINK("http://dx.doi.org/10.3354/ame01919","http://dx.doi.org/10.3354/ame01919")</f>
        <v>http://dx.doi.org/10.3354/ame01919</v>
      </c>
      <c r="BG355" t="s">
        <v>74</v>
      </c>
      <c r="BH355" t="s">
        <v>74</v>
      </c>
      <c r="BI355" t="s">
        <v>74</v>
      </c>
      <c r="BJ355" t="s">
        <v>74</v>
      </c>
      <c r="BK355" t="s">
        <v>74</v>
      </c>
      <c r="BL355" t="s">
        <v>74</v>
      </c>
      <c r="BM355" t="s">
        <v>74</v>
      </c>
      <c r="BN355" t="s">
        <v>74</v>
      </c>
      <c r="BO355" t="s">
        <v>74</v>
      </c>
      <c r="BP355" t="s">
        <v>74</v>
      </c>
      <c r="BQ355" t="s">
        <v>74</v>
      </c>
      <c r="BR355" t="s">
        <v>74</v>
      </c>
      <c r="BS355" t="s">
        <v>2775</v>
      </c>
      <c r="BT355" t="str">
        <f>HYPERLINK("https%3A%2F%2Fwww.webofscience.com%2Fwos%2Fwoscc%2Ffull-record%2FWOS:000522814600008","View Full Record in Web of Science")</f>
        <v>View Full Record in Web of Science</v>
      </c>
    </row>
    <row r="356" spans="1:72" x14ac:dyDescent="0.2">
      <c r="A356" t="s">
        <v>72</v>
      </c>
      <c r="B356" t="s">
        <v>2776</v>
      </c>
      <c r="C356" t="s">
        <v>74</v>
      </c>
      <c r="D356" t="s">
        <v>74</v>
      </c>
      <c r="E356" t="s">
        <v>74</v>
      </c>
      <c r="F356" t="s">
        <v>2777</v>
      </c>
      <c r="G356" t="s">
        <v>74</v>
      </c>
      <c r="H356" t="s">
        <v>74</v>
      </c>
      <c r="I356" t="s">
        <v>2778</v>
      </c>
      <c r="J356" t="s">
        <v>180</v>
      </c>
      <c r="K356" t="s">
        <v>74</v>
      </c>
      <c r="L356" t="s">
        <v>74</v>
      </c>
      <c r="M356" t="s">
        <v>74</v>
      </c>
      <c r="N356" t="s">
        <v>74</v>
      </c>
      <c r="O356" t="s">
        <v>74</v>
      </c>
      <c r="P356" t="s">
        <v>74</v>
      </c>
      <c r="Q356" t="s">
        <v>74</v>
      </c>
      <c r="R356" t="s">
        <v>74</v>
      </c>
      <c r="S356" t="s">
        <v>74</v>
      </c>
      <c r="T356" t="s">
        <v>74</v>
      </c>
      <c r="U356" t="s">
        <v>74</v>
      </c>
      <c r="V356" t="s">
        <v>74</v>
      </c>
      <c r="W356" t="s">
        <v>74</v>
      </c>
      <c r="X356" t="s">
        <v>74</v>
      </c>
      <c r="Y356" t="s">
        <v>74</v>
      </c>
      <c r="Z356" t="s">
        <v>74</v>
      </c>
      <c r="AA356" t="s">
        <v>6980</v>
      </c>
      <c r="AB356" t="s">
        <v>2779</v>
      </c>
      <c r="AC356" t="s">
        <v>74</v>
      </c>
      <c r="AD356" t="s">
        <v>74</v>
      </c>
      <c r="AE356" t="s">
        <v>74</v>
      </c>
      <c r="AF356" t="s">
        <v>74</v>
      </c>
      <c r="AG356" t="s">
        <v>74</v>
      </c>
      <c r="AH356" t="s">
        <v>74</v>
      </c>
      <c r="AI356" t="s">
        <v>74</v>
      </c>
      <c r="AJ356" t="s">
        <v>74</v>
      </c>
      <c r="AK356" t="s">
        <v>74</v>
      </c>
      <c r="AL356" t="s">
        <v>74</v>
      </c>
      <c r="AM356" t="s">
        <v>74</v>
      </c>
      <c r="AN356" t="s">
        <v>74</v>
      </c>
      <c r="AO356" t="s">
        <v>182</v>
      </c>
      <c r="AP356" t="s">
        <v>183</v>
      </c>
      <c r="AQ356" t="s">
        <v>74</v>
      </c>
      <c r="AR356" t="s">
        <v>74</v>
      </c>
      <c r="AS356" t="s">
        <v>74</v>
      </c>
      <c r="AT356" t="s">
        <v>82</v>
      </c>
      <c r="AU356">
        <v>2018</v>
      </c>
      <c r="AV356">
        <v>127</v>
      </c>
      <c r="AW356">
        <v>12</v>
      </c>
      <c r="AX356" t="s">
        <v>74</v>
      </c>
      <c r="AY356" t="s">
        <v>74</v>
      </c>
      <c r="AZ356" t="s">
        <v>74</v>
      </c>
      <c r="BA356" t="s">
        <v>74</v>
      </c>
      <c r="BB356">
        <v>1800</v>
      </c>
      <c r="BC356">
        <v>1811</v>
      </c>
      <c r="BD356" t="s">
        <v>74</v>
      </c>
      <c r="BE356" t="s">
        <v>2780</v>
      </c>
      <c r="BF356" t="str">
        <f>HYPERLINK("http://dx.doi.org/10.1111/oik.05556","http://dx.doi.org/10.1111/oik.05556")</f>
        <v>http://dx.doi.org/10.1111/oik.05556</v>
      </c>
      <c r="BG356" t="s">
        <v>74</v>
      </c>
      <c r="BH356" t="s">
        <v>74</v>
      </c>
      <c r="BI356" t="s">
        <v>74</v>
      </c>
      <c r="BJ356" t="s">
        <v>74</v>
      </c>
      <c r="BK356" t="s">
        <v>74</v>
      </c>
      <c r="BL356" t="s">
        <v>74</v>
      </c>
      <c r="BM356" t="s">
        <v>74</v>
      </c>
      <c r="BN356" t="s">
        <v>74</v>
      </c>
      <c r="BO356" t="s">
        <v>74</v>
      </c>
      <c r="BP356" t="s">
        <v>74</v>
      </c>
      <c r="BQ356" t="s">
        <v>74</v>
      </c>
      <c r="BR356" t="s">
        <v>74</v>
      </c>
      <c r="BS356" t="s">
        <v>2781</v>
      </c>
      <c r="BT356" t="str">
        <f>HYPERLINK("https%3A%2F%2Fwww.webofscience.com%2Fwos%2Fwoscc%2Ffull-record%2FWOS:000451851200009","View Full Record in Web of Science")</f>
        <v>View Full Record in Web of Science</v>
      </c>
    </row>
    <row r="357" spans="1:72" x14ac:dyDescent="0.2">
      <c r="A357" t="s">
        <v>72</v>
      </c>
      <c r="B357" t="s">
        <v>2782</v>
      </c>
      <c r="C357" t="s">
        <v>74</v>
      </c>
      <c r="D357" t="s">
        <v>74</v>
      </c>
      <c r="E357" t="s">
        <v>74</v>
      </c>
      <c r="F357" t="s">
        <v>2783</v>
      </c>
      <c r="G357" t="s">
        <v>74</v>
      </c>
      <c r="H357" t="s">
        <v>74</v>
      </c>
      <c r="I357" t="s">
        <v>2784</v>
      </c>
      <c r="J357" t="s">
        <v>596</v>
      </c>
      <c r="K357" t="s">
        <v>74</v>
      </c>
      <c r="L357" t="s">
        <v>74</v>
      </c>
      <c r="M357" t="s">
        <v>74</v>
      </c>
      <c r="N357" t="s">
        <v>74</v>
      </c>
      <c r="O357" t="s">
        <v>74</v>
      </c>
      <c r="P357" t="s">
        <v>74</v>
      </c>
      <c r="Q357" t="s">
        <v>74</v>
      </c>
      <c r="R357" t="s">
        <v>74</v>
      </c>
      <c r="S357" t="s">
        <v>74</v>
      </c>
      <c r="T357" t="s">
        <v>74</v>
      </c>
      <c r="U357" t="s">
        <v>74</v>
      </c>
      <c r="V357" t="s">
        <v>74</v>
      </c>
      <c r="W357" t="s">
        <v>74</v>
      </c>
      <c r="X357" t="s">
        <v>74</v>
      </c>
      <c r="Y357" t="s">
        <v>74</v>
      </c>
      <c r="Z357" t="s">
        <v>74</v>
      </c>
      <c r="AA357" t="s">
        <v>74</v>
      </c>
      <c r="AB357" t="s">
        <v>2785</v>
      </c>
      <c r="AC357" t="s">
        <v>74</v>
      </c>
      <c r="AD357" t="s">
        <v>74</v>
      </c>
      <c r="AE357" t="s">
        <v>74</v>
      </c>
      <c r="AF357" t="s">
        <v>74</v>
      </c>
      <c r="AG357" t="s">
        <v>74</v>
      </c>
      <c r="AH357" t="s">
        <v>74</v>
      </c>
      <c r="AI357" t="s">
        <v>74</v>
      </c>
      <c r="AJ357" t="s">
        <v>74</v>
      </c>
      <c r="AK357" t="s">
        <v>74</v>
      </c>
      <c r="AL357" t="s">
        <v>74</v>
      </c>
      <c r="AM357" t="s">
        <v>74</v>
      </c>
      <c r="AN357" t="s">
        <v>74</v>
      </c>
      <c r="AO357" t="s">
        <v>597</v>
      </c>
      <c r="AP357" t="s">
        <v>74</v>
      </c>
      <c r="AQ357" t="s">
        <v>74</v>
      </c>
      <c r="AR357" t="s">
        <v>74</v>
      </c>
      <c r="AS357" t="s">
        <v>74</v>
      </c>
      <c r="AT357" t="s">
        <v>82</v>
      </c>
      <c r="AU357">
        <v>2018</v>
      </c>
      <c r="AV357">
        <v>9</v>
      </c>
      <c r="AW357">
        <v>12</v>
      </c>
      <c r="AX357" t="s">
        <v>74</v>
      </c>
      <c r="AY357" t="s">
        <v>74</v>
      </c>
      <c r="AZ357" t="s">
        <v>74</v>
      </c>
      <c r="BA357" t="s">
        <v>74</v>
      </c>
      <c r="BB357" t="s">
        <v>74</v>
      </c>
      <c r="BC357" t="s">
        <v>74</v>
      </c>
      <c r="BD357" t="s">
        <v>2786</v>
      </c>
      <c r="BE357" t="s">
        <v>2787</v>
      </c>
      <c r="BF357" t="str">
        <f>HYPERLINK("http://dx.doi.org/10.1002/ecs2.2537","http://dx.doi.org/10.1002/ecs2.2537")</f>
        <v>http://dx.doi.org/10.1002/ecs2.2537</v>
      </c>
      <c r="BG357" t="s">
        <v>74</v>
      </c>
      <c r="BH357" t="s">
        <v>74</v>
      </c>
      <c r="BI357" t="s">
        <v>74</v>
      </c>
      <c r="BJ357" t="s">
        <v>74</v>
      </c>
      <c r="BK357" t="s">
        <v>74</v>
      </c>
      <c r="BL357" t="s">
        <v>74</v>
      </c>
      <c r="BM357" t="s">
        <v>74</v>
      </c>
      <c r="BN357" t="s">
        <v>74</v>
      </c>
      <c r="BO357" t="s">
        <v>74</v>
      </c>
      <c r="BP357" t="s">
        <v>74</v>
      </c>
      <c r="BQ357" t="s">
        <v>74</v>
      </c>
      <c r="BR357" t="s">
        <v>74</v>
      </c>
      <c r="BS357" t="s">
        <v>2788</v>
      </c>
      <c r="BT357" t="str">
        <f>HYPERLINK("https%3A%2F%2Fwww.webofscience.com%2Fwos%2Fwoscc%2Ffull-record%2FWOS:000454308600014","View Full Record in Web of Science")</f>
        <v>View Full Record in Web of Science</v>
      </c>
    </row>
    <row r="358" spans="1:72" x14ac:dyDescent="0.2">
      <c r="A358" t="s">
        <v>72</v>
      </c>
      <c r="B358" t="s">
        <v>2789</v>
      </c>
      <c r="C358" t="s">
        <v>74</v>
      </c>
      <c r="D358" t="s">
        <v>74</v>
      </c>
      <c r="E358" t="s">
        <v>74</v>
      </c>
      <c r="F358" t="s">
        <v>2790</v>
      </c>
      <c r="G358" t="s">
        <v>74</v>
      </c>
      <c r="H358" t="s">
        <v>74</v>
      </c>
      <c r="I358" t="s">
        <v>2791</v>
      </c>
      <c r="J358" t="s">
        <v>2792</v>
      </c>
      <c r="K358" t="s">
        <v>74</v>
      </c>
      <c r="L358" t="s">
        <v>74</v>
      </c>
      <c r="M358" t="s">
        <v>74</v>
      </c>
      <c r="N358" t="s">
        <v>74</v>
      </c>
      <c r="O358" t="s">
        <v>74</v>
      </c>
      <c r="P358" t="s">
        <v>74</v>
      </c>
      <c r="Q358" t="s">
        <v>74</v>
      </c>
      <c r="R358" t="s">
        <v>74</v>
      </c>
      <c r="S358" t="s">
        <v>74</v>
      </c>
      <c r="T358" t="s">
        <v>74</v>
      </c>
      <c r="U358" t="s">
        <v>74</v>
      </c>
      <c r="V358" t="s">
        <v>74</v>
      </c>
      <c r="W358" t="s">
        <v>74</v>
      </c>
      <c r="X358" t="s">
        <v>74</v>
      </c>
      <c r="Y358" t="s">
        <v>74</v>
      </c>
      <c r="Z358" t="s">
        <v>74</v>
      </c>
      <c r="AA358" t="s">
        <v>74</v>
      </c>
      <c r="AB358" t="s">
        <v>74</v>
      </c>
      <c r="AC358" t="s">
        <v>74</v>
      </c>
      <c r="AD358" t="s">
        <v>74</v>
      </c>
      <c r="AE358" t="s">
        <v>74</v>
      </c>
      <c r="AF358" t="s">
        <v>74</v>
      </c>
      <c r="AG358" t="s">
        <v>74</v>
      </c>
      <c r="AH358" t="s">
        <v>74</v>
      </c>
      <c r="AI358" t="s">
        <v>74</v>
      </c>
      <c r="AJ358" t="s">
        <v>74</v>
      </c>
      <c r="AK358" t="s">
        <v>74</v>
      </c>
      <c r="AL358" t="s">
        <v>74</v>
      </c>
      <c r="AM358" t="s">
        <v>74</v>
      </c>
      <c r="AN358" t="s">
        <v>74</v>
      </c>
      <c r="AO358" t="s">
        <v>2793</v>
      </c>
      <c r="AP358" t="s">
        <v>2794</v>
      </c>
      <c r="AQ358" t="s">
        <v>74</v>
      </c>
      <c r="AR358" t="s">
        <v>74</v>
      </c>
      <c r="AS358" t="s">
        <v>74</v>
      </c>
      <c r="AT358" t="s">
        <v>82</v>
      </c>
      <c r="AU358">
        <v>2018</v>
      </c>
      <c r="AV358">
        <v>192</v>
      </c>
      <c r="AW358" t="s">
        <v>74</v>
      </c>
      <c r="AX358" t="s">
        <v>74</v>
      </c>
      <c r="AY358" t="s">
        <v>74</v>
      </c>
      <c r="AZ358" t="s">
        <v>74</v>
      </c>
      <c r="BA358" t="s">
        <v>74</v>
      </c>
      <c r="BB358">
        <v>14</v>
      </c>
      <c r="BC358">
        <v>25</v>
      </c>
      <c r="BD358" t="s">
        <v>74</v>
      </c>
      <c r="BE358" t="s">
        <v>2795</v>
      </c>
      <c r="BF358" t="str">
        <f>HYPERLINK("http://dx.doi.org/10.1016/j.jenvrad.2018.05.016","http://dx.doi.org/10.1016/j.jenvrad.2018.05.016")</f>
        <v>http://dx.doi.org/10.1016/j.jenvrad.2018.05.016</v>
      </c>
      <c r="BG358" t="s">
        <v>74</v>
      </c>
      <c r="BH358" t="s">
        <v>74</v>
      </c>
      <c r="BI358" t="s">
        <v>74</v>
      </c>
      <c r="BJ358" t="s">
        <v>74</v>
      </c>
      <c r="BK358" t="s">
        <v>74</v>
      </c>
      <c r="BL358" t="s">
        <v>74</v>
      </c>
      <c r="BM358" t="s">
        <v>74</v>
      </c>
      <c r="BN358">
        <v>29883873</v>
      </c>
      <c r="BO358" t="s">
        <v>74</v>
      </c>
      <c r="BP358" t="s">
        <v>74</v>
      </c>
      <c r="BQ358" t="s">
        <v>74</v>
      </c>
      <c r="BR358" t="s">
        <v>74</v>
      </c>
      <c r="BS358" t="s">
        <v>2796</v>
      </c>
      <c r="BT358" t="str">
        <f>HYPERLINK("https%3A%2F%2Fwww.webofscience.com%2Fwos%2Fwoscc%2Ffull-record%2FWOS:000446289100003","View Full Record in Web of Science")</f>
        <v>View Full Record in Web of Science</v>
      </c>
    </row>
    <row r="359" spans="1:72" x14ac:dyDescent="0.2">
      <c r="A359" t="s">
        <v>72</v>
      </c>
      <c r="B359" t="s">
        <v>2797</v>
      </c>
      <c r="C359" t="s">
        <v>74</v>
      </c>
      <c r="D359" t="s">
        <v>74</v>
      </c>
      <c r="E359" t="s">
        <v>74</v>
      </c>
      <c r="F359" t="s">
        <v>2798</v>
      </c>
      <c r="G359" t="s">
        <v>74</v>
      </c>
      <c r="H359" t="s">
        <v>74</v>
      </c>
      <c r="I359" t="s">
        <v>2799</v>
      </c>
      <c r="J359" t="s">
        <v>381</v>
      </c>
      <c r="K359" t="s">
        <v>74</v>
      </c>
      <c r="L359" t="s">
        <v>74</v>
      </c>
      <c r="M359" t="s">
        <v>74</v>
      </c>
      <c r="N359" t="s">
        <v>74</v>
      </c>
      <c r="O359" t="s">
        <v>74</v>
      </c>
      <c r="P359" t="s">
        <v>74</v>
      </c>
      <c r="Q359" t="s">
        <v>74</v>
      </c>
      <c r="R359" t="s">
        <v>74</v>
      </c>
      <c r="S359" t="s">
        <v>74</v>
      </c>
      <c r="T359" t="s">
        <v>74</v>
      </c>
      <c r="U359" t="s">
        <v>74</v>
      </c>
      <c r="V359" t="s">
        <v>74</v>
      </c>
      <c r="W359" t="s">
        <v>74</v>
      </c>
      <c r="X359" t="s">
        <v>74</v>
      </c>
      <c r="Y359" t="s">
        <v>74</v>
      </c>
      <c r="Z359" t="s">
        <v>74</v>
      </c>
      <c r="AA359" t="s">
        <v>2800</v>
      </c>
      <c r="AB359" t="s">
        <v>2801</v>
      </c>
      <c r="AC359" t="s">
        <v>74</v>
      </c>
      <c r="AD359" t="s">
        <v>74</v>
      </c>
      <c r="AE359" t="s">
        <v>74</v>
      </c>
      <c r="AF359" t="s">
        <v>74</v>
      </c>
      <c r="AG359" t="s">
        <v>74</v>
      </c>
      <c r="AH359" t="s">
        <v>74</v>
      </c>
      <c r="AI359" t="s">
        <v>74</v>
      </c>
      <c r="AJ359" t="s">
        <v>74</v>
      </c>
      <c r="AK359" t="s">
        <v>74</v>
      </c>
      <c r="AL359" t="s">
        <v>74</v>
      </c>
      <c r="AM359" t="s">
        <v>74</v>
      </c>
      <c r="AN359" t="s">
        <v>74</v>
      </c>
      <c r="AO359" t="s">
        <v>383</v>
      </c>
      <c r="AP359" t="s">
        <v>384</v>
      </c>
      <c r="AQ359" t="s">
        <v>74</v>
      </c>
      <c r="AR359" t="s">
        <v>74</v>
      </c>
      <c r="AS359" t="s">
        <v>74</v>
      </c>
      <c r="AT359" t="s">
        <v>82</v>
      </c>
      <c r="AU359">
        <v>2018</v>
      </c>
      <c r="AV359">
        <v>243</v>
      </c>
      <c r="AW359" t="s">
        <v>74</v>
      </c>
      <c r="AX359" t="s">
        <v>2716</v>
      </c>
      <c r="AY359" t="s">
        <v>74</v>
      </c>
      <c r="AZ359" t="s">
        <v>74</v>
      </c>
      <c r="BA359" t="s">
        <v>74</v>
      </c>
      <c r="BB359">
        <v>791</v>
      </c>
      <c r="BC359">
        <v>799</v>
      </c>
      <c r="BD359" t="s">
        <v>74</v>
      </c>
      <c r="BE359" t="s">
        <v>2802</v>
      </c>
      <c r="BF359" t="str">
        <f>HYPERLINK("http://dx.doi.org/10.1016/j.envpol.2018.09.055","http://dx.doi.org/10.1016/j.envpol.2018.09.055")</f>
        <v>http://dx.doi.org/10.1016/j.envpol.2018.09.055</v>
      </c>
      <c r="BG359" t="s">
        <v>74</v>
      </c>
      <c r="BH359" t="s">
        <v>74</v>
      </c>
      <c r="BI359" t="s">
        <v>74</v>
      </c>
      <c r="BJ359" t="s">
        <v>74</v>
      </c>
      <c r="BK359" t="s">
        <v>74</v>
      </c>
      <c r="BL359" t="s">
        <v>74</v>
      </c>
      <c r="BM359" t="s">
        <v>74</v>
      </c>
      <c r="BN359">
        <v>30241003</v>
      </c>
      <c r="BO359" t="s">
        <v>74</v>
      </c>
      <c r="BP359" t="s">
        <v>74</v>
      </c>
      <c r="BQ359" t="s">
        <v>74</v>
      </c>
      <c r="BR359" t="s">
        <v>74</v>
      </c>
      <c r="BS359" t="s">
        <v>2803</v>
      </c>
      <c r="BT359" t="str">
        <f>HYPERLINK("https%3A%2F%2Fwww.webofscience.com%2Fwos%2Fwoscc%2Ffull-record%2FWOS:000449892700001","View Full Record in Web of Science")</f>
        <v>View Full Record in Web of Science</v>
      </c>
    </row>
    <row r="360" spans="1:72" x14ac:dyDescent="0.2">
      <c r="A360" t="s">
        <v>72</v>
      </c>
      <c r="B360" t="s">
        <v>2804</v>
      </c>
      <c r="C360" t="s">
        <v>74</v>
      </c>
      <c r="D360" t="s">
        <v>74</v>
      </c>
      <c r="E360" t="s">
        <v>74</v>
      </c>
      <c r="F360" t="s">
        <v>2805</v>
      </c>
      <c r="G360" t="s">
        <v>74</v>
      </c>
      <c r="H360" t="s">
        <v>74</v>
      </c>
      <c r="I360" t="s">
        <v>2806</v>
      </c>
      <c r="J360" t="s">
        <v>748</v>
      </c>
      <c r="K360" t="s">
        <v>74</v>
      </c>
      <c r="L360" t="s">
        <v>74</v>
      </c>
      <c r="M360" t="s">
        <v>74</v>
      </c>
      <c r="N360" t="s">
        <v>74</v>
      </c>
      <c r="O360" t="s">
        <v>74</v>
      </c>
      <c r="P360" t="s">
        <v>74</v>
      </c>
      <c r="Q360" t="s">
        <v>74</v>
      </c>
      <c r="R360" t="s">
        <v>74</v>
      </c>
      <c r="S360" t="s">
        <v>74</v>
      </c>
      <c r="T360" t="s">
        <v>74</v>
      </c>
      <c r="U360" t="s">
        <v>74</v>
      </c>
      <c r="V360" t="s">
        <v>74</v>
      </c>
      <c r="W360" t="s">
        <v>74</v>
      </c>
      <c r="X360" t="s">
        <v>74</v>
      </c>
      <c r="Y360" t="s">
        <v>74</v>
      </c>
      <c r="Z360" t="s">
        <v>74</v>
      </c>
      <c r="AA360" t="s">
        <v>2807</v>
      </c>
      <c r="AB360" t="s">
        <v>2808</v>
      </c>
      <c r="AC360" t="s">
        <v>74</v>
      </c>
      <c r="AD360" t="s">
        <v>74</v>
      </c>
      <c r="AE360" t="s">
        <v>74</v>
      </c>
      <c r="AF360" t="s">
        <v>74</v>
      </c>
      <c r="AG360" t="s">
        <v>74</v>
      </c>
      <c r="AH360" t="s">
        <v>74</v>
      </c>
      <c r="AI360" t="s">
        <v>74</v>
      </c>
      <c r="AJ360" t="s">
        <v>74</v>
      </c>
      <c r="AK360" t="s">
        <v>74</v>
      </c>
      <c r="AL360" t="s">
        <v>74</v>
      </c>
      <c r="AM360" t="s">
        <v>74</v>
      </c>
      <c r="AN360" t="s">
        <v>74</v>
      </c>
      <c r="AO360" t="s">
        <v>749</v>
      </c>
      <c r="AP360" t="s">
        <v>750</v>
      </c>
      <c r="AQ360" t="s">
        <v>74</v>
      </c>
      <c r="AR360" t="s">
        <v>74</v>
      </c>
      <c r="AS360" t="s">
        <v>74</v>
      </c>
      <c r="AT360" t="s">
        <v>335</v>
      </c>
      <c r="AU360">
        <v>2018</v>
      </c>
      <c r="AV360">
        <v>13</v>
      </c>
      <c r="AW360">
        <v>4</v>
      </c>
      <c r="AX360" t="s">
        <v>74</v>
      </c>
      <c r="AY360" t="s">
        <v>74</v>
      </c>
      <c r="AZ360" t="s">
        <v>74</v>
      </c>
      <c r="BA360" t="s">
        <v>74</v>
      </c>
      <c r="BB360">
        <v>163</v>
      </c>
      <c r="BC360">
        <v>172</v>
      </c>
      <c r="BD360" t="s">
        <v>74</v>
      </c>
      <c r="BE360" t="s">
        <v>2809</v>
      </c>
      <c r="BF360" t="str">
        <f>HYPERLINK("http://dx.doi.org/10.3800/pbr.13.163","http://dx.doi.org/10.3800/pbr.13.163")</f>
        <v>http://dx.doi.org/10.3800/pbr.13.163</v>
      </c>
      <c r="BG360" t="s">
        <v>74</v>
      </c>
      <c r="BH360" t="s">
        <v>74</v>
      </c>
      <c r="BI360" t="s">
        <v>74</v>
      </c>
      <c r="BJ360" t="s">
        <v>74</v>
      </c>
      <c r="BK360" t="s">
        <v>74</v>
      </c>
      <c r="BL360" t="s">
        <v>74</v>
      </c>
      <c r="BM360" t="s">
        <v>74</v>
      </c>
      <c r="BN360" t="s">
        <v>74</v>
      </c>
      <c r="BO360" t="s">
        <v>74</v>
      </c>
      <c r="BP360" t="s">
        <v>74</v>
      </c>
      <c r="BQ360" t="s">
        <v>74</v>
      </c>
      <c r="BR360" t="s">
        <v>74</v>
      </c>
      <c r="BS360" t="s">
        <v>2810</v>
      </c>
      <c r="BT360" t="str">
        <f>HYPERLINK("https%3A%2F%2Fwww.webofscience.com%2Fwos%2Fwoscc%2Ffull-record%2FWOS:000452935300003","View Full Record in Web of Science")</f>
        <v>View Full Record in Web of Science</v>
      </c>
    </row>
    <row r="361" spans="1:72" x14ac:dyDescent="0.2">
      <c r="A361" t="s">
        <v>72</v>
      </c>
      <c r="B361" t="s">
        <v>2811</v>
      </c>
      <c r="C361" t="s">
        <v>74</v>
      </c>
      <c r="D361" t="s">
        <v>74</v>
      </c>
      <c r="E361" t="s">
        <v>74</v>
      </c>
      <c r="F361" t="s">
        <v>2812</v>
      </c>
      <c r="G361" t="s">
        <v>74</v>
      </c>
      <c r="H361" t="s">
        <v>74</v>
      </c>
      <c r="I361" t="s">
        <v>2813</v>
      </c>
      <c r="J361" t="s">
        <v>502</v>
      </c>
      <c r="K361" t="s">
        <v>74</v>
      </c>
      <c r="L361" t="s">
        <v>74</v>
      </c>
      <c r="M361" t="s">
        <v>74</v>
      </c>
      <c r="N361" t="s">
        <v>74</v>
      </c>
      <c r="O361" t="s">
        <v>74</v>
      </c>
      <c r="P361" t="s">
        <v>74</v>
      </c>
      <c r="Q361" t="s">
        <v>74</v>
      </c>
      <c r="R361" t="s">
        <v>74</v>
      </c>
      <c r="S361" t="s">
        <v>74</v>
      </c>
      <c r="T361" t="s">
        <v>74</v>
      </c>
      <c r="U361" t="s">
        <v>74</v>
      </c>
      <c r="V361" t="s">
        <v>74</v>
      </c>
      <c r="W361" t="s">
        <v>74</v>
      </c>
      <c r="X361" t="s">
        <v>74</v>
      </c>
      <c r="Y361" t="s">
        <v>74</v>
      </c>
      <c r="Z361" t="s">
        <v>74</v>
      </c>
      <c r="AA361" t="s">
        <v>2814</v>
      </c>
      <c r="AB361" t="s">
        <v>6981</v>
      </c>
      <c r="AC361" t="s">
        <v>74</v>
      </c>
      <c r="AD361" t="s">
        <v>74</v>
      </c>
      <c r="AE361" t="s">
        <v>74</v>
      </c>
      <c r="AF361" t="s">
        <v>74</v>
      </c>
      <c r="AG361" t="s">
        <v>74</v>
      </c>
      <c r="AH361" t="s">
        <v>74</v>
      </c>
      <c r="AI361" t="s">
        <v>74</v>
      </c>
      <c r="AJ361" t="s">
        <v>74</v>
      </c>
      <c r="AK361" t="s">
        <v>74</v>
      </c>
      <c r="AL361" t="s">
        <v>74</v>
      </c>
      <c r="AM361" t="s">
        <v>74</v>
      </c>
      <c r="AN361" t="s">
        <v>74</v>
      </c>
      <c r="AO361" t="s">
        <v>503</v>
      </c>
      <c r="AP361" t="s">
        <v>504</v>
      </c>
      <c r="AQ361" t="s">
        <v>74</v>
      </c>
      <c r="AR361" t="s">
        <v>74</v>
      </c>
      <c r="AS361" t="s">
        <v>74</v>
      </c>
      <c r="AT361" t="s">
        <v>335</v>
      </c>
      <c r="AU361">
        <v>2018</v>
      </c>
      <c r="AV361">
        <v>94</v>
      </c>
      <c r="AW361" t="s">
        <v>74</v>
      </c>
      <c r="AX361">
        <v>1</v>
      </c>
      <c r="AY361" t="s">
        <v>74</v>
      </c>
      <c r="AZ361" t="s">
        <v>74</v>
      </c>
      <c r="BA361" t="s">
        <v>74</v>
      </c>
      <c r="BB361">
        <v>207</v>
      </c>
      <c r="BC361">
        <v>217</v>
      </c>
      <c r="BD361" t="s">
        <v>74</v>
      </c>
      <c r="BE361" t="s">
        <v>2815</v>
      </c>
      <c r="BF361" t="str">
        <f>HYPERLINK("http://dx.doi.org/10.1016/j.ecolind.2018.06.044","http://dx.doi.org/10.1016/j.ecolind.2018.06.044")</f>
        <v>http://dx.doi.org/10.1016/j.ecolind.2018.06.044</v>
      </c>
      <c r="BG361" t="s">
        <v>74</v>
      </c>
      <c r="BH361" t="s">
        <v>74</v>
      </c>
      <c r="BI361" t="s">
        <v>74</v>
      </c>
      <c r="BJ361" t="s">
        <v>74</v>
      </c>
      <c r="BK361" t="s">
        <v>74</v>
      </c>
      <c r="BL361" t="s">
        <v>74</v>
      </c>
      <c r="BM361" t="s">
        <v>74</v>
      </c>
      <c r="BN361" t="s">
        <v>74</v>
      </c>
      <c r="BO361" t="s">
        <v>74</v>
      </c>
      <c r="BP361" t="s">
        <v>74</v>
      </c>
      <c r="BQ361" t="s">
        <v>74</v>
      </c>
      <c r="BR361" t="s">
        <v>74</v>
      </c>
      <c r="BS361" t="s">
        <v>2816</v>
      </c>
      <c r="BT361" t="str">
        <f>HYPERLINK("https%3A%2F%2Fwww.webofscience.com%2Fwos%2Fwoscc%2Ffull-record%2FWOS:000452692500020","View Full Record in Web of Science")</f>
        <v>View Full Record in Web of Science</v>
      </c>
    </row>
    <row r="362" spans="1:72" x14ac:dyDescent="0.2">
      <c r="A362" t="s">
        <v>72</v>
      </c>
      <c r="B362" t="s">
        <v>2817</v>
      </c>
      <c r="C362" t="s">
        <v>74</v>
      </c>
      <c r="D362" t="s">
        <v>74</v>
      </c>
      <c r="E362" t="s">
        <v>74</v>
      </c>
      <c r="F362" t="s">
        <v>2818</v>
      </c>
      <c r="G362" t="s">
        <v>74</v>
      </c>
      <c r="H362" t="s">
        <v>74</v>
      </c>
      <c r="I362" t="s">
        <v>2819</v>
      </c>
      <c r="J362" t="s">
        <v>2711</v>
      </c>
      <c r="K362" t="s">
        <v>74</v>
      </c>
      <c r="L362" t="s">
        <v>74</v>
      </c>
      <c r="M362" t="s">
        <v>74</v>
      </c>
      <c r="N362" t="s">
        <v>74</v>
      </c>
      <c r="O362" t="s">
        <v>74</v>
      </c>
      <c r="P362" t="s">
        <v>74</v>
      </c>
      <c r="Q362" t="s">
        <v>74</v>
      </c>
      <c r="R362" t="s">
        <v>74</v>
      </c>
      <c r="S362" t="s">
        <v>74</v>
      </c>
      <c r="T362" t="s">
        <v>74</v>
      </c>
      <c r="U362" t="s">
        <v>74</v>
      </c>
      <c r="V362" t="s">
        <v>74</v>
      </c>
      <c r="W362" t="s">
        <v>74</v>
      </c>
      <c r="X362" t="s">
        <v>74</v>
      </c>
      <c r="Y362" t="s">
        <v>74</v>
      </c>
      <c r="Z362" t="s">
        <v>74</v>
      </c>
      <c r="AA362" t="s">
        <v>74</v>
      </c>
      <c r="AB362" t="s">
        <v>2820</v>
      </c>
      <c r="AC362" t="s">
        <v>74</v>
      </c>
      <c r="AD362" t="s">
        <v>74</v>
      </c>
      <c r="AE362" t="s">
        <v>74</v>
      </c>
      <c r="AF362" t="s">
        <v>74</v>
      </c>
      <c r="AG362" t="s">
        <v>74</v>
      </c>
      <c r="AH362" t="s">
        <v>74</v>
      </c>
      <c r="AI362" t="s">
        <v>74</v>
      </c>
      <c r="AJ362" t="s">
        <v>74</v>
      </c>
      <c r="AK362" t="s">
        <v>74</v>
      </c>
      <c r="AL362" t="s">
        <v>74</v>
      </c>
      <c r="AM362" t="s">
        <v>74</v>
      </c>
      <c r="AN362" t="s">
        <v>74</v>
      </c>
      <c r="AO362" t="s">
        <v>2712</v>
      </c>
      <c r="AP362" t="s">
        <v>2713</v>
      </c>
      <c r="AQ362" t="s">
        <v>74</v>
      </c>
      <c r="AR362" t="s">
        <v>74</v>
      </c>
      <c r="AS362" t="s">
        <v>74</v>
      </c>
      <c r="AT362" t="s">
        <v>385</v>
      </c>
      <c r="AU362">
        <v>2018</v>
      </c>
      <c r="AV362">
        <v>50</v>
      </c>
      <c r="AW362">
        <v>1</v>
      </c>
      <c r="AX362" t="s">
        <v>74</v>
      </c>
      <c r="AY362" t="s">
        <v>74</v>
      </c>
      <c r="AZ362" t="s">
        <v>74</v>
      </c>
      <c r="BA362" t="s">
        <v>74</v>
      </c>
      <c r="BB362" t="s">
        <v>74</v>
      </c>
      <c r="BC362" t="s">
        <v>74</v>
      </c>
      <c r="BD362" t="s">
        <v>2821</v>
      </c>
      <c r="BE362" t="s">
        <v>2822</v>
      </c>
      <c r="BF362" t="str">
        <f>HYPERLINK("http://dx.doi.org/10.1080/15230430.2018.1525186","http://dx.doi.org/10.1080/15230430.2018.1525186")</f>
        <v>http://dx.doi.org/10.1080/15230430.2018.1525186</v>
      </c>
      <c r="BG362" t="s">
        <v>74</v>
      </c>
      <c r="BH362" t="s">
        <v>74</v>
      </c>
      <c r="BI362" t="s">
        <v>74</v>
      </c>
      <c r="BJ362" t="s">
        <v>74</v>
      </c>
      <c r="BK362" t="s">
        <v>74</v>
      </c>
      <c r="BL362" t="s">
        <v>74</v>
      </c>
      <c r="BM362" t="s">
        <v>74</v>
      </c>
      <c r="BN362" t="s">
        <v>74</v>
      </c>
      <c r="BO362" t="s">
        <v>74</v>
      </c>
      <c r="BP362" t="s">
        <v>74</v>
      </c>
      <c r="BQ362" t="s">
        <v>74</v>
      </c>
      <c r="BR362" t="s">
        <v>74</v>
      </c>
      <c r="BS362" t="s">
        <v>2823</v>
      </c>
      <c r="BT362" t="str">
        <f>HYPERLINK("https%3A%2F%2Fwww.webofscience.com%2Fwos%2Fwoscc%2Ffull-record%2FWOS:000448920100001","View Full Record in Web of Science")</f>
        <v>View Full Record in Web of Science</v>
      </c>
    </row>
    <row r="363" spans="1:72" x14ac:dyDescent="0.2">
      <c r="A363" t="s">
        <v>72</v>
      </c>
      <c r="B363" t="s">
        <v>2824</v>
      </c>
      <c r="C363" t="s">
        <v>74</v>
      </c>
      <c r="D363" t="s">
        <v>74</v>
      </c>
      <c r="E363" t="s">
        <v>74</v>
      </c>
      <c r="F363" t="s">
        <v>2825</v>
      </c>
      <c r="G363" t="s">
        <v>74</v>
      </c>
      <c r="H363" t="s">
        <v>74</v>
      </c>
      <c r="I363" t="s">
        <v>2826</v>
      </c>
      <c r="J363" t="s">
        <v>2827</v>
      </c>
      <c r="K363" t="s">
        <v>74</v>
      </c>
      <c r="L363" t="s">
        <v>74</v>
      </c>
      <c r="M363" t="s">
        <v>74</v>
      </c>
      <c r="N363" t="s">
        <v>74</v>
      </c>
      <c r="O363" t="s">
        <v>74</v>
      </c>
      <c r="P363" t="s">
        <v>74</v>
      </c>
      <c r="Q363" t="s">
        <v>74</v>
      </c>
      <c r="R363" t="s">
        <v>74</v>
      </c>
      <c r="S363" t="s">
        <v>74</v>
      </c>
      <c r="T363" t="s">
        <v>74</v>
      </c>
      <c r="U363" t="s">
        <v>74</v>
      </c>
      <c r="V363" t="s">
        <v>74</v>
      </c>
      <c r="W363" t="s">
        <v>74</v>
      </c>
      <c r="X363" t="s">
        <v>74</v>
      </c>
      <c r="Y363" t="s">
        <v>74</v>
      </c>
      <c r="Z363" t="s">
        <v>74</v>
      </c>
      <c r="AA363" t="s">
        <v>74</v>
      </c>
      <c r="AB363" t="s">
        <v>6982</v>
      </c>
      <c r="AC363" t="s">
        <v>74</v>
      </c>
      <c r="AD363" t="s">
        <v>74</v>
      </c>
      <c r="AE363" t="s">
        <v>74</v>
      </c>
      <c r="AF363" t="s">
        <v>74</v>
      </c>
      <c r="AG363" t="s">
        <v>74</v>
      </c>
      <c r="AH363" t="s">
        <v>74</v>
      </c>
      <c r="AI363" t="s">
        <v>74</v>
      </c>
      <c r="AJ363" t="s">
        <v>74</v>
      </c>
      <c r="AK363" t="s">
        <v>74</v>
      </c>
      <c r="AL363" t="s">
        <v>74</v>
      </c>
      <c r="AM363" t="s">
        <v>74</v>
      </c>
      <c r="AN363" t="s">
        <v>74</v>
      </c>
      <c r="AO363" t="s">
        <v>2828</v>
      </c>
      <c r="AP363" t="s">
        <v>2829</v>
      </c>
      <c r="AQ363" t="s">
        <v>74</v>
      </c>
      <c r="AR363" t="s">
        <v>74</v>
      </c>
      <c r="AS363" t="s">
        <v>74</v>
      </c>
      <c r="AT363" t="s">
        <v>2830</v>
      </c>
      <c r="AU363">
        <v>2018</v>
      </c>
      <c r="AV363">
        <v>604</v>
      </c>
      <c r="AW363" t="s">
        <v>74</v>
      </c>
      <c r="AX363" t="s">
        <v>74</v>
      </c>
      <c r="AY363" t="s">
        <v>74</v>
      </c>
      <c r="AZ363" t="s">
        <v>74</v>
      </c>
      <c r="BA363" t="s">
        <v>74</v>
      </c>
      <c r="BB363">
        <v>65</v>
      </c>
      <c r="BC363">
        <v>81</v>
      </c>
      <c r="BD363" t="s">
        <v>74</v>
      </c>
      <c r="BE363" t="s">
        <v>2831</v>
      </c>
      <c r="BF363" t="str">
        <f>HYPERLINK("http://dx.doi.org/10.3354/meps12721","http://dx.doi.org/10.3354/meps12721")</f>
        <v>http://dx.doi.org/10.3354/meps12721</v>
      </c>
      <c r="BG363" t="s">
        <v>74</v>
      </c>
      <c r="BH363" t="s">
        <v>74</v>
      </c>
      <c r="BI363" t="s">
        <v>74</v>
      </c>
      <c r="BJ363" t="s">
        <v>74</v>
      </c>
      <c r="BK363" t="s">
        <v>74</v>
      </c>
      <c r="BL363" t="s">
        <v>74</v>
      </c>
      <c r="BM363" t="s">
        <v>74</v>
      </c>
      <c r="BN363" t="s">
        <v>74</v>
      </c>
      <c r="BO363" t="s">
        <v>74</v>
      </c>
      <c r="BP363" t="s">
        <v>74</v>
      </c>
      <c r="BQ363" t="s">
        <v>74</v>
      </c>
      <c r="BR363" t="s">
        <v>74</v>
      </c>
      <c r="BS363" t="s">
        <v>2832</v>
      </c>
      <c r="BT363" t="str">
        <f>HYPERLINK("https%3A%2F%2Fwww.webofscience.com%2Fwos%2Fwoscc%2Ffull-record%2FWOS:000446470100005","View Full Record in Web of Science")</f>
        <v>View Full Record in Web of Science</v>
      </c>
    </row>
    <row r="364" spans="1:72" x14ac:dyDescent="0.2">
      <c r="A364" t="s">
        <v>72</v>
      </c>
      <c r="B364" t="s">
        <v>2833</v>
      </c>
      <c r="C364" t="s">
        <v>74</v>
      </c>
      <c r="D364" t="s">
        <v>74</v>
      </c>
      <c r="E364" t="s">
        <v>74</v>
      </c>
      <c r="F364" t="s">
        <v>2834</v>
      </c>
      <c r="G364" t="s">
        <v>74</v>
      </c>
      <c r="H364" t="s">
        <v>74</v>
      </c>
      <c r="I364" t="s">
        <v>2835</v>
      </c>
      <c r="J364" t="s">
        <v>2836</v>
      </c>
      <c r="K364" t="s">
        <v>74</v>
      </c>
      <c r="L364" t="s">
        <v>74</v>
      </c>
      <c r="M364" t="s">
        <v>74</v>
      </c>
      <c r="N364" t="s">
        <v>74</v>
      </c>
      <c r="O364" t="s">
        <v>74</v>
      </c>
      <c r="P364" t="s">
        <v>74</v>
      </c>
      <c r="Q364" t="s">
        <v>74</v>
      </c>
      <c r="R364" t="s">
        <v>74</v>
      </c>
      <c r="S364" t="s">
        <v>74</v>
      </c>
      <c r="T364" t="s">
        <v>74</v>
      </c>
      <c r="U364" t="s">
        <v>74</v>
      </c>
      <c r="V364" t="s">
        <v>74</v>
      </c>
      <c r="W364" t="s">
        <v>74</v>
      </c>
      <c r="X364" t="s">
        <v>74</v>
      </c>
      <c r="Y364" t="s">
        <v>74</v>
      </c>
      <c r="Z364" t="s">
        <v>74</v>
      </c>
      <c r="AA364" t="s">
        <v>6983</v>
      </c>
      <c r="AB364" t="s">
        <v>6984</v>
      </c>
      <c r="AC364" t="s">
        <v>74</v>
      </c>
      <c r="AD364" t="s">
        <v>74</v>
      </c>
      <c r="AE364" t="s">
        <v>74</v>
      </c>
      <c r="AF364" t="s">
        <v>74</v>
      </c>
      <c r="AG364" t="s">
        <v>74</v>
      </c>
      <c r="AH364" t="s">
        <v>74</v>
      </c>
      <c r="AI364" t="s">
        <v>74</v>
      </c>
      <c r="AJ364" t="s">
        <v>74</v>
      </c>
      <c r="AK364" t="s">
        <v>74</v>
      </c>
      <c r="AL364" t="s">
        <v>74</v>
      </c>
      <c r="AM364" t="s">
        <v>74</v>
      </c>
      <c r="AN364" t="s">
        <v>74</v>
      </c>
      <c r="AO364" t="s">
        <v>2837</v>
      </c>
      <c r="AP364" t="s">
        <v>74</v>
      </c>
      <c r="AQ364" t="s">
        <v>74</v>
      </c>
      <c r="AR364" t="s">
        <v>74</v>
      </c>
      <c r="AS364" t="s">
        <v>74</v>
      </c>
      <c r="AT364" t="s">
        <v>1547</v>
      </c>
      <c r="AU364">
        <v>2018</v>
      </c>
      <c r="AV364">
        <v>6</v>
      </c>
      <c r="AW364" t="s">
        <v>74</v>
      </c>
      <c r="AX364" t="s">
        <v>74</v>
      </c>
      <c r="AY364" t="s">
        <v>74</v>
      </c>
      <c r="AZ364" t="s">
        <v>74</v>
      </c>
      <c r="BA364" t="s">
        <v>74</v>
      </c>
      <c r="BB364" t="s">
        <v>74</v>
      </c>
      <c r="BC364" t="s">
        <v>74</v>
      </c>
      <c r="BD364">
        <v>176</v>
      </c>
      <c r="BE364" t="s">
        <v>2838</v>
      </c>
      <c r="BF364" t="str">
        <f>HYPERLINK("http://dx.doi.org/10.1186/s40168-018-0563-8","http://dx.doi.org/10.1186/s40168-018-0563-8")</f>
        <v>http://dx.doi.org/10.1186/s40168-018-0563-8</v>
      </c>
      <c r="BG364" t="s">
        <v>74</v>
      </c>
      <c r="BH364" t="s">
        <v>74</v>
      </c>
      <c r="BI364" t="s">
        <v>74</v>
      </c>
      <c r="BJ364" t="s">
        <v>74</v>
      </c>
      <c r="BK364" t="s">
        <v>74</v>
      </c>
      <c r="BL364" t="s">
        <v>74</v>
      </c>
      <c r="BM364" t="s">
        <v>74</v>
      </c>
      <c r="BN364">
        <v>30285851</v>
      </c>
      <c r="BO364" t="s">
        <v>74</v>
      </c>
      <c r="BP364" t="s">
        <v>74</v>
      </c>
      <c r="BQ364" t="s">
        <v>74</v>
      </c>
      <c r="BR364" t="s">
        <v>74</v>
      </c>
      <c r="BS364" t="s">
        <v>2839</v>
      </c>
      <c r="BT364" t="str">
        <f>HYPERLINK("https%3A%2F%2Fwww.webofscience.com%2Fwos%2Fwoscc%2Ffull-record%2FWOS:000446308400001","View Full Record in Web of Science")</f>
        <v>View Full Record in Web of Science</v>
      </c>
    </row>
    <row r="365" spans="1:72" x14ac:dyDescent="0.2">
      <c r="A365" t="s">
        <v>72</v>
      </c>
      <c r="B365" t="s">
        <v>2840</v>
      </c>
      <c r="C365" t="s">
        <v>74</v>
      </c>
      <c r="D365" t="s">
        <v>74</v>
      </c>
      <c r="E365" t="s">
        <v>74</v>
      </c>
      <c r="F365" t="s">
        <v>2841</v>
      </c>
      <c r="G365" t="s">
        <v>74</v>
      </c>
      <c r="H365" t="s">
        <v>74</v>
      </c>
      <c r="I365" t="s">
        <v>2842</v>
      </c>
      <c r="J365" t="s">
        <v>1063</v>
      </c>
      <c r="K365" t="s">
        <v>74</v>
      </c>
      <c r="L365" t="s">
        <v>74</v>
      </c>
      <c r="M365" t="s">
        <v>74</v>
      </c>
      <c r="N365" t="s">
        <v>74</v>
      </c>
      <c r="O365" t="s">
        <v>74</v>
      </c>
      <c r="P365" t="s">
        <v>74</v>
      </c>
      <c r="Q365" t="s">
        <v>74</v>
      </c>
      <c r="R365" t="s">
        <v>74</v>
      </c>
      <c r="S365" t="s">
        <v>74</v>
      </c>
      <c r="T365" t="s">
        <v>74</v>
      </c>
      <c r="U365" t="s">
        <v>74</v>
      </c>
      <c r="V365" t="s">
        <v>74</v>
      </c>
      <c r="W365" t="s">
        <v>74</v>
      </c>
      <c r="X365" t="s">
        <v>74</v>
      </c>
      <c r="Y365" t="s">
        <v>74</v>
      </c>
      <c r="Z365" t="s">
        <v>74</v>
      </c>
      <c r="AA365" t="s">
        <v>74</v>
      </c>
      <c r="AB365" t="s">
        <v>2843</v>
      </c>
      <c r="AC365" t="s">
        <v>74</v>
      </c>
      <c r="AD365" t="s">
        <v>74</v>
      </c>
      <c r="AE365" t="s">
        <v>74</v>
      </c>
      <c r="AF365" t="s">
        <v>74</v>
      </c>
      <c r="AG365" t="s">
        <v>74</v>
      </c>
      <c r="AH365" t="s">
        <v>74</v>
      </c>
      <c r="AI365" t="s">
        <v>74</v>
      </c>
      <c r="AJ365" t="s">
        <v>74</v>
      </c>
      <c r="AK365" t="s">
        <v>74</v>
      </c>
      <c r="AL365" t="s">
        <v>74</v>
      </c>
      <c r="AM365" t="s">
        <v>74</v>
      </c>
      <c r="AN365" t="s">
        <v>74</v>
      </c>
      <c r="AO365" t="s">
        <v>1065</v>
      </c>
      <c r="AP365" t="s">
        <v>1066</v>
      </c>
      <c r="AQ365" t="s">
        <v>74</v>
      </c>
      <c r="AR365" t="s">
        <v>74</v>
      </c>
      <c r="AS365" t="s">
        <v>74</v>
      </c>
      <c r="AT365" t="s">
        <v>406</v>
      </c>
      <c r="AU365">
        <v>2018</v>
      </c>
      <c r="AV365">
        <v>209</v>
      </c>
      <c r="AW365" t="s">
        <v>74</v>
      </c>
      <c r="AX365" t="s">
        <v>74</v>
      </c>
      <c r="AY365" t="s">
        <v>74</v>
      </c>
      <c r="AZ365" t="s">
        <v>74</v>
      </c>
      <c r="BA365" t="s">
        <v>74</v>
      </c>
      <c r="BB365">
        <v>748</v>
      </c>
      <c r="BC365">
        <v>757</v>
      </c>
      <c r="BD365" t="s">
        <v>74</v>
      </c>
      <c r="BE365" t="s">
        <v>2844</v>
      </c>
      <c r="BF365" t="str">
        <f>HYPERLINK("http://dx.doi.org/10.1016/j.chemosphere.2018.06.129","http://dx.doi.org/10.1016/j.chemosphere.2018.06.129")</f>
        <v>http://dx.doi.org/10.1016/j.chemosphere.2018.06.129</v>
      </c>
      <c r="BG365" t="s">
        <v>74</v>
      </c>
      <c r="BH365" t="s">
        <v>74</v>
      </c>
      <c r="BI365" t="s">
        <v>74</v>
      </c>
      <c r="BJ365" t="s">
        <v>74</v>
      </c>
      <c r="BK365" t="s">
        <v>74</v>
      </c>
      <c r="BL365" t="s">
        <v>74</v>
      </c>
      <c r="BM365" t="s">
        <v>74</v>
      </c>
      <c r="BN365">
        <v>29960942</v>
      </c>
      <c r="BO365" t="s">
        <v>74</v>
      </c>
      <c r="BP365" t="s">
        <v>74</v>
      </c>
      <c r="BQ365" t="s">
        <v>74</v>
      </c>
      <c r="BR365" t="s">
        <v>74</v>
      </c>
      <c r="BS365" t="s">
        <v>2845</v>
      </c>
      <c r="BT365" t="str">
        <f>HYPERLINK("https%3A%2F%2Fwww.webofscience.com%2Fwos%2Fwoscc%2Ffull-record%2FWOS:000442714400081","View Full Record in Web of Science")</f>
        <v>View Full Record in Web of Science</v>
      </c>
    </row>
    <row r="366" spans="1:72" x14ac:dyDescent="0.2">
      <c r="A366" t="s">
        <v>72</v>
      </c>
      <c r="B366" t="s">
        <v>2846</v>
      </c>
      <c r="C366" t="s">
        <v>74</v>
      </c>
      <c r="D366" t="s">
        <v>74</v>
      </c>
      <c r="E366" t="s">
        <v>74</v>
      </c>
      <c r="F366" t="s">
        <v>2847</v>
      </c>
      <c r="G366" t="s">
        <v>74</v>
      </c>
      <c r="H366" t="s">
        <v>74</v>
      </c>
      <c r="I366" t="s">
        <v>2848</v>
      </c>
      <c r="J366" t="s">
        <v>2849</v>
      </c>
      <c r="K366" t="s">
        <v>74</v>
      </c>
      <c r="L366" t="s">
        <v>74</v>
      </c>
      <c r="M366" t="s">
        <v>74</v>
      </c>
      <c r="N366" t="s">
        <v>74</v>
      </c>
      <c r="O366" t="s">
        <v>74</v>
      </c>
      <c r="P366" t="s">
        <v>74</v>
      </c>
      <c r="Q366" t="s">
        <v>74</v>
      </c>
      <c r="R366" t="s">
        <v>74</v>
      </c>
      <c r="S366" t="s">
        <v>74</v>
      </c>
      <c r="T366" t="s">
        <v>74</v>
      </c>
      <c r="U366" t="s">
        <v>74</v>
      </c>
      <c r="V366" t="s">
        <v>74</v>
      </c>
      <c r="W366" t="s">
        <v>74</v>
      </c>
      <c r="X366" t="s">
        <v>74</v>
      </c>
      <c r="Y366" t="s">
        <v>74</v>
      </c>
      <c r="Z366" t="s">
        <v>74</v>
      </c>
      <c r="AA366" t="s">
        <v>2850</v>
      </c>
      <c r="AB366" t="s">
        <v>2851</v>
      </c>
      <c r="AC366" t="s">
        <v>74</v>
      </c>
      <c r="AD366" t="s">
        <v>74</v>
      </c>
      <c r="AE366" t="s">
        <v>74</v>
      </c>
      <c r="AF366" t="s">
        <v>74</v>
      </c>
      <c r="AG366" t="s">
        <v>74</v>
      </c>
      <c r="AH366" t="s">
        <v>74</v>
      </c>
      <c r="AI366" t="s">
        <v>74</v>
      </c>
      <c r="AJ366" t="s">
        <v>74</v>
      </c>
      <c r="AK366" t="s">
        <v>74</v>
      </c>
      <c r="AL366" t="s">
        <v>74</v>
      </c>
      <c r="AM366" t="s">
        <v>74</v>
      </c>
      <c r="AN366" t="s">
        <v>74</v>
      </c>
      <c r="AO366" t="s">
        <v>2852</v>
      </c>
      <c r="AP366" t="s">
        <v>74</v>
      </c>
      <c r="AQ366" t="s">
        <v>74</v>
      </c>
      <c r="AR366" t="s">
        <v>74</v>
      </c>
      <c r="AS366" t="s">
        <v>74</v>
      </c>
      <c r="AT366" t="s">
        <v>406</v>
      </c>
      <c r="AU366">
        <v>2018</v>
      </c>
      <c r="AV366">
        <v>16</v>
      </c>
      <c r="AW366">
        <v>10</v>
      </c>
      <c r="AX366" t="s">
        <v>74</v>
      </c>
      <c r="AY366" t="s">
        <v>74</v>
      </c>
      <c r="AZ366" t="s">
        <v>74</v>
      </c>
      <c r="BA366" t="s">
        <v>74</v>
      </c>
      <c r="BB366">
        <v>669</v>
      </c>
      <c r="BC366">
        <v>679</v>
      </c>
      <c r="BD366" t="s">
        <v>74</v>
      </c>
      <c r="BE366" t="s">
        <v>2853</v>
      </c>
      <c r="BF366" t="str">
        <f>HYPERLINK("http://dx.doi.org/10.1002/lom3.10274","http://dx.doi.org/10.1002/lom3.10274")</f>
        <v>http://dx.doi.org/10.1002/lom3.10274</v>
      </c>
      <c r="BG366" t="s">
        <v>74</v>
      </c>
      <c r="BH366" t="s">
        <v>74</v>
      </c>
      <c r="BI366" t="s">
        <v>74</v>
      </c>
      <c r="BJ366" t="s">
        <v>74</v>
      </c>
      <c r="BK366" t="s">
        <v>74</v>
      </c>
      <c r="BL366" t="s">
        <v>74</v>
      </c>
      <c r="BM366" t="s">
        <v>74</v>
      </c>
      <c r="BN366" t="s">
        <v>74</v>
      </c>
      <c r="BO366" t="s">
        <v>74</v>
      </c>
      <c r="BP366" t="s">
        <v>74</v>
      </c>
      <c r="BQ366" t="s">
        <v>74</v>
      </c>
      <c r="BR366" t="s">
        <v>74</v>
      </c>
      <c r="BS366" t="s">
        <v>2854</v>
      </c>
      <c r="BT366" t="str">
        <f>HYPERLINK("https%3A%2F%2Fwww.webofscience.com%2Fwos%2Fwoscc%2Ffull-record%2FWOS:000447207700005","View Full Record in Web of Science")</f>
        <v>View Full Record in Web of Science</v>
      </c>
    </row>
    <row r="367" spans="1:72" x14ac:dyDescent="0.2">
      <c r="A367" t="s">
        <v>72</v>
      </c>
      <c r="B367" t="s">
        <v>2855</v>
      </c>
      <c r="C367" t="s">
        <v>74</v>
      </c>
      <c r="D367" t="s">
        <v>74</v>
      </c>
      <c r="E367" t="s">
        <v>74</v>
      </c>
      <c r="F367" t="s">
        <v>2856</v>
      </c>
      <c r="G367" t="s">
        <v>74</v>
      </c>
      <c r="H367" t="s">
        <v>74</v>
      </c>
      <c r="I367" t="s">
        <v>2857</v>
      </c>
      <c r="J367" t="s">
        <v>1716</v>
      </c>
      <c r="K367" t="s">
        <v>74</v>
      </c>
      <c r="L367" t="s">
        <v>74</v>
      </c>
      <c r="M367" t="s">
        <v>74</v>
      </c>
      <c r="N367" t="s">
        <v>74</v>
      </c>
      <c r="O367" t="s">
        <v>74</v>
      </c>
      <c r="P367" t="s">
        <v>74</v>
      </c>
      <c r="Q367" t="s">
        <v>74</v>
      </c>
      <c r="R367" t="s">
        <v>74</v>
      </c>
      <c r="S367" t="s">
        <v>74</v>
      </c>
      <c r="T367" t="s">
        <v>74</v>
      </c>
      <c r="U367" t="s">
        <v>74</v>
      </c>
      <c r="V367" t="s">
        <v>74</v>
      </c>
      <c r="W367" t="s">
        <v>74</v>
      </c>
      <c r="X367" t="s">
        <v>74</v>
      </c>
      <c r="Y367" t="s">
        <v>74</v>
      </c>
      <c r="Z367" t="s">
        <v>74</v>
      </c>
      <c r="AA367" t="s">
        <v>2858</v>
      </c>
      <c r="AB367" t="s">
        <v>2859</v>
      </c>
      <c r="AC367" t="s">
        <v>74</v>
      </c>
      <c r="AD367" t="s">
        <v>74</v>
      </c>
      <c r="AE367" t="s">
        <v>74</v>
      </c>
      <c r="AF367" t="s">
        <v>74</v>
      </c>
      <c r="AG367" t="s">
        <v>74</v>
      </c>
      <c r="AH367" t="s">
        <v>74</v>
      </c>
      <c r="AI367" t="s">
        <v>74</v>
      </c>
      <c r="AJ367" t="s">
        <v>74</v>
      </c>
      <c r="AK367" t="s">
        <v>74</v>
      </c>
      <c r="AL367" t="s">
        <v>74</v>
      </c>
      <c r="AM367" t="s">
        <v>74</v>
      </c>
      <c r="AN367" t="s">
        <v>74</v>
      </c>
      <c r="AO367" t="s">
        <v>1717</v>
      </c>
      <c r="AP367" t="s">
        <v>1718</v>
      </c>
      <c r="AQ367" t="s">
        <v>74</v>
      </c>
      <c r="AR367" t="s">
        <v>74</v>
      </c>
      <c r="AS367" t="s">
        <v>74</v>
      </c>
      <c r="AT367" t="s">
        <v>406</v>
      </c>
      <c r="AU367">
        <v>2018</v>
      </c>
      <c r="AV367">
        <v>54</v>
      </c>
      <c r="AW367">
        <v>5</v>
      </c>
      <c r="AX367" t="s">
        <v>74</v>
      </c>
      <c r="AY367" t="s">
        <v>74</v>
      </c>
      <c r="AZ367" t="s">
        <v>74</v>
      </c>
      <c r="BA367" t="s">
        <v>74</v>
      </c>
      <c r="BB367">
        <v>599</v>
      </c>
      <c r="BC367">
        <v>607</v>
      </c>
      <c r="BD367" t="s">
        <v>74</v>
      </c>
      <c r="BE367" t="s">
        <v>2860</v>
      </c>
      <c r="BF367" t="str">
        <f>HYPERLINK("http://dx.doi.org/10.1111/jpy.12770","http://dx.doi.org/10.1111/jpy.12770")</f>
        <v>http://dx.doi.org/10.1111/jpy.12770</v>
      </c>
      <c r="BG367" t="s">
        <v>74</v>
      </c>
      <c r="BH367" t="s">
        <v>74</v>
      </c>
      <c r="BI367" t="s">
        <v>74</v>
      </c>
      <c r="BJ367" t="s">
        <v>74</v>
      </c>
      <c r="BK367" t="s">
        <v>74</v>
      </c>
      <c r="BL367" t="s">
        <v>74</v>
      </c>
      <c r="BM367" t="s">
        <v>74</v>
      </c>
      <c r="BN367">
        <v>30055070</v>
      </c>
      <c r="BO367" t="s">
        <v>74</v>
      </c>
      <c r="BP367" t="s">
        <v>74</v>
      </c>
      <c r="BQ367" t="s">
        <v>74</v>
      </c>
      <c r="BR367" t="s">
        <v>74</v>
      </c>
      <c r="BS367" t="s">
        <v>2861</v>
      </c>
      <c r="BT367" t="str">
        <f>HYPERLINK("https%3A%2F%2Fwww.webofscience.com%2Fwos%2Fwoscc%2Ffull-record%2FWOS:000446171600002","View Full Record in Web of Science")</f>
        <v>View Full Record in Web of Science</v>
      </c>
    </row>
    <row r="368" spans="1:72" x14ac:dyDescent="0.2">
      <c r="A368" t="s">
        <v>72</v>
      </c>
      <c r="B368" t="s">
        <v>2862</v>
      </c>
      <c r="C368" t="s">
        <v>74</v>
      </c>
      <c r="D368" t="s">
        <v>74</v>
      </c>
      <c r="E368" t="s">
        <v>74</v>
      </c>
      <c r="F368" t="s">
        <v>2863</v>
      </c>
      <c r="G368" t="s">
        <v>74</v>
      </c>
      <c r="H368" t="s">
        <v>74</v>
      </c>
      <c r="I368" t="s">
        <v>2864</v>
      </c>
      <c r="J368" t="s">
        <v>310</v>
      </c>
      <c r="K368" t="s">
        <v>74</v>
      </c>
      <c r="L368" t="s">
        <v>74</v>
      </c>
      <c r="M368" t="s">
        <v>74</v>
      </c>
      <c r="N368" t="s">
        <v>74</v>
      </c>
      <c r="O368" t="s">
        <v>74</v>
      </c>
      <c r="P368" t="s">
        <v>74</v>
      </c>
      <c r="Q368" t="s">
        <v>74</v>
      </c>
      <c r="R368" t="s">
        <v>74</v>
      </c>
      <c r="S368" t="s">
        <v>74</v>
      </c>
      <c r="T368" t="s">
        <v>74</v>
      </c>
      <c r="U368" t="s">
        <v>74</v>
      </c>
      <c r="V368" t="s">
        <v>74</v>
      </c>
      <c r="W368" t="s">
        <v>74</v>
      </c>
      <c r="X368" t="s">
        <v>74</v>
      </c>
      <c r="Y368" t="s">
        <v>74</v>
      </c>
      <c r="Z368" t="s">
        <v>74</v>
      </c>
      <c r="AA368" t="s">
        <v>6985</v>
      </c>
      <c r="AB368" t="s">
        <v>6986</v>
      </c>
      <c r="AC368" t="s">
        <v>74</v>
      </c>
      <c r="AD368" t="s">
        <v>74</v>
      </c>
      <c r="AE368" t="s">
        <v>74</v>
      </c>
      <c r="AF368" t="s">
        <v>74</v>
      </c>
      <c r="AG368" t="s">
        <v>74</v>
      </c>
      <c r="AH368" t="s">
        <v>74</v>
      </c>
      <c r="AI368" t="s">
        <v>74</v>
      </c>
      <c r="AJ368" t="s">
        <v>74</v>
      </c>
      <c r="AK368" t="s">
        <v>74</v>
      </c>
      <c r="AL368" t="s">
        <v>74</v>
      </c>
      <c r="AM368" t="s">
        <v>74</v>
      </c>
      <c r="AN368" t="s">
        <v>74</v>
      </c>
      <c r="AO368" t="s">
        <v>313</v>
      </c>
      <c r="AP368" t="s">
        <v>314</v>
      </c>
      <c r="AQ368" t="s">
        <v>74</v>
      </c>
      <c r="AR368" t="s">
        <v>74</v>
      </c>
      <c r="AS368" t="s">
        <v>74</v>
      </c>
      <c r="AT368" t="s">
        <v>406</v>
      </c>
      <c r="AU368">
        <v>2018</v>
      </c>
      <c r="AV368">
        <v>24</v>
      </c>
      <c r="AW368">
        <v>10</v>
      </c>
      <c r="AX368" t="s">
        <v>74</v>
      </c>
      <c r="AY368" t="s">
        <v>74</v>
      </c>
      <c r="AZ368" t="s">
        <v>74</v>
      </c>
      <c r="BA368" t="s">
        <v>74</v>
      </c>
      <c r="BB368">
        <v>4747</v>
      </c>
      <c r="BC368">
        <v>4757</v>
      </c>
      <c r="BD368" t="s">
        <v>74</v>
      </c>
      <c r="BE368" t="s">
        <v>2865</v>
      </c>
      <c r="BF368" t="str">
        <f>HYPERLINK("http://dx.doi.org/10.1111/gcb.14371","http://dx.doi.org/10.1111/gcb.14371")</f>
        <v>http://dx.doi.org/10.1111/gcb.14371</v>
      </c>
      <c r="BG368" t="s">
        <v>74</v>
      </c>
      <c r="BH368" t="s">
        <v>74</v>
      </c>
      <c r="BI368" t="s">
        <v>74</v>
      </c>
      <c r="BJ368" t="s">
        <v>74</v>
      </c>
      <c r="BK368" t="s">
        <v>74</v>
      </c>
      <c r="BL368" t="s">
        <v>74</v>
      </c>
      <c r="BM368" t="s">
        <v>74</v>
      </c>
      <c r="BN368">
        <v>29963731</v>
      </c>
      <c r="BO368" t="s">
        <v>74</v>
      </c>
      <c r="BP368" t="s">
        <v>74</v>
      </c>
      <c r="BQ368" t="s">
        <v>74</v>
      </c>
      <c r="BR368" t="s">
        <v>74</v>
      </c>
      <c r="BS368" t="s">
        <v>2866</v>
      </c>
      <c r="BT368" t="str">
        <f>HYPERLINK("https%3A%2F%2Fwww.webofscience.com%2Fwos%2Fwoscc%2Ffull-record%2FWOS:000445728800023","View Full Record in Web of Science")</f>
        <v>View Full Record in Web of Science</v>
      </c>
    </row>
    <row r="369" spans="1:72" x14ac:dyDescent="0.2">
      <c r="A369" t="s">
        <v>72</v>
      </c>
      <c r="B369" t="s">
        <v>2867</v>
      </c>
      <c r="C369" t="s">
        <v>74</v>
      </c>
      <c r="D369" t="s">
        <v>74</v>
      </c>
      <c r="E369" t="s">
        <v>74</v>
      </c>
      <c r="F369" t="s">
        <v>2868</v>
      </c>
      <c r="G369" t="s">
        <v>74</v>
      </c>
      <c r="H369" t="s">
        <v>74</v>
      </c>
      <c r="I369" t="s">
        <v>2869</v>
      </c>
      <c r="J369" t="s">
        <v>124</v>
      </c>
      <c r="K369" t="s">
        <v>74</v>
      </c>
      <c r="L369" t="s">
        <v>74</v>
      </c>
      <c r="M369" t="s">
        <v>74</v>
      </c>
      <c r="N369" t="s">
        <v>74</v>
      </c>
      <c r="O369" t="s">
        <v>74</v>
      </c>
      <c r="P369" t="s">
        <v>74</v>
      </c>
      <c r="Q369" t="s">
        <v>74</v>
      </c>
      <c r="R369" t="s">
        <v>74</v>
      </c>
      <c r="S369" t="s">
        <v>74</v>
      </c>
      <c r="T369" t="s">
        <v>74</v>
      </c>
      <c r="U369" t="s">
        <v>74</v>
      </c>
      <c r="V369" t="s">
        <v>74</v>
      </c>
      <c r="W369" t="s">
        <v>74</v>
      </c>
      <c r="X369" t="s">
        <v>74</v>
      </c>
      <c r="Y369" t="s">
        <v>74</v>
      </c>
      <c r="Z369" t="s">
        <v>74</v>
      </c>
      <c r="AA369" t="s">
        <v>2870</v>
      </c>
      <c r="AB369" t="s">
        <v>6987</v>
      </c>
      <c r="AC369" t="s">
        <v>74</v>
      </c>
      <c r="AD369" t="s">
        <v>74</v>
      </c>
      <c r="AE369" t="s">
        <v>74</v>
      </c>
      <c r="AF369" t="s">
        <v>74</v>
      </c>
      <c r="AG369" t="s">
        <v>74</v>
      </c>
      <c r="AH369" t="s">
        <v>74</v>
      </c>
      <c r="AI369" t="s">
        <v>74</v>
      </c>
      <c r="AJ369" t="s">
        <v>74</v>
      </c>
      <c r="AK369" t="s">
        <v>74</v>
      </c>
      <c r="AL369" t="s">
        <v>74</v>
      </c>
      <c r="AM369" t="s">
        <v>74</v>
      </c>
      <c r="AN369" t="s">
        <v>74</v>
      </c>
      <c r="AO369" t="s">
        <v>127</v>
      </c>
      <c r="AP369" t="s">
        <v>128</v>
      </c>
      <c r="AQ369" t="s">
        <v>74</v>
      </c>
      <c r="AR369" t="s">
        <v>74</v>
      </c>
      <c r="AS369" t="s">
        <v>74</v>
      </c>
      <c r="AT369" t="s">
        <v>451</v>
      </c>
      <c r="AU369">
        <v>2018</v>
      </c>
      <c r="AV369">
        <v>820</v>
      </c>
      <c r="AW369">
        <v>1</v>
      </c>
      <c r="AX369" t="s">
        <v>74</v>
      </c>
      <c r="AY369" t="s">
        <v>74</v>
      </c>
      <c r="AZ369" t="s">
        <v>74</v>
      </c>
      <c r="BA369" t="s">
        <v>74</v>
      </c>
      <c r="BB369">
        <v>79</v>
      </c>
      <c r="BC369">
        <v>89</v>
      </c>
      <c r="BD369" t="s">
        <v>74</v>
      </c>
      <c r="BE369" t="s">
        <v>2871</v>
      </c>
      <c r="BF369" t="str">
        <f>HYPERLINK("http://dx.doi.org/10.1007/s10750-018-3640-x","http://dx.doi.org/10.1007/s10750-018-3640-x")</f>
        <v>http://dx.doi.org/10.1007/s10750-018-3640-x</v>
      </c>
      <c r="BG369" t="s">
        <v>74</v>
      </c>
      <c r="BH369" t="s">
        <v>74</v>
      </c>
      <c r="BI369" t="s">
        <v>74</v>
      </c>
      <c r="BJ369" t="s">
        <v>74</v>
      </c>
      <c r="BK369" t="s">
        <v>74</v>
      </c>
      <c r="BL369" t="s">
        <v>74</v>
      </c>
      <c r="BM369" t="s">
        <v>74</v>
      </c>
      <c r="BN369" t="s">
        <v>74</v>
      </c>
      <c r="BO369" t="s">
        <v>74</v>
      </c>
      <c r="BP369" t="s">
        <v>74</v>
      </c>
      <c r="BQ369" t="s">
        <v>74</v>
      </c>
      <c r="BR369" t="s">
        <v>74</v>
      </c>
      <c r="BS369" t="s">
        <v>2872</v>
      </c>
      <c r="BT369" t="str">
        <f>HYPERLINK("https%3A%2F%2Fwww.webofscience.com%2Fwos%2Fwoscc%2Ffull-record%2FWOS:000437439300005","View Full Record in Web of Science")</f>
        <v>View Full Record in Web of Science</v>
      </c>
    </row>
    <row r="370" spans="1:72" x14ac:dyDescent="0.2">
      <c r="A370" t="s">
        <v>72</v>
      </c>
      <c r="B370" t="s">
        <v>2873</v>
      </c>
      <c r="C370" t="s">
        <v>74</v>
      </c>
      <c r="D370" t="s">
        <v>74</v>
      </c>
      <c r="E370" t="s">
        <v>74</v>
      </c>
      <c r="F370" t="s">
        <v>2874</v>
      </c>
      <c r="G370" t="s">
        <v>74</v>
      </c>
      <c r="H370" t="s">
        <v>74</v>
      </c>
      <c r="I370" t="s">
        <v>2875</v>
      </c>
      <c r="J370" t="s">
        <v>2876</v>
      </c>
      <c r="K370" t="s">
        <v>74</v>
      </c>
      <c r="L370" t="s">
        <v>74</v>
      </c>
      <c r="M370" t="s">
        <v>74</v>
      </c>
      <c r="N370" t="s">
        <v>74</v>
      </c>
      <c r="O370" t="s">
        <v>74</v>
      </c>
      <c r="P370" t="s">
        <v>74</v>
      </c>
      <c r="Q370" t="s">
        <v>74</v>
      </c>
      <c r="R370" t="s">
        <v>74</v>
      </c>
      <c r="S370" t="s">
        <v>74</v>
      </c>
      <c r="T370" t="s">
        <v>74</v>
      </c>
      <c r="U370" t="s">
        <v>74</v>
      </c>
      <c r="V370" t="s">
        <v>74</v>
      </c>
      <c r="W370" t="s">
        <v>74</v>
      </c>
      <c r="X370" t="s">
        <v>74</v>
      </c>
      <c r="Y370" t="s">
        <v>74</v>
      </c>
      <c r="Z370" t="s">
        <v>74</v>
      </c>
      <c r="AA370" t="s">
        <v>2877</v>
      </c>
      <c r="AB370" t="s">
        <v>2878</v>
      </c>
      <c r="AC370" t="s">
        <v>74</v>
      </c>
      <c r="AD370" t="s">
        <v>74</v>
      </c>
      <c r="AE370" t="s">
        <v>74</v>
      </c>
      <c r="AF370" t="s">
        <v>74</v>
      </c>
      <c r="AG370" t="s">
        <v>74</v>
      </c>
      <c r="AH370" t="s">
        <v>74</v>
      </c>
      <c r="AI370" t="s">
        <v>74</v>
      </c>
      <c r="AJ370" t="s">
        <v>74</v>
      </c>
      <c r="AK370" t="s">
        <v>74</v>
      </c>
      <c r="AL370" t="s">
        <v>74</v>
      </c>
      <c r="AM370" t="s">
        <v>74</v>
      </c>
      <c r="AN370" t="s">
        <v>74</v>
      </c>
      <c r="AO370" t="s">
        <v>2879</v>
      </c>
      <c r="AP370" t="s">
        <v>2880</v>
      </c>
      <c r="AQ370" t="s">
        <v>74</v>
      </c>
      <c r="AR370" t="s">
        <v>74</v>
      </c>
      <c r="AS370" t="s">
        <v>74</v>
      </c>
      <c r="AT370" t="s">
        <v>451</v>
      </c>
      <c r="AU370">
        <v>2018</v>
      </c>
      <c r="AV370">
        <v>229</v>
      </c>
      <c r="AW370">
        <v>9</v>
      </c>
      <c r="AX370" t="s">
        <v>74</v>
      </c>
      <c r="AY370" t="s">
        <v>74</v>
      </c>
      <c r="AZ370" t="s">
        <v>74</v>
      </c>
      <c r="BA370" t="s">
        <v>74</v>
      </c>
      <c r="BB370" t="s">
        <v>74</v>
      </c>
      <c r="BC370" t="s">
        <v>74</v>
      </c>
      <c r="BD370">
        <v>307</v>
      </c>
      <c r="BE370" t="s">
        <v>2881</v>
      </c>
      <c r="BF370" t="str">
        <f>HYPERLINK("http://dx.doi.org/10.1007/s11270-018-3964-1","http://dx.doi.org/10.1007/s11270-018-3964-1")</f>
        <v>http://dx.doi.org/10.1007/s11270-018-3964-1</v>
      </c>
      <c r="BG370" t="s">
        <v>74</v>
      </c>
      <c r="BH370" t="s">
        <v>74</v>
      </c>
      <c r="BI370" t="s">
        <v>74</v>
      </c>
      <c r="BJ370" t="s">
        <v>74</v>
      </c>
      <c r="BK370" t="s">
        <v>74</v>
      </c>
      <c r="BL370" t="s">
        <v>74</v>
      </c>
      <c r="BM370" t="s">
        <v>74</v>
      </c>
      <c r="BN370" t="s">
        <v>74</v>
      </c>
      <c r="BO370" t="s">
        <v>74</v>
      </c>
      <c r="BP370" t="s">
        <v>74</v>
      </c>
      <c r="BQ370" t="s">
        <v>74</v>
      </c>
      <c r="BR370" t="s">
        <v>74</v>
      </c>
      <c r="BS370" t="s">
        <v>2882</v>
      </c>
      <c r="BT370" t="str">
        <f>HYPERLINK("https%3A%2F%2Fwww.webofscience.com%2Fwos%2Fwoscc%2Ffull-record%2FWOS:000443057700003","View Full Record in Web of Science")</f>
        <v>View Full Record in Web of Science</v>
      </c>
    </row>
    <row r="371" spans="1:72" x14ac:dyDescent="0.2">
      <c r="A371" t="s">
        <v>72</v>
      </c>
      <c r="B371" t="s">
        <v>2883</v>
      </c>
      <c r="C371" t="s">
        <v>74</v>
      </c>
      <c r="D371" t="s">
        <v>74</v>
      </c>
      <c r="E371" t="s">
        <v>74</v>
      </c>
      <c r="F371" t="s">
        <v>2884</v>
      </c>
      <c r="G371" t="s">
        <v>74</v>
      </c>
      <c r="H371" t="s">
        <v>74</v>
      </c>
      <c r="I371" t="s">
        <v>2885</v>
      </c>
      <c r="J371" t="s">
        <v>227</v>
      </c>
      <c r="K371" t="s">
        <v>74</v>
      </c>
      <c r="L371" t="s">
        <v>74</v>
      </c>
      <c r="M371" t="s">
        <v>74</v>
      </c>
      <c r="N371" t="s">
        <v>74</v>
      </c>
      <c r="O371" t="s">
        <v>74</v>
      </c>
      <c r="P371" t="s">
        <v>74</v>
      </c>
      <c r="Q371" t="s">
        <v>74</v>
      </c>
      <c r="R371" t="s">
        <v>74</v>
      </c>
      <c r="S371" t="s">
        <v>74</v>
      </c>
      <c r="T371" t="s">
        <v>74</v>
      </c>
      <c r="U371" t="s">
        <v>74</v>
      </c>
      <c r="V371" t="s">
        <v>74</v>
      </c>
      <c r="W371" t="s">
        <v>74</v>
      </c>
      <c r="X371" t="s">
        <v>74</v>
      </c>
      <c r="Y371" t="s">
        <v>74</v>
      </c>
      <c r="Z371" t="s">
        <v>74</v>
      </c>
      <c r="AA371" t="s">
        <v>74</v>
      </c>
      <c r="AB371" t="s">
        <v>2886</v>
      </c>
      <c r="AC371" t="s">
        <v>74</v>
      </c>
      <c r="AD371" t="s">
        <v>74</v>
      </c>
      <c r="AE371" t="s">
        <v>74</v>
      </c>
      <c r="AF371" t="s">
        <v>74</v>
      </c>
      <c r="AG371" t="s">
        <v>74</v>
      </c>
      <c r="AH371" t="s">
        <v>74</v>
      </c>
      <c r="AI371" t="s">
        <v>74</v>
      </c>
      <c r="AJ371" t="s">
        <v>74</v>
      </c>
      <c r="AK371" t="s">
        <v>74</v>
      </c>
      <c r="AL371" t="s">
        <v>74</v>
      </c>
      <c r="AM371" t="s">
        <v>74</v>
      </c>
      <c r="AN371" t="s">
        <v>74</v>
      </c>
      <c r="AO371" t="s">
        <v>230</v>
      </c>
      <c r="AP371" t="s">
        <v>231</v>
      </c>
      <c r="AQ371" t="s">
        <v>74</v>
      </c>
      <c r="AR371" t="s">
        <v>74</v>
      </c>
      <c r="AS371" t="s">
        <v>74</v>
      </c>
      <c r="AT371" t="s">
        <v>451</v>
      </c>
      <c r="AU371">
        <v>2018</v>
      </c>
      <c r="AV371">
        <v>63</v>
      </c>
      <c r="AW371">
        <v>5</v>
      </c>
      <c r="AX371" t="s">
        <v>74</v>
      </c>
      <c r="AY371" t="s">
        <v>74</v>
      </c>
      <c r="AZ371" t="s">
        <v>74</v>
      </c>
      <c r="BA371" t="s">
        <v>74</v>
      </c>
      <c r="BB371">
        <v>2065</v>
      </c>
      <c r="BC371">
        <v>2079</v>
      </c>
      <c r="BD371" t="s">
        <v>74</v>
      </c>
      <c r="BE371" t="s">
        <v>2887</v>
      </c>
      <c r="BF371" t="str">
        <f>HYPERLINK("http://dx.doi.org/10.1002/lno.10924","http://dx.doi.org/10.1002/lno.10924")</f>
        <v>http://dx.doi.org/10.1002/lno.10924</v>
      </c>
      <c r="BG371" t="s">
        <v>74</v>
      </c>
      <c r="BH371" t="s">
        <v>74</v>
      </c>
      <c r="BI371" t="s">
        <v>74</v>
      </c>
      <c r="BJ371" t="s">
        <v>74</v>
      </c>
      <c r="BK371" t="s">
        <v>74</v>
      </c>
      <c r="BL371" t="s">
        <v>74</v>
      </c>
      <c r="BM371" t="s">
        <v>74</v>
      </c>
      <c r="BN371" t="s">
        <v>74</v>
      </c>
      <c r="BO371" t="s">
        <v>74</v>
      </c>
      <c r="BP371" t="s">
        <v>74</v>
      </c>
      <c r="BQ371" t="s">
        <v>74</v>
      </c>
      <c r="BR371" t="s">
        <v>74</v>
      </c>
      <c r="BS371" t="s">
        <v>2888</v>
      </c>
      <c r="BT371" t="str">
        <f>HYPERLINK("https%3A%2F%2Fwww.webofscience.com%2Fwos%2Fwoscc%2Ffull-record%2FWOS:000449045600014","View Full Record in Web of Science")</f>
        <v>View Full Record in Web of Science</v>
      </c>
    </row>
    <row r="372" spans="1:72" x14ac:dyDescent="0.2">
      <c r="A372" t="s">
        <v>72</v>
      </c>
      <c r="B372" t="s">
        <v>2889</v>
      </c>
      <c r="C372" t="s">
        <v>74</v>
      </c>
      <c r="D372" t="s">
        <v>74</v>
      </c>
      <c r="E372" t="s">
        <v>74</v>
      </c>
      <c r="F372" t="s">
        <v>2890</v>
      </c>
      <c r="G372" t="s">
        <v>74</v>
      </c>
      <c r="H372" t="s">
        <v>74</v>
      </c>
      <c r="I372" t="s">
        <v>2891</v>
      </c>
      <c r="J372" t="s">
        <v>844</v>
      </c>
      <c r="K372" t="s">
        <v>74</v>
      </c>
      <c r="L372" t="s">
        <v>74</v>
      </c>
      <c r="M372" t="s">
        <v>74</v>
      </c>
      <c r="N372" t="s">
        <v>74</v>
      </c>
      <c r="O372" t="s">
        <v>74</v>
      </c>
      <c r="P372" t="s">
        <v>74</v>
      </c>
      <c r="Q372" t="s">
        <v>74</v>
      </c>
      <c r="R372" t="s">
        <v>74</v>
      </c>
      <c r="S372" t="s">
        <v>74</v>
      </c>
      <c r="T372" t="s">
        <v>74</v>
      </c>
      <c r="U372" t="s">
        <v>74</v>
      </c>
      <c r="V372" t="s">
        <v>74</v>
      </c>
      <c r="W372" t="s">
        <v>74</v>
      </c>
      <c r="X372" t="s">
        <v>74</v>
      </c>
      <c r="Y372" t="s">
        <v>74</v>
      </c>
      <c r="Z372" t="s">
        <v>74</v>
      </c>
      <c r="AA372" t="s">
        <v>2892</v>
      </c>
      <c r="AB372" t="s">
        <v>2893</v>
      </c>
      <c r="AC372" t="s">
        <v>74</v>
      </c>
      <c r="AD372" t="s">
        <v>74</v>
      </c>
      <c r="AE372" t="s">
        <v>74</v>
      </c>
      <c r="AF372" t="s">
        <v>74</v>
      </c>
      <c r="AG372" t="s">
        <v>74</v>
      </c>
      <c r="AH372" t="s">
        <v>74</v>
      </c>
      <c r="AI372" t="s">
        <v>74</v>
      </c>
      <c r="AJ372" t="s">
        <v>74</v>
      </c>
      <c r="AK372" t="s">
        <v>74</v>
      </c>
      <c r="AL372" t="s">
        <v>74</v>
      </c>
      <c r="AM372" t="s">
        <v>74</v>
      </c>
      <c r="AN372" t="s">
        <v>74</v>
      </c>
      <c r="AO372" t="s">
        <v>847</v>
      </c>
      <c r="AP372" t="s">
        <v>848</v>
      </c>
      <c r="AQ372" t="s">
        <v>74</v>
      </c>
      <c r="AR372" t="s">
        <v>74</v>
      </c>
      <c r="AS372" t="s">
        <v>74</v>
      </c>
      <c r="AT372" t="s">
        <v>451</v>
      </c>
      <c r="AU372">
        <v>2018</v>
      </c>
      <c r="AV372">
        <v>37</v>
      </c>
      <c r="AW372">
        <v>9</v>
      </c>
      <c r="AX372" t="s">
        <v>74</v>
      </c>
      <c r="AY372" t="s">
        <v>74</v>
      </c>
      <c r="AZ372" t="s">
        <v>74</v>
      </c>
      <c r="BA372" t="s">
        <v>74</v>
      </c>
      <c r="BB372">
        <v>2380</v>
      </c>
      <c r="BC372">
        <v>2400</v>
      </c>
      <c r="BD372" t="s">
        <v>74</v>
      </c>
      <c r="BE372" t="s">
        <v>2894</v>
      </c>
      <c r="BF372" t="str">
        <f>HYPERLINK("http://dx.doi.org/10.1002/etc.4185","http://dx.doi.org/10.1002/etc.4185")</f>
        <v>http://dx.doi.org/10.1002/etc.4185</v>
      </c>
      <c r="BG372" t="s">
        <v>74</v>
      </c>
      <c r="BH372" t="s">
        <v>74</v>
      </c>
      <c r="BI372" t="s">
        <v>74</v>
      </c>
      <c r="BJ372" t="s">
        <v>74</v>
      </c>
      <c r="BK372" t="s">
        <v>74</v>
      </c>
      <c r="BL372" t="s">
        <v>74</v>
      </c>
      <c r="BM372" t="s">
        <v>74</v>
      </c>
      <c r="BN372">
        <v>29870110</v>
      </c>
      <c r="BO372" t="s">
        <v>74</v>
      </c>
      <c r="BP372" t="s">
        <v>74</v>
      </c>
      <c r="BQ372" t="s">
        <v>74</v>
      </c>
      <c r="BR372" t="s">
        <v>74</v>
      </c>
      <c r="BS372" t="s">
        <v>2895</v>
      </c>
      <c r="BT372" t="str">
        <f>HYPERLINK("https%3A%2F%2Fwww.webofscience.com%2Fwos%2Fwoscc%2Ffull-record%2FWOS:000442697800011","View Full Record in Web of Science")</f>
        <v>View Full Record in Web of Science</v>
      </c>
    </row>
    <row r="373" spans="1:72" x14ac:dyDescent="0.2">
      <c r="A373" t="s">
        <v>72</v>
      </c>
      <c r="B373" t="s">
        <v>2896</v>
      </c>
      <c r="C373" t="s">
        <v>74</v>
      </c>
      <c r="D373" t="s">
        <v>74</v>
      </c>
      <c r="E373" t="s">
        <v>74</v>
      </c>
      <c r="F373" t="s">
        <v>2897</v>
      </c>
      <c r="G373" t="s">
        <v>74</v>
      </c>
      <c r="H373" t="s">
        <v>74</v>
      </c>
      <c r="I373" t="s">
        <v>2898</v>
      </c>
      <c r="J373" t="s">
        <v>115</v>
      </c>
      <c r="K373" t="s">
        <v>74</v>
      </c>
      <c r="L373" t="s">
        <v>74</v>
      </c>
      <c r="M373" t="s">
        <v>74</v>
      </c>
      <c r="N373" t="s">
        <v>74</v>
      </c>
      <c r="O373" t="s">
        <v>74</v>
      </c>
      <c r="P373" t="s">
        <v>74</v>
      </c>
      <c r="Q373" t="s">
        <v>74</v>
      </c>
      <c r="R373" t="s">
        <v>74</v>
      </c>
      <c r="S373" t="s">
        <v>74</v>
      </c>
      <c r="T373" t="s">
        <v>74</v>
      </c>
      <c r="U373" t="s">
        <v>74</v>
      </c>
      <c r="V373" t="s">
        <v>74</v>
      </c>
      <c r="W373" t="s">
        <v>74</v>
      </c>
      <c r="X373" t="s">
        <v>74</v>
      </c>
      <c r="Y373" t="s">
        <v>74</v>
      </c>
      <c r="Z373" t="s">
        <v>74</v>
      </c>
      <c r="AA373" t="s">
        <v>6988</v>
      </c>
      <c r="AB373" t="s">
        <v>6989</v>
      </c>
      <c r="AC373" t="s">
        <v>74</v>
      </c>
      <c r="AD373" t="s">
        <v>74</v>
      </c>
      <c r="AE373" t="s">
        <v>74</v>
      </c>
      <c r="AF373" t="s">
        <v>74</v>
      </c>
      <c r="AG373" t="s">
        <v>74</v>
      </c>
      <c r="AH373" t="s">
        <v>74</v>
      </c>
      <c r="AI373" t="s">
        <v>74</v>
      </c>
      <c r="AJ373" t="s">
        <v>74</v>
      </c>
      <c r="AK373" t="s">
        <v>74</v>
      </c>
      <c r="AL373" t="s">
        <v>74</v>
      </c>
      <c r="AM373" t="s">
        <v>74</v>
      </c>
      <c r="AN373" t="s">
        <v>74</v>
      </c>
      <c r="AO373" t="s">
        <v>116</v>
      </c>
      <c r="AP373" t="s">
        <v>117</v>
      </c>
      <c r="AQ373" t="s">
        <v>74</v>
      </c>
      <c r="AR373" t="s">
        <v>74</v>
      </c>
      <c r="AS373" t="s">
        <v>74</v>
      </c>
      <c r="AT373" t="s">
        <v>2899</v>
      </c>
      <c r="AU373">
        <v>2018</v>
      </c>
      <c r="AV373">
        <v>52</v>
      </c>
      <c r="AW373">
        <v>16</v>
      </c>
      <c r="AX373" t="s">
        <v>74</v>
      </c>
      <c r="AY373" t="s">
        <v>74</v>
      </c>
      <c r="AZ373" t="s">
        <v>74</v>
      </c>
      <c r="BA373" t="s">
        <v>74</v>
      </c>
      <c r="BB373">
        <v>9403</v>
      </c>
      <c r="BC373">
        <v>9411</v>
      </c>
      <c r="BD373" t="s">
        <v>74</v>
      </c>
      <c r="BE373" t="s">
        <v>2900</v>
      </c>
      <c r="BF373" t="str">
        <f>HYPERLINK("http://dx.doi.org/10.1021/acs.est.8b00843","http://dx.doi.org/10.1021/acs.est.8b00843")</f>
        <v>http://dx.doi.org/10.1021/acs.est.8b00843</v>
      </c>
      <c r="BG373" t="s">
        <v>74</v>
      </c>
      <c r="BH373" t="s">
        <v>74</v>
      </c>
      <c r="BI373" t="s">
        <v>74</v>
      </c>
      <c r="BJ373" t="s">
        <v>74</v>
      </c>
      <c r="BK373" t="s">
        <v>74</v>
      </c>
      <c r="BL373" t="s">
        <v>74</v>
      </c>
      <c r="BM373" t="s">
        <v>74</v>
      </c>
      <c r="BN373">
        <v>30016087</v>
      </c>
      <c r="BO373" t="s">
        <v>74</v>
      </c>
      <c r="BP373" t="s">
        <v>74</v>
      </c>
      <c r="BQ373" t="s">
        <v>74</v>
      </c>
      <c r="BR373" t="s">
        <v>74</v>
      </c>
      <c r="BS373" t="s">
        <v>2901</v>
      </c>
      <c r="BT373" t="str">
        <f>HYPERLINK("https%3A%2F%2Fwww.webofscience.com%2Fwos%2Fwoscc%2Ffull-record%2FWOS:000442706700043","View Full Record in Web of Science")</f>
        <v>View Full Record in Web of Science</v>
      </c>
    </row>
    <row r="374" spans="1:72" x14ac:dyDescent="0.2">
      <c r="A374" t="s">
        <v>72</v>
      </c>
      <c r="B374" t="s">
        <v>2902</v>
      </c>
      <c r="C374" t="s">
        <v>74</v>
      </c>
      <c r="D374" t="s">
        <v>74</v>
      </c>
      <c r="E374" t="s">
        <v>74</v>
      </c>
      <c r="F374" t="s">
        <v>2903</v>
      </c>
      <c r="G374" t="s">
        <v>74</v>
      </c>
      <c r="H374" t="s">
        <v>74</v>
      </c>
      <c r="I374" t="s">
        <v>2904</v>
      </c>
      <c r="J374" t="s">
        <v>2096</v>
      </c>
      <c r="K374" t="s">
        <v>74</v>
      </c>
      <c r="L374" t="s">
        <v>74</v>
      </c>
      <c r="M374" t="s">
        <v>74</v>
      </c>
      <c r="N374" t="s">
        <v>74</v>
      </c>
      <c r="O374" t="s">
        <v>74</v>
      </c>
      <c r="P374" t="s">
        <v>74</v>
      </c>
      <c r="Q374" t="s">
        <v>74</v>
      </c>
      <c r="R374" t="s">
        <v>74</v>
      </c>
      <c r="S374" t="s">
        <v>74</v>
      </c>
      <c r="T374" t="s">
        <v>74</v>
      </c>
      <c r="U374" t="s">
        <v>74</v>
      </c>
      <c r="V374" t="s">
        <v>74</v>
      </c>
      <c r="W374" t="s">
        <v>74</v>
      </c>
      <c r="X374" t="s">
        <v>74</v>
      </c>
      <c r="Y374" t="s">
        <v>74</v>
      </c>
      <c r="Z374" t="s">
        <v>74</v>
      </c>
      <c r="AA374" t="s">
        <v>2905</v>
      </c>
      <c r="AB374" t="s">
        <v>2906</v>
      </c>
      <c r="AC374" t="s">
        <v>74</v>
      </c>
      <c r="AD374" t="s">
        <v>74</v>
      </c>
      <c r="AE374" t="s">
        <v>74</v>
      </c>
      <c r="AF374" t="s">
        <v>74</v>
      </c>
      <c r="AG374" t="s">
        <v>74</v>
      </c>
      <c r="AH374" t="s">
        <v>74</v>
      </c>
      <c r="AI374" t="s">
        <v>74</v>
      </c>
      <c r="AJ374" t="s">
        <v>74</v>
      </c>
      <c r="AK374" t="s">
        <v>74</v>
      </c>
      <c r="AL374" t="s">
        <v>74</v>
      </c>
      <c r="AM374" t="s">
        <v>74</v>
      </c>
      <c r="AN374" t="s">
        <v>74</v>
      </c>
      <c r="AO374" t="s">
        <v>2097</v>
      </c>
      <c r="AP374" t="s">
        <v>2098</v>
      </c>
      <c r="AQ374" t="s">
        <v>74</v>
      </c>
      <c r="AR374" t="s">
        <v>74</v>
      </c>
      <c r="AS374" t="s">
        <v>74</v>
      </c>
      <c r="AT374" t="s">
        <v>520</v>
      </c>
      <c r="AU374">
        <v>2018</v>
      </c>
      <c r="AV374">
        <v>151</v>
      </c>
      <c r="AW374" t="s">
        <v>74</v>
      </c>
      <c r="AX374" t="s">
        <v>74</v>
      </c>
      <c r="AY374" t="s">
        <v>74</v>
      </c>
      <c r="AZ374" t="s">
        <v>74</v>
      </c>
      <c r="BA374" t="s">
        <v>74</v>
      </c>
      <c r="BB374">
        <v>20</v>
      </c>
      <c r="BC374">
        <v>27</v>
      </c>
      <c r="BD374" t="s">
        <v>74</v>
      </c>
      <c r="BE374" t="s">
        <v>2907</v>
      </c>
      <c r="BF374" t="str">
        <f>HYPERLINK("http://dx.doi.org/10.1016/j.mimet.2018.05.021","http://dx.doi.org/10.1016/j.mimet.2018.05.021")</f>
        <v>http://dx.doi.org/10.1016/j.mimet.2018.05.021</v>
      </c>
      <c r="BG374" t="s">
        <v>74</v>
      </c>
      <c r="BH374" t="s">
        <v>74</v>
      </c>
      <c r="BI374" t="s">
        <v>74</v>
      </c>
      <c r="BJ374" t="s">
        <v>74</v>
      </c>
      <c r="BK374" t="s">
        <v>74</v>
      </c>
      <c r="BL374" t="s">
        <v>74</v>
      </c>
      <c r="BM374" t="s">
        <v>74</v>
      </c>
      <c r="BN374">
        <v>29847777</v>
      </c>
      <c r="BO374" t="s">
        <v>74</v>
      </c>
      <c r="BP374" t="s">
        <v>74</v>
      </c>
      <c r="BQ374" t="s">
        <v>74</v>
      </c>
      <c r="BR374" t="s">
        <v>74</v>
      </c>
      <c r="BS374" t="s">
        <v>2908</v>
      </c>
      <c r="BT374" t="str">
        <f>HYPERLINK("https%3A%2F%2Fwww.webofscience.com%2Fwos%2Fwoscc%2Ffull-record%2FWOS:000440119500004","View Full Record in Web of Science")</f>
        <v>View Full Record in Web of Science</v>
      </c>
    </row>
    <row r="375" spans="1:72" x14ac:dyDescent="0.2">
      <c r="A375" t="s">
        <v>72</v>
      </c>
      <c r="B375" t="s">
        <v>2909</v>
      </c>
      <c r="C375" t="s">
        <v>74</v>
      </c>
      <c r="D375" t="s">
        <v>74</v>
      </c>
      <c r="E375" t="s">
        <v>74</v>
      </c>
      <c r="F375" t="s">
        <v>2910</v>
      </c>
      <c r="G375" t="s">
        <v>74</v>
      </c>
      <c r="H375" t="s">
        <v>74</v>
      </c>
      <c r="I375" t="s">
        <v>2911</v>
      </c>
      <c r="J375" t="s">
        <v>1716</v>
      </c>
      <c r="K375" t="s">
        <v>74</v>
      </c>
      <c r="L375" t="s">
        <v>74</v>
      </c>
      <c r="M375" t="s">
        <v>74</v>
      </c>
      <c r="N375" t="s">
        <v>74</v>
      </c>
      <c r="O375" t="s">
        <v>74</v>
      </c>
      <c r="P375" t="s">
        <v>74</v>
      </c>
      <c r="Q375" t="s">
        <v>74</v>
      </c>
      <c r="R375" t="s">
        <v>74</v>
      </c>
      <c r="S375" t="s">
        <v>74</v>
      </c>
      <c r="T375" t="s">
        <v>74</v>
      </c>
      <c r="U375" t="s">
        <v>74</v>
      </c>
      <c r="V375" t="s">
        <v>74</v>
      </c>
      <c r="W375" t="s">
        <v>74</v>
      </c>
      <c r="X375" t="s">
        <v>74</v>
      </c>
      <c r="Y375" t="s">
        <v>74</v>
      </c>
      <c r="Z375" t="s">
        <v>74</v>
      </c>
      <c r="AA375" t="s">
        <v>2912</v>
      </c>
      <c r="AB375" t="s">
        <v>6990</v>
      </c>
      <c r="AC375" t="s">
        <v>74</v>
      </c>
      <c r="AD375" t="s">
        <v>74</v>
      </c>
      <c r="AE375" t="s">
        <v>74</v>
      </c>
      <c r="AF375" t="s">
        <v>74</v>
      </c>
      <c r="AG375" t="s">
        <v>74</v>
      </c>
      <c r="AH375" t="s">
        <v>74</v>
      </c>
      <c r="AI375" t="s">
        <v>74</v>
      </c>
      <c r="AJ375" t="s">
        <v>74</v>
      </c>
      <c r="AK375" t="s">
        <v>74</v>
      </c>
      <c r="AL375" t="s">
        <v>74</v>
      </c>
      <c r="AM375" t="s">
        <v>74</v>
      </c>
      <c r="AN375" t="s">
        <v>74</v>
      </c>
      <c r="AO375" t="s">
        <v>1717</v>
      </c>
      <c r="AP375" t="s">
        <v>1718</v>
      </c>
      <c r="AQ375" t="s">
        <v>74</v>
      </c>
      <c r="AR375" t="s">
        <v>74</v>
      </c>
      <c r="AS375" t="s">
        <v>74</v>
      </c>
      <c r="AT375" t="s">
        <v>520</v>
      </c>
      <c r="AU375">
        <v>2018</v>
      </c>
      <c r="AV375">
        <v>54</v>
      </c>
      <c r="AW375">
        <v>4</v>
      </c>
      <c r="AX375" t="s">
        <v>74</v>
      </c>
      <c r="AY375" t="s">
        <v>74</v>
      </c>
      <c r="AZ375" t="s">
        <v>74</v>
      </c>
      <c r="BA375" t="s">
        <v>74</v>
      </c>
      <c r="BB375">
        <v>571</v>
      </c>
      <c r="BC375">
        <v>576</v>
      </c>
      <c r="BD375" t="s">
        <v>74</v>
      </c>
      <c r="BE375" t="s">
        <v>2913</v>
      </c>
      <c r="BF375" t="str">
        <f>HYPERLINK("http://dx.doi.org/10.1111/jpy.12748","http://dx.doi.org/10.1111/jpy.12748")</f>
        <v>http://dx.doi.org/10.1111/jpy.12748</v>
      </c>
      <c r="BG375" t="s">
        <v>74</v>
      </c>
      <c r="BH375" t="s">
        <v>74</v>
      </c>
      <c r="BI375" t="s">
        <v>74</v>
      </c>
      <c r="BJ375" t="s">
        <v>74</v>
      </c>
      <c r="BK375" t="s">
        <v>74</v>
      </c>
      <c r="BL375" t="s">
        <v>74</v>
      </c>
      <c r="BM375" t="s">
        <v>74</v>
      </c>
      <c r="BN375">
        <v>29676790</v>
      </c>
      <c r="BO375" t="s">
        <v>74</v>
      </c>
      <c r="BP375" t="s">
        <v>74</v>
      </c>
      <c r="BQ375" t="s">
        <v>74</v>
      </c>
      <c r="BR375" t="s">
        <v>74</v>
      </c>
      <c r="BS375" t="s">
        <v>2914</v>
      </c>
      <c r="BT375" t="str">
        <f>HYPERLINK("https%3A%2F%2Fwww.webofscience.com%2Fwos%2Fwoscc%2Ffull-record%2FWOS:000441860300014","View Full Record in Web of Science")</f>
        <v>View Full Record in Web of Science</v>
      </c>
    </row>
    <row r="376" spans="1:72" x14ac:dyDescent="0.2">
      <c r="A376" t="s">
        <v>72</v>
      </c>
      <c r="B376" t="s">
        <v>2915</v>
      </c>
      <c r="C376" t="s">
        <v>74</v>
      </c>
      <c r="D376" t="s">
        <v>74</v>
      </c>
      <c r="E376" t="s">
        <v>74</v>
      </c>
      <c r="F376" t="s">
        <v>2916</v>
      </c>
      <c r="G376" t="s">
        <v>74</v>
      </c>
      <c r="H376" t="s">
        <v>74</v>
      </c>
      <c r="I376" t="s">
        <v>2917</v>
      </c>
      <c r="J376" t="s">
        <v>2918</v>
      </c>
      <c r="K376" t="s">
        <v>74</v>
      </c>
      <c r="L376" t="s">
        <v>74</v>
      </c>
      <c r="M376" t="s">
        <v>74</v>
      </c>
      <c r="N376" t="s">
        <v>74</v>
      </c>
      <c r="O376" t="s">
        <v>74</v>
      </c>
      <c r="P376" t="s">
        <v>74</v>
      </c>
      <c r="Q376" t="s">
        <v>74</v>
      </c>
      <c r="R376" t="s">
        <v>74</v>
      </c>
      <c r="S376" t="s">
        <v>74</v>
      </c>
      <c r="T376" t="s">
        <v>74</v>
      </c>
      <c r="U376" t="s">
        <v>74</v>
      </c>
      <c r="V376" t="s">
        <v>74</v>
      </c>
      <c r="W376" t="s">
        <v>74</v>
      </c>
      <c r="X376" t="s">
        <v>74</v>
      </c>
      <c r="Y376" t="s">
        <v>74</v>
      </c>
      <c r="Z376" t="s">
        <v>74</v>
      </c>
      <c r="AA376" t="s">
        <v>2919</v>
      </c>
      <c r="AB376" t="s">
        <v>2920</v>
      </c>
      <c r="AC376" t="s">
        <v>74</v>
      </c>
      <c r="AD376" t="s">
        <v>74</v>
      </c>
      <c r="AE376" t="s">
        <v>74</v>
      </c>
      <c r="AF376" t="s">
        <v>74</v>
      </c>
      <c r="AG376" t="s">
        <v>74</v>
      </c>
      <c r="AH376" t="s">
        <v>74</v>
      </c>
      <c r="AI376" t="s">
        <v>74</v>
      </c>
      <c r="AJ376" t="s">
        <v>74</v>
      </c>
      <c r="AK376" t="s">
        <v>74</v>
      </c>
      <c r="AL376" t="s">
        <v>74</v>
      </c>
      <c r="AM376" t="s">
        <v>74</v>
      </c>
      <c r="AN376" t="s">
        <v>74</v>
      </c>
      <c r="AO376" t="s">
        <v>2921</v>
      </c>
      <c r="AP376" t="s">
        <v>2922</v>
      </c>
      <c r="AQ376" t="s">
        <v>74</v>
      </c>
      <c r="AR376" t="s">
        <v>74</v>
      </c>
      <c r="AS376" t="s">
        <v>74</v>
      </c>
      <c r="AT376" t="s">
        <v>520</v>
      </c>
      <c r="AU376">
        <v>2018</v>
      </c>
      <c r="AV376">
        <v>16</v>
      </c>
      <c r="AW376">
        <v>8</v>
      </c>
      <c r="AX376" t="s">
        <v>74</v>
      </c>
      <c r="AY376" t="s">
        <v>74</v>
      </c>
      <c r="AZ376" t="s">
        <v>74</v>
      </c>
      <c r="BA376" t="s">
        <v>74</v>
      </c>
      <c r="BB376">
        <v>471</v>
      </c>
      <c r="BC376">
        <v>483</v>
      </c>
      <c r="BD376" t="s">
        <v>74</v>
      </c>
      <c r="BE376" t="s">
        <v>2923</v>
      </c>
      <c r="BF376" t="str">
        <f>HYPERLINK("http://dx.doi.org/10.1038/s41579-018-0040-1","http://dx.doi.org/10.1038/s41579-018-0040-1")</f>
        <v>http://dx.doi.org/10.1038/s41579-018-0040-1</v>
      </c>
      <c r="BG376" t="s">
        <v>74</v>
      </c>
      <c r="BH376" t="s">
        <v>74</v>
      </c>
      <c r="BI376" t="s">
        <v>74</v>
      </c>
      <c r="BJ376" t="s">
        <v>74</v>
      </c>
      <c r="BK376" t="s">
        <v>74</v>
      </c>
      <c r="BL376" t="s">
        <v>74</v>
      </c>
      <c r="BM376" t="s">
        <v>74</v>
      </c>
      <c r="BN376">
        <v>29946124</v>
      </c>
      <c r="BO376" t="s">
        <v>74</v>
      </c>
      <c r="BP376" t="s">
        <v>74</v>
      </c>
      <c r="BQ376" t="s">
        <v>74</v>
      </c>
      <c r="BR376" t="s">
        <v>74</v>
      </c>
      <c r="BS376" t="s">
        <v>2924</v>
      </c>
      <c r="BT376" t="str">
        <f>HYPERLINK("https%3A%2F%2Fwww.webofscience.com%2Fwos%2Fwoscc%2Ffull-record%2FWOS:000439188500006","View Full Record in Web of Science")</f>
        <v>View Full Record in Web of Science</v>
      </c>
    </row>
    <row r="377" spans="1:72" x14ac:dyDescent="0.2">
      <c r="A377" t="s">
        <v>72</v>
      </c>
      <c r="B377" t="s">
        <v>2925</v>
      </c>
      <c r="C377" t="s">
        <v>74</v>
      </c>
      <c r="D377" t="s">
        <v>74</v>
      </c>
      <c r="E377" t="s">
        <v>74</v>
      </c>
      <c r="F377" t="s">
        <v>2926</v>
      </c>
      <c r="G377" t="s">
        <v>74</v>
      </c>
      <c r="H377" t="s">
        <v>74</v>
      </c>
      <c r="I377" t="s">
        <v>2927</v>
      </c>
      <c r="J377" t="s">
        <v>457</v>
      </c>
      <c r="K377" t="s">
        <v>74</v>
      </c>
      <c r="L377" t="s">
        <v>74</v>
      </c>
      <c r="M377" t="s">
        <v>74</v>
      </c>
      <c r="N377" t="s">
        <v>74</v>
      </c>
      <c r="O377" t="s">
        <v>74</v>
      </c>
      <c r="P377" t="s">
        <v>74</v>
      </c>
      <c r="Q377" t="s">
        <v>74</v>
      </c>
      <c r="R377" t="s">
        <v>74</v>
      </c>
      <c r="S377" t="s">
        <v>74</v>
      </c>
      <c r="T377" t="s">
        <v>74</v>
      </c>
      <c r="U377" t="s">
        <v>74</v>
      </c>
      <c r="V377" t="s">
        <v>74</v>
      </c>
      <c r="W377" t="s">
        <v>74</v>
      </c>
      <c r="X377" t="s">
        <v>74</v>
      </c>
      <c r="Y377" t="s">
        <v>74</v>
      </c>
      <c r="Z377" t="s">
        <v>74</v>
      </c>
      <c r="AA377" t="s">
        <v>2928</v>
      </c>
      <c r="AB377" t="s">
        <v>2929</v>
      </c>
      <c r="AC377" t="s">
        <v>74</v>
      </c>
      <c r="AD377" t="s">
        <v>74</v>
      </c>
      <c r="AE377" t="s">
        <v>74</v>
      </c>
      <c r="AF377" t="s">
        <v>74</v>
      </c>
      <c r="AG377" t="s">
        <v>74</v>
      </c>
      <c r="AH377" t="s">
        <v>74</v>
      </c>
      <c r="AI377" t="s">
        <v>74</v>
      </c>
      <c r="AJ377" t="s">
        <v>74</v>
      </c>
      <c r="AK377" t="s">
        <v>74</v>
      </c>
      <c r="AL377" t="s">
        <v>74</v>
      </c>
      <c r="AM377" t="s">
        <v>74</v>
      </c>
      <c r="AN377" t="s">
        <v>74</v>
      </c>
      <c r="AO377" t="s">
        <v>458</v>
      </c>
      <c r="AP377" t="s">
        <v>74</v>
      </c>
      <c r="AQ377" t="s">
        <v>74</v>
      </c>
      <c r="AR377" t="s">
        <v>74</v>
      </c>
      <c r="AS377" t="s">
        <v>74</v>
      </c>
      <c r="AT377" t="s">
        <v>520</v>
      </c>
      <c r="AU377">
        <v>2018</v>
      </c>
      <c r="AV377">
        <v>8</v>
      </c>
      <c r="AW377">
        <v>16</v>
      </c>
      <c r="AX377" t="s">
        <v>74</v>
      </c>
      <c r="AY377" t="s">
        <v>74</v>
      </c>
      <c r="AZ377" t="s">
        <v>74</v>
      </c>
      <c r="BA377" t="s">
        <v>74</v>
      </c>
      <c r="BB377">
        <v>8256</v>
      </c>
      <c r="BC377">
        <v>8265</v>
      </c>
      <c r="BD377" t="s">
        <v>74</v>
      </c>
      <c r="BE377" t="s">
        <v>2930</v>
      </c>
      <c r="BF377" t="str">
        <f>HYPERLINK("http://dx.doi.org/10.1002/ece3.4367","http://dx.doi.org/10.1002/ece3.4367")</f>
        <v>http://dx.doi.org/10.1002/ece3.4367</v>
      </c>
      <c r="BG377" t="s">
        <v>74</v>
      </c>
      <c r="BH377" t="s">
        <v>74</v>
      </c>
      <c r="BI377" t="s">
        <v>74</v>
      </c>
      <c r="BJ377" t="s">
        <v>74</v>
      </c>
      <c r="BK377" t="s">
        <v>74</v>
      </c>
      <c r="BL377" t="s">
        <v>74</v>
      </c>
      <c r="BM377" t="s">
        <v>74</v>
      </c>
      <c r="BN377">
        <v>30250700</v>
      </c>
      <c r="BO377" t="s">
        <v>74</v>
      </c>
      <c r="BP377" t="s">
        <v>74</v>
      </c>
      <c r="BQ377" t="s">
        <v>74</v>
      </c>
      <c r="BR377" t="s">
        <v>74</v>
      </c>
      <c r="BS377" t="s">
        <v>2931</v>
      </c>
      <c r="BT377" t="str">
        <f>HYPERLINK("https%3A%2F%2Fwww.webofscience.com%2Fwos%2Fwoscc%2Ffull-record%2FWOS:000444946300042","View Full Record in Web of Science")</f>
        <v>View Full Record in Web of Science</v>
      </c>
    </row>
    <row r="378" spans="1:72" x14ac:dyDescent="0.2">
      <c r="A378" t="s">
        <v>72</v>
      </c>
      <c r="B378" t="s">
        <v>2932</v>
      </c>
      <c r="C378" t="s">
        <v>74</v>
      </c>
      <c r="D378" t="s">
        <v>74</v>
      </c>
      <c r="E378" t="s">
        <v>74</v>
      </c>
      <c r="F378" t="s">
        <v>2933</v>
      </c>
      <c r="G378" t="s">
        <v>74</v>
      </c>
      <c r="H378" t="s">
        <v>74</v>
      </c>
      <c r="I378" t="s">
        <v>2934</v>
      </c>
      <c r="J378" t="s">
        <v>973</v>
      </c>
      <c r="K378" t="s">
        <v>74</v>
      </c>
      <c r="L378" t="s">
        <v>74</v>
      </c>
      <c r="M378" t="s">
        <v>74</v>
      </c>
      <c r="N378" t="s">
        <v>74</v>
      </c>
      <c r="O378" t="s">
        <v>74</v>
      </c>
      <c r="P378" t="s">
        <v>74</v>
      </c>
      <c r="Q378" t="s">
        <v>74</v>
      </c>
      <c r="R378" t="s">
        <v>74</v>
      </c>
      <c r="S378" t="s">
        <v>74</v>
      </c>
      <c r="T378" t="s">
        <v>74</v>
      </c>
      <c r="U378" t="s">
        <v>74</v>
      </c>
      <c r="V378" t="s">
        <v>74</v>
      </c>
      <c r="W378" t="s">
        <v>74</v>
      </c>
      <c r="X378" t="s">
        <v>74</v>
      </c>
      <c r="Y378" t="s">
        <v>74</v>
      </c>
      <c r="Z378" t="s">
        <v>74</v>
      </c>
      <c r="AA378" t="s">
        <v>2935</v>
      </c>
      <c r="AB378" t="s">
        <v>2936</v>
      </c>
      <c r="AC378" t="s">
        <v>74</v>
      </c>
      <c r="AD378" t="s">
        <v>74</v>
      </c>
      <c r="AE378" t="s">
        <v>74</v>
      </c>
      <c r="AF378" t="s">
        <v>74</v>
      </c>
      <c r="AG378" t="s">
        <v>74</v>
      </c>
      <c r="AH378" t="s">
        <v>74</v>
      </c>
      <c r="AI378" t="s">
        <v>74</v>
      </c>
      <c r="AJ378" t="s">
        <v>74</v>
      </c>
      <c r="AK378" t="s">
        <v>74</v>
      </c>
      <c r="AL378" t="s">
        <v>74</v>
      </c>
      <c r="AM378" t="s">
        <v>74</v>
      </c>
      <c r="AN378" t="s">
        <v>74</v>
      </c>
      <c r="AO378" t="s">
        <v>974</v>
      </c>
      <c r="AP378" t="s">
        <v>975</v>
      </c>
      <c r="AQ378" t="s">
        <v>74</v>
      </c>
      <c r="AR378" t="s">
        <v>74</v>
      </c>
      <c r="AS378" t="s">
        <v>74</v>
      </c>
      <c r="AT378" t="s">
        <v>2937</v>
      </c>
      <c r="AU378">
        <v>2018</v>
      </c>
      <c r="AV378">
        <v>207</v>
      </c>
      <c r="AW378" t="s">
        <v>74</v>
      </c>
      <c r="AX378" t="s">
        <v>74</v>
      </c>
      <c r="AY378" t="s">
        <v>74</v>
      </c>
      <c r="AZ378" t="s">
        <v>74</v>
      </c>
      <c r="BA378" t="s">
        <v>74</v>
      </c>
      <c r="BB378">
        <v>242</v>
      </c>
      <c r="BC378">
        <v>249</v>
      </c>
      <c r="BD378" t="s">
        <v>74</v>
      </c>
      <c r="BE378" t="s">
        <v>2938</v>
      </c>
      <c r="BF378" t="str">
        <f>HYPERLINK("http://dx.doi.org/10.1016/j.ecss.2018.04.013","http://dx.doi.org/10.1016/j.ecss.2018.04.013")</f>
        <v>http://dx.doi.org/10.1016/j.ecss.2018.04.013</v>
      </c>
      <c r="BG378" t="s">
        <v>74</v>
      </c>
      <c r="BH378" t="s">
        <v>74</v>
      </c>
      <c r="BI378" t="s">
        <v>74</v>
      </c>
      <c r="BJ378" t="s">
        <v>74</v>
      </c>
      <c r="BK378" t="s">
        <v>74</v>
      </c>
      <c r="BL378" t="s">
        <v>74</v>
      </c>
      <c r="BM378" t="s">
        <v>74</v>
      </c>
      <c r="BN378" t="s">
        <v>74</v>
      </c>
      <c r="BO378" t="s">
        <v>74</v>
      </c>
      <c r="BP378" t="s">
        <v>74</v>
      </c>
      <c r="BQ378" t="s">
        <v>74</v>
      </c>
      <c r="BR378" t="s">
        <v>74</v>
      </c>
      <c r="BS378" t="s">
        <v>2939</v>
      </c>
      <c r="BT378" t="str">
        <f>HYPERLINK("https%3A%2F%2Fwww.webofscience.com%2Fwos%2Fwoscc%2Ffull-record%2FWOS:000440265300025","View Full Record in Web of Science")</f>
        <v>View Full Record in Web of Science</v>
      </c>
    </row>
    <row r="379" spans="1:72" x14ac:dyDescent="0.2">
      <c r="A379" t="s">
        <v>72</v>
      </c>
      <c r="B379" t="s">
        <v>2940</v>
      </c>
      <c r="C379" t="s">
        <v>74</v>
      </c>
      <c r="D379" t="s">
        <v>74</v>
      </c>
      <c r="E379" t="s">
        <v>74</v>
      </c>
      <c r="F379" t="s">
        <v>2941</v>
      </c>
      <c r="G379" t="s">
        <v>74</v>
      </c>
      <c r="H379" t="s">
        <v>74</v>
      </c>
      <c r="I379" t="s">
        <v>2942</v>
      </c>
      <c r="J379" t="s">
        <v>767</v>
      </c>
      <c r="K379" t="s">
        <v>74</v>
      </c>
      <c r="L379" t="s">
        <v>74</v>
      </c>
      <c r="M379" t="s">
        <v>74</v>
      </c>
      <c r="N379" t="s">
        <v>74</v>
      </c>
      <c r="O379" t="s">
        <v>74</v>
      </c>
      <c r="P379" t="s">
        <v>74</v>
      </c>
      <c r="Q379" t="s">
        <v>74</v>
      </c>
      <c r="R379" t="s">
        <v>74</v>
      </c>
      <c r="S379" t="s">
        <v>74</v>
      </c>
      <c r="T379" t="s">
        <v>74</v>
      </c>
      <c r="U379" t="s">
        <v>74</v>
      </c>
      <c r="V379" t="s">
        <v>74</v>
      </c>
      <c r="W379" t="s">
        <v>74</v>
      </c>
      <c r="X379" t="s">
        <v>74</v>
      </c>
      <c r="Y379" t="s">
        <v>74</v>
      </c>
      <c r="Z379" t="s">
        <v>74</v>
      </c>
      <c r="AA379" t="s">
        <v>2943</v>
      </c>
      <c r="AB379" t="s">
        <v>2944</v>
      </c>
      <c r="AC379" t="s">
        <v>74</v>
      </c>
      <c r="AD379" t="s">
        <v>74</v>
      </c>
      <c r="AE379" t="s">
        <v>74</v>
      </c>
      <c r="AF379" t="s">
        <v>74</v>
      </c>
      <c r="AG379" t="s">
        <v>74</v>
      </c>
      <c r="AH379" t="s">
        <v>74</v>
      </c>
      <c r="AI379" t="s">
        <v>74</v>
      </c>
      <c r="AJ379" t="s">
        <v>74</v>
      </c>
      <c r="AK379" t="s">
        <v>74</v>
      </c>
      <c r="AL379" t="s">
        <v>74</v>
      </c>
      <c r="AM379" t="s">
        <v>74</v>
      </c>
      <c r="AN379" t="s">
        <v>74</v>
      </c>
      <c r="AO379" t="s">
        <v>770</v>
      </c>
      <c r="AP379" t="s">
        <v>771</v>
      </c>
      <c r="AQ379" t="s">
        <v>74</v>
      </c>
      <c r="AR379" t="s">
        <v>74</v>
      </c>
      <c r="AS379" t="s">
        <v>74</v>
      </c>
      <c r="AT379" t="s">
        <v>1310</v>
      </c>
      <c r="AU379">
        <v>2018</v>
      </c>
      <c r="AV379">
        <v>164</v>
      </c>
      <c r="AW379" t="s">
        <v>74</v>
      </c>
      <c r="AX379" t="s">
        <v>74</v>
      </c>
      <c r="AY379" t="s">
        <v>74</v>
      </c>
      <c r="AZ379" t="s">
        <v>74</v>
      </c>
      <c r="BA379" t="s">
        <v>74</v>
      </c>
      <c r="BB379">
        <v>28</v>
      </c>
      <c r="BC379">
        <v>36</v>
      </c>
      <c r="BD379" t="s">
        <v>74</v>
      </c>
      <c r="BE379" t="s">
        <v>2945</v>
      </c>
      <c r="BF379" t="str">
        <f>HYPERLINK("http://dx.doi.org/10.1016/j.csr.2018.05.003","http://dx.doi.org/10.1016/j.csr.2018.05.003")</f>
        <v>http://dx.doi.org/10.1016/j.csr.2018.05.003</v>
      </c>
      <c r="BG379" t="s">
        <v>74</v>
      </c>
      <c r="BH379" t="s">
        <v>74</v>
      </c>
      <c r="BI379" t="s">
        <v>74</v>
      </c>
      <c r="BJ379" t="s">
        <v>74</v>
      </c>
      <c r="BK379" t="s">
        <v>74</v>
      </c>
      <c r="BL379" t="s">
        <v>74</v>
      </c>
      <c r="BM379" t="s">
        <v>74</v>
      </c>
      <c r="BN379" t="s">
        <v>74</v>
      </c>
      <c r="BO379" t="s">
        <v>74</v>
      </c>
      <c r="BP379" t="s">
        <v>74</v>
      </c>
      <c r="BQ379" t="s">
        <v>74</v>
      </c>
      <c r="BR379" t="s">
        <v>74</v>
      </c>
      <c r="BS379" t="s">
        <v>2946</v>
      </c>
      <c r="BT379" t="str">
        <f>HYPERLINK("https%3A%2F%2Fwww.webofscience.com%2Fwos%2Fwoscc%2Ffull-record%2FWOS:000441486200003","View Full Record in Web of Science")</f>
        <v>View Full Record in Web of Science</v>
      </c>
    </row>
    <row r="380" spans="1:72" x14ac:dyDescent="0.2">
      <c r="A380" t="s">
        <v>72</v>
      </c>
      <c r="B380" t="s">
        <v>2947</v>
      </c>
      <c r="C380" t="s">
        <v>74</v>
      </c>
      <c r="D380" t="s">
        <v>74</v>
      </c>
      <c r="E380" t="s">
        <v>74</v>
      </c>
      <c r="F380" t="s">
        <v>2948</v>
      </c>
      <c r="G380" t="s">
        <v>74</v>
      </c>
      <c r="H380" t="s">
        <v>74</v>
      </c>
      <c r="I380" t="s">
        <v>2949</v>
      </c>
      <c r="J380" t="s">
        <v>502</v>
      </c>
      <c r="K380" t="s">
        <v>74</v>
      </c>
      <c r="L380" t="s">
        <v>74</v>
      </c>
      <c r="M380" t="s">
        <v>74</v>
      </c>
      <c r="N380" t="s">
        <v>74</v>
      </c>
      <c r="O380" t="s">
        <v>74</v>
      </c>
      <c r="P380" t="s">
        <v>74</v>
      </c>
      <c r="Q380" t="s">
        <v>74</v>
      </c>
      <c r="R380" t="s">
        <v>74</v>
      </c>
      <c r="S380" t="s">
        <v>74</v>
      </c>
      <c r="T380" t="s">
        <v>74</v>
      </c>
      <c r="U380" t="s">
        <v>74</v>
      </c>
      <c r="V380" t="s">
        <v>74</v>
      </c>
      <c r="W380" t="s">
        <v>74</v>
      </c>
      <c r="X380" t="s">
        <v>74</v>
      </c>
      <c r="Y380" t="s">
        <v>74</v>
      </c>
      <c r="Z380" t="s">
        <v>74</v>
      </c>
      <c r="AA380" t="s">
        <v>6991</v>
      </c>
      <c r="AB380" t="s">
        <v>6992</v>
      </c>
      <c r="AC380" t="s">
        <v>74</v>
      </c>
      <c r="AD380" t="s">
        <v>74</v>
      </c>
      <c r="AE380" t="s">
        <v>74</v>
      </c>
      <c r="AF380" t="s">
        <v>74</v>
      </c>
      <c r="AG380" t="s">
        <v>74</v>
      </c>
      <c r="AH380" t="s">
        <v>74</v>
      </c>
      <c r="AI380" t="s">
        <v>74</v>
      </c>
      <c r="AJ380" t="s">
        <v>74</v>
      </c>
      <c r="AK380" t="s">
        <v>74</v>
      </c>
      <c r="AL380" t="s">
        <v>74</v>
      </c>
      <c r="AM380" t="s">
        <v>74</v>
      </c>
      <c r="AN380" t="s">
        <v>74</v>
      </c>
      <c r="AO380" t="s">
        <v>503</v>
      </c>
      <c r="AP380" t="s">
        <v>504</v>
      </c>
      <c r="AQ380" t="s">
        <v>74</v>
      </c>
      <c r="AR380" t="s">
        <v>74</v>
      </c>
      <c r="AS380" t="s">
        <v>74</v>
      </c>
      <c r="AT380" t="s">
        <v>624</v>
      </c>
      <c r="AU380">
        <v>2018</v>
      </c>
      <c r="AV380">
        <v>90</v>
      </c>
      <c r="AW380" t="s">
        <v>74</v>
      </c>
      <c r="AX380" t="s">
        <v>74</v>
      </c>
      <c r="AY380" t="s">
        <v>74</v>
      </c>
      <c r="AZ380" t="s">
        <v>74</v>
      </c>
      <c r="BA380" t="s">
        <v>74</v>
      </c>
      <c r="BB380">
        <v>366</v>
      </c>
      <c r="BC380">
        <v>378</v>
      </c>
      <c r="BD380" t="s">
        <v>74</v>
      </c>
      <c r="BE380" t="s">
        <v>2950</v>
      </c>
      <c r="BF380" t="str">
        <f>HYPERLINK("http://dx.doi.org/10.1016/j.ecolind.2018.03.012","http://dx.doi.org/10.1016/j.ecolind.2018.03.012")</f>
        <v>http://dx.doi.org/10.1016/j.ecolind.2018.03.012</v>
      </c>
      <c r="BG380" t="s">
        <v>74</v>
      </c>
      <c r="BH380" t="s">
        <v>74</v>
      </c>
      <c r="BI380" t="s">
        <v>74</v>
      </c>
      <c r="BJ380" t="s">
        <v>74</v>
      </c>
      <c r="BK380" t="s">
        <v>74</v>
      </c>
      <c r="BL380" t="s">
        <v>74</v>
      </c>
      <c r="BM380" t="s">
        <v>74</v>
      </c>
      <c r="BN380" t="s">
        <v>74</v>
      </c>
      <c r="BO380" t="s">
        <v>74</v>
      </c>
      <c r="BP380" t="s">
        <v>74</v>
      </c>
      <c r="BQ380" t="s">
        <v>74</v>
      </c>
      <c r="BR380" t="s">
        <v>74</v>
      </c>
      <c r="BS380" t="s">
        <v>2951</v>
      </c>
      <c r="BT380" t="str">
        <f>HYPERLINK("https%3A%2F%2Fwww.webofscience.com%2Fwos%2Fwoscc%2Ffull-record%2FWOS:000440266100038","View Full Record in Web of Science")</f>
        <v>View Full Record in Web of Science</v>
      </c>
    </row>
    <row r="381" spans="1:72" x14ac:dyDescent="0.2">
      <c r="A381" t="s">
        <v>72</v>
      </c>
      <c r="B381" t="s">
        <v>2952</v>
      </c>
      <c r="C381" t="s">
        <v>74</v>
      </c>
      <c r="D381" t="s">
        <v>74</v>
      </c>
      <c r="E381" t="s">
        <v>74</v>
      </c>
      <c r="F381" t="s">
        <v>2953</v>
      </c>
      <c r="G381" t="s">
        <v>74</v>
      </c>
      <c r="H381" t="s">
        <v>74</v>
      </c>
      <c r="I381" t="s">
        <v>2954</v>
      </c>
      <c r="J381" t="s">
        <v>2955</v>
      </c>
      <c r="K381" t="s">
        <v>74</v>
      </c>
      <c r="L381" t="s">
        <v>74</v>
      </c>
      <c r="M381" t="s">
        <v>74</v>
      </c>
      <c r="N381" t="s">
        <v>74</v>
      </c>
      <c r="O381" t="s">
        <v>2956</v>
      </c>
      <c r="P381" t="s">
        <v>2957</v>
      </c>
      <c r="Q381" t="s">
        <v>2958</v>
      </c>
      <c r="R381" t="s">
        <v>2959</v>
      </c>
      <c r="S381" t="s">
        <v>74</v>
      </c>
      <c r="T381" t="s">
        <v>74</v>
      </c>
      <c r="U381" t="s">
        <v>74</v>
      </c>
      <c r="V381" t="s">
        <v>74</v>
      </c>
      <c r="W381" t="s">
        <v>74</v>
      </c>
      <c r="X381" t="s">
        <v>74</v>
      </c>
      <c r="Y381" t="s">
        <v>74</v>
      </c>
      <c r="Z381" t="s">
        <v>74</v>
      </c>
      <c r="AA381" t="s">
        <v>2960</v>
      </c>
      <c r="AB381" t="s">
        <v>2961</v>
      </c>
      <c r="AC381" t="s">
        <v>74</v>
      </c>
      <c r="AD381" t="s">
        <v>74</v>
      </c>
      <c r="AE381" t="s">
        <v>74</v>
      </c>
      <c r="AF381" t="s">
        <v>74</v>
      </c>
      <c r="AG381" t="s">
        <v>74</v>
      </c>
      <c r="AH381" t="s">
        <v>74</v>
      </c>
      <c r="AI381" t="s">
        <v>74</v>
      </c>
      <c r="AJ381" t="s">
        <v>74</v>
      </c>
      <c r="AK381" t="s">
        <v>74</v>
      </c>
      <c r="AL381" t="s">
        <v>74</v>
      </c>
      <c r="AM381" t="s">
        <v>74</v>
      </c>
      <c r="AN381" t="s">
        <v>74</v>
      </c>
      <c r="AO381" t="s">
        <v>2962</v>
      </c>
      <c r="AP381" t="s">
        <v>74</v>
      </c>
      <c r="AQ381" t="s">
        <v>74</v>
      </c>
      <c r="AR381" t="s">
        <v>74</v>
      </c>
      <c r="AS381" t="s">
        <v>74</v>
      </c>
      <c r="AT381" t="s">
        <v>624</v>
      </c>
      <c r="AU381">
        <v>2018</v>
      </c>
      <c r="AV381">
        <v>12</v>
      </c>
      <c r="AW381">
        <v>4</v>
      </c>
      <c r="AX381" t="s">
        <v>74</v>
      </c>
      <c r="AY381" t="s">
        <v>74</v>
      </c>
      <c r="AZ381" t="s">
        <v>74</v>
      </c>
      <c r="BA381" t="s">
        <v>74</v>
      </c>
      <c r="BB381" t="s">
        <v>74</v>
      </c>
      <c r="BC381" t="s">
        <v>74</v>
      </c>
      <c r="BD381">
        <v>44111</v>
      </c>
      <c r="BE381" t="s">
        <v>2963</v>
      </c>
      <c r="BF381" t="str">
        <f>HYPERLINK("http://dx.doi.org/10.1063/1.5042779","http://dx.doi.org/10.1063/1.5042779")</f>
        <v>http://dx.doi.org/10.1063/1.5042779</v>
      </c>
      <c r="BG381" t="s">
        <v>74</v>
      </c>
      <c r="BH381" t="s">
        <v>74</v>
      </c>
      <c r="BI381" t="s">
        <v>74</v>
      </c>
      <c r="BJ381" t="s">
        <v>74</v>
      </c>
      <c r="BK381" t="s">
        <v>74</v>
      </c>
      <c r="BL381" t="s">
        <v>74</v>
      </c>
      <c r="BM381" t="s">
        <v>74</v>
      </c>
      <c r="BN381">
        <v>30123401</v>
      </c>
      <c r="BO381" t="s">
        <v>74</v>
      </c>
      <c r="BP381" t="s">
        <v>74</v>
      </c>
      <c r="BQ381" t="s">
        <v>74</v>
      </c>
      <c r="BR381" t="s">
        <v>74</v>
      </c>
      <c r="BS381" t="s">
        <v>2964</v>
      </c>
      <c r="BT381" t="str">
        <f>HYPERLINK("https%3A%2F%2Fwww.webofscience.com%2Fwos%2Fwoscc%2Ffull-record%2FWOS:000443760100031","View Full Record in Web of Science")</f>
        <v>View Full Record in Web of Science</v>
      </c>
    </row>
    <row r="382" spans="1:72" x14ac:dyDescent="0.2">
      <c r="A382" t="s">
        <v>72</v>
      </c>
      <c r="B382" t="s">
        <v>2965</v>
      </c>
      <c r="C382" t="s">
        <v>74</v>
      </c>
      <c r="D382" t="s">
        <v>74</v>
      </c>
      <c r="E382" t="s">
        <v>74</v>
      </c>
      <c r="F382" t="s">
        <v>2966</v>
      </c>
      <c r="G382" t="s">
        <v>74</v>
      </c>
      <c r="H382" t="s">
        <v>74</v>
      </c>
      <c r="I382" t="s">
        <v>2967</v>
      </c>
      <c r="J382" t="s">
        <v>124</v>
      </c>
      <c r="K382" t="s">
        <v>74</v>
      </c>
      <c r="L382" t="s">
        <v>74</v>
      </c>
      <c r="M382" t="s">
        <v>74</v>
      </c>
      <c r="N382" t="s">
        <v>74</v>
      </c>
      <c r="O382" t="s">
        <v>74</v>
      </c>
      <c r="P382" t="s">
        <v>74</v>
      </c>
      <c r="Q382" t="s">
        <v>74</v>
      </c>
      <c r="R382" t="s">
        <v>74</v>
      </c>
      <c r="S382" t="s">
        <v>74</v>
      </c>
      <c r="T382" t="s">
        <v>74</v>
      </c>
      <c r="U382" t="s">
        <v>74</v>
      </c>
      <c r="V382" t="s">
        <v>74</v>
      </c>
      <c r="W382" t="s">
        <v>74</v>
      </c>
      <c r="X382" t="s">
        <v>74</v>
      </c>
      <c r="Y382" t="s">
        <v>74</v>
      </c>
      <c r="Z382" t="s">
        <v>74</v>
      </c>
      <c r="AA382" t="s">
        <v>2968</v>
      </c>
      <c r="AB382" t="s">
        <v>6993</v>
      </c>
      <c r="AC382" t="s">
        <v>74</v>
      </c>
      <c r="AD382" t="s">
        <v>74</v>
      </c>
      <c r="AE382" t="s">
        <v>74</v>
      </c>
      <c r="AF382" t="s">
        <v>74</v>
      </c>
      <c r="AG382" t="s">
        <v>74</v>
      </c>
      <c r="AH382" t="s">
        <v>74</v>
      </c>
      <c r="AI382" t="s">
        <v>74</v>
      </c>
      <c r="AJ382" t="s">
        <v>74</v>
      </c>
      <c r="AK382" t="s">
        <v>74</v>
      </c>
      <c r="AL382" t="s">
        <v>74</v>
      </c>
      <c r="AM382" t="s">
        <v>74</v>
      </c>
      <c r="AN382" t="s">
        <v>74</v>
      </c>
      <c r="AO382" t="s">
        <v>127</v>
      </c>
      <c r="AP382" t="s">
        <v>128</v>
      </c>
      <c r="AQ382" t="s">
        <v>74</v>
      </c>
      <c r="AR382" t="s">
        <v>74</v>
      </c>
      <c r="AS382" t="s">
        <v>74</v>
      </c>
      <c r="AT382" t="s">
        <v>624</v>
      </c>
      <c r="AU382">
        <v>2018</v>
      </c>
      <c r="AV382">
        <v>816</v>
      </c>
      <c r="AW382">
        <v>1</v>
      </c>
      <c r="AX382" t="s">
        <v>74</v>
      </c>
      <c r="AY382" t="s">
        <v>74</v>
      </c>
      <c r="AZ382" t="s">
        <v>74</v>
      </c>
      <c r="BA382" t="s">
        <v>74</v>
      </c>
      <c r="BB382">
        <v>61</v>
      </c>
      <c r="BC382">
        <v>77</v>
      </c>
      <c r="BD382" t="s">
        <v>74</v>
      </c>
      <c r="BE382" t="s">
        <v>2969</v>
      </c>
      <c r="BF382" t="str">
        <f>HYPERLINK("http://dx.doi.org/10.1007/s10750-017-3272-6","http://dx.doi.org/10.1007/s10750-017-3272-6")</f>
        <v>http://dx.doi.org/10.1007/s10750-017-3272-6</v>
      </c>
      <c r="BG382" t="s">
        <v>74</v>
      </c>
      <c r="BH382" t="s">
        <v>74</v>
      </c>
      <c r="BI382" t="s">
        <v>74</v>
      </c>
      <c r="BJ382" t="s">
        <v>74</v>
      </c>
      <c r="BK382" t="s">
        <v>74</v>
      </c>
      <c r="BL382" t="s">
        <v>74</v>
      </c>
      <c r="BM382" t="s">
        <v>74</v>
      </c>
      <c r="BN382" t="s">
        <v>74</v>
      </c>
      <c r="BO382" t="s">
        <v>74</v>
      </c>
      <c r="BP382" t="s">
        <v>74</v>
      </c>
      <c r="BQ382" t="s">
        <v>74</v>
      </c>
      <c r="BR382" t="s">
        <v>74</v>
      </c>
      <c r="BS382" t="s">
        <v>2970</v>
      </c>
      <c r="BT382" t="str">
        <f>HYPERLINK("https%3A%2F%2Fwww.webofscience.com%2Fwos%2Fwoscc%2Ffull-record%2FWOS:000431398300006","View Full Record in Web of Science")</f>
        <v>View Full Record in Web of Science</v>
      </c>
    </row>
    <row r="383" spans="1:72" x14ac:dyDescent="0.2">
      <c r="A383" t="s">
        <v>72</v>
      </c>
      <c r="B383" t="s">
        <v>2971</v>
      </c>
      <c r="C383" t="s">
        <v>74</v>
      </c>
      <c r="D383" t="s">
        <v>74</v>
      </c>
      <c r="E383" t="s">
        <v>74</v>
      </c>
      <c r="F383" t="s">
        <v>2972</v>
      </c>
      <c r="G383" t="s">
        <v>74</v>
      </c>
      <c r="H383" t="s">
        <v>74</v>
      </c>
      <c r="I383" t="s">
        <v>2973</v>
      </c>
      <c r="J383" t="s">
        <v>1523</v>
      </c>
      <c r="K383" t="s">
        <v>74</v>
      </c>
      <c r="L383" t="s">
        <v>74</v>
      </c>
      <c r="M383" t="s">
        <v>74</v>
      </c>
      <c r="N383" t="s">
        <v>74</v>
      </c>
      <c r="O383" t="s">
        <v>74</v>
      </c>
      <c r="P383" t="s">
        <v>74</v>
      </c>
      <c r="Q383" t="s">
        <v>74</v>
      </c>
      <c r="R383" t="s">
        <v>74</v>
      </c>
      <c r="S383" t="s">
        <v>74</v>
      </c>
      <c r="T383" t="s">
        <v>74</v>
      </c>
      <c r="U383" t="s">
        <v>74</v>
      </c>
      <c r="V383" t="s">
        <v>74</v>
      </c>
      <c r="W383" t="s">
        <v>74</v>
      </c>
      <c r="X383" t="s">
        <v>74</v>
      </c>
      <c r="Y383" t="s">
        <v>74</v>
      </c>
      <c r="Z383" t="s">
        <v>74</v>
      </c>
      <c r="AA383" t="s">
        <v>6994</v>
      </c>
      <c r="AB383" t="s">
        <v>2974</v>
      </c>
      <c r="AC383" t="s">
        <v>74</v>
      </c>
      <c r="AD383" t="s">
        <v>74</v>
      </c>
      <c r="AE383" t="s">
        <v>74</v>
      </c>
      <c r="AF383" t="s">
        <v>74</v>
      </c>
      <c r="AG383" t="s">
        <v>74</v>
      </c>
      <c r="AH383" t="s">
        <v>74</v>
      </c>
      <c r="AI383" t="s">
        <v>74</v>
      </c>
      <c r="AJ383" t="s">
        <v>74</v>
      </c>
      <c r="AK383" t="s">
        <v>74</v>
      </c>
      <c r="AL383" t="s">
        <v>74</v>
      </c>
      <c r="AM383" t="s">
        <v>74</v>
      </c>
      <c r="AN383" t="s">
        <v>74</v>
      </c>
      <c r="AO383" t="s">
        <v>1524</v>
      </c>
      <c r="AP383" t="s">
        <v>1525</v>
      </c>
      <c r="AQ383" t="s">
        <v>74</v>
      </c>
      <c r="AR383" t="s">
        <v>74</v>
      </c>
      <c r="AS383" t="s">
        <v>74</v>
      </c>
      <c r="AT383" t="s">
        <v>569</v>
      </c>
      <c r="AU383">
        <v>2018</v>
      </c>
      <c r="AV383">
        <v>99</v>
      </c>
      <c r="AW383">
        <v>6</v>
      </c>
      <c r="AX383" t="s">
        <v>74</v>
      </c>
      <c r="AY383" t="s">
        <v>74</v>
      </c>
      <c r="AZ383" t="s">
        <v>74</v>
      </c>
      <c r="BA383" t="s">
        <v>74</v>
      </c>
      <c r="BB383">
        <v>1463</v>
      </c>
      <c r="BC383">
        <v>1472</v>
      </c>
      <c r="BD383" t="s">
        <v>74</v>
      </c>
      <c r="BE383" t="s">
        <v>2975</v>
      </c>
      <c r="BF383" t="str">
        <f>HYPERLINK("http://dx.doi.org/10.1002/ecy.2347","http://dx.doi.org/10.1002/ecy.2347")</f>
        <v>http://dx.doi.org/10.1002/ecy.2347</v>
      </c>
      <c r="BG383" t="s">
        <v>74</v>
      </c>
      <c r="BH383" t="s">
        <v>74</v>
      </c>
      <c r="BI383" t="s">
        <v>74</v>
      </c>
      <c r="BJ383" t="s">
        <v>74</v>
      </c>
      <c r="BK383" t="s">
        <v>74</v>
      </c>
      <c r="BL383" t="s">
        <v>74</v>
      </c>
      <c r="BM383" t="s">
        <v>74</v>
      </c>
      <c r="BN383">
        <v>29856494</v>
      </c>
      <c r="BO383" t="s">
        <v>74</v>
      </c>
      <c r="BP383" t="s">
        <v>74</v>
      </c>
      <c r="BQ383" t="s">
        <v>74</v>
      </c>
      <c r="BR383" t="s">
        <v>74</v>
      </c>
      <c r="BS383" t="s">
        <v>2976</v>
      </c>
      <c r="BT383" t="str">
        <f>HYPERLINK("https%3A%2F%2Fwww.webofscience.com%2Fwos%2Fwoscc%2Ffull-record%2FWOS:000434094400021","View Full Record in Web of Science")</f>
        <v>View Full Record in Web of Science</v>
      </c>
    </row>
    <row r="384" spans="1:72" x14ac:dyDescent="0.2">
      <c r="A384" t="s">
        <v>72</v>
      </c>
      <c r="B384" t="s">
        <v>2977</v>
      </c>
      <c r="C384" t="s">
        <v>74</v>
      </c>
      <c r="D384" t="s">
        <v>74</v>
      </c>
      <c r="E384" t="s">
        <v>74</v>
      </c>
      <c r="F384" t="s">
        <v>2978</v>
      </c>
      <c r="G384" t="s">
        <v>74</v>
      </c>
      <c r="H384" t="s">
        <v>74</v>
      </c>
      <c r="I384" t="s">
        <v>2979</v>
      </c>
      <c r="J384" t="s">
        <v>423</v>
      </c>
      <c r="K384" t="s">
        <v>74</v>
      </c>
      <c r="L384" t="s">
        <v>74</v>
      </c>
      <c r="M384" t="s">
        <v>74</v>
      </c>
      <c r="N384" t="s">
        <v>74</v>
      </c>
      <c r="O384" t="s">
        <v>74</v>
      </c>
      <c r="P384" t="s">
        <v>74</v>
      </c>
      <c r="Q384" t="s">
        <v>74</v>
      </c>
      <c r="R384" t="s">
        <v>74</v>
      </c>
      <c r="S384" t="s">
        <v>74</v>
      </c>
      <c r="T384" t="s">
        <v>74</v>
      </c>
      <c r="U384" t="s">
        <v>74</v>
      </c>
      <c r="V384" t="s">
        <v>74</v>
      </c>
      <c r="W384" t="s">
        <v>74</v>
      </c>
      <c r="X384" t="s">
        <v>74</v>
      </c>
      <c r="Y384" t="s">
        <v>74</v>
      </c>
      <c r="Z384" t="s">
        <v>74</v>
      </c>
      <c r="AA384" t="s">
        <v>6995</v>
      </c>
      <c r="AB384" t="s">
        <v>6996</v>
      </c>
      <c r="AC384" t="s">
        <v>74</v>
      </c>
      <c r="AD384" t="s">
        <v>74</v>
      </c>
      <c r="AE384" t="s">
        <v>74</v>
      </c>
      <c r="AF384" t="s">
        <v>74</v>
      </c>
      <c r="AG384" t="s">
        <v>74</v>
      </c>
      <c r="AH384" t="s">
        <v>74</v>
      </c>
      <c r="AI384" t="s">
        <v>74</v>
      </c>
      <c r="AJ384" t="s">
        <v>74</v>
      </c>
      <c r="AK384" t="s">
        <v>74</v>
      </c>
      <c r="AL384" t="s">
        <v>74</v>
      </c>
      <c r="AM384" t="s">
        <v>74</v>
      </c>
      <c r="AN384" t="s">
        <v>74</v>
      </c>
      <c r="AO384" t="s">
        <v>425</v>
      </c>
      <c r="AP384" t="s">
        <v>426</v>
      </c>
      <c r="AQ384" t="s">
        <v>74</v>
      </c>
      <c r="AR384" t="s">
        <v>74</v>
      </c>
      <c r="AS384" t="s">
        <v>74</v>
      </c>
      <c r="AT384" t="s">
        <v>569</v>
      </c>
      <c r="AU384">
        <v>2018</v>
      </c>
      <c r="AV384">
        <v>63</v>
      </c>
      <c r="AW384">
        <v>6</v>
      </c>
      <c r="AX384" t="s">
        <v>74</v>
      </c>
      <c r="AY384" t="s">
        <v>74</v>
      </c>
      <c r="AZ384" t="s">
        <v>74</v>
      </c>
      <c r="BA384" t="s">
        <v>74</v>
      </c>
      <c r="BB384">
        <v>581</v>
      </c>
      <c r="BC384">
        <v>596</v>
      </c>
      <c r="BD384" t="s">
        <v>74</v>
      </c>
      <c r="BE384" t="s">
        <v>2980</v>
      </c>
      <c r="BF384" t="str">
        <f>HYPERLINK("http://dx.doi.org/10.1111/fwb.13095","http://dx.doi.org/10.1111/fwb.13095")</f>
        <v>http://dx.doi.org/10.1111/fwb.13095</v>
      </c>
      <c r="BG384" t="s">
        <v>74</v>
      </c>
      <c r="BH384" t="s">
        <v>74</v>
      </c>
      <c r="BI384" t="s">
        <v>74</v>
      </c>
      <c r="BJ384" t="s">
        <v>74</v>
      </c>
      <c r="BK384" t="s">
        <v>74</v>
      </c>
      <c r="BL384" t="s">
        <v>74</v>
      </c>
      <c r="BM384" t="s">
        <v>74</v>
      </c>
      <c r="BN384" t="s">
        <v>74</v>
      </c>
      <c r="BO384" t="s">
        <v>74</v>
      </c>
      <c r="BP384" t="s">
        <v>74</v>
      </c>
      <c r="BQ384" t="s">
        <v>74</v>
      </c>
      <c r="BR384" t="s">
        <v>74</v>
      </c>
      <c r="BS384" t="s">
        <v>2981</v>
      </c>
      <c r="BT384" t="str">
        <f>HYPERLINK("https%3A%2F%2Fwww.webofscience.com%2Fwos%2Fwoscc%2Ffull-record%2FWOS:000431497700007","View Full Record in Web of Science")</f>
        <v>View Full Record in Web of Science</v>
      </c>
    </row>
    <row r="385" spans="1:72" x14ac:dyDescent="0.2">
      <c r="A385" t="s">
        <v>72</v>
      </c>
      <c r="B385" t="s">
        <v>2982</v>
      </c>
      <c r="C385" t="s">
        <v>74</v>
      </c>
      <c r="D385" t="s">
        <v>74</v>
      </c>
      <c r="E385" t="s">
        <v>74</v>
      </c>
      <c r="F385" t="s">
        <v>2983</v>
      </c>
      <c r="G385" t="s">
        <v>74</v>
      </c>
      <c r="H385" t="s">
        <v>74</v>
      </c>
      <c r="I385" t="s">
        <v>2984</v>
      </c>
      <c r="J385" t="s">
        <v>145</v>
      </c>
      <c r="K385" t="s">
        <v>74</v>
      </c>
      <c r="L385" t="s">
        <v>74</v>
      </c>
      <c r="M385" t="s">
        <v>74</v>
      </c>
      <c r="N385" t="s">
        <v>74</v>
      </c>
      <c r="O385" t="s">
        <v>74</v>
      </c>
      <c r="P385" t="s">
        <v>74</v>
      </c>
      <c r="Q385" t="s">
        <v>74</v>
      </c>
      <c r="R385" t="s">
        <v>74</v>
      </c>
      <c r="S385" t="s">
        <v>74</v>
      </c>
      <c r="T385" t="s">
        <v>74</v>
      </c>
      <c r="U385" t="s">
        <v>74</v>
      </c>
      <c r="V385" t="s">
        <v>74</v>
      </c>
      <c r="W385" t="s">
        <v>74</v>
      </c>
      <c r="X385" t="s">
        <v>74</v>
      </c>
      <c r="Y385" t="s">
        <v>74</v>
      </c>
      <c r="Z385" t="s">
        <v>74</v>
      </c>
      <c r="AA385" t="s">
        <v>6997</v>
      </c>
      <c r="AB385" t="s">
        <v>6998</v>
      </c>
      <c r="AC385" t="s">
        <v>74</v>
      </c>
      <c r="AD385" t="s">
        <v>74</v>
      </c>
      <c r="AE385" t="s">
        <v>74</v>
      </c>
      <c r="AF385" t="s">
        <v>74</v>
      </c>
      <c r="AG385" t="s">
        <v>74</v>
      </c>
      <c r="AH385" t="s">
        <v>74</v>
      </c>
      <c r="AI385" t="s">
        <v>74</v>
      </c>
      <c r="AJ385" t="s">
        <v>74</v>
      </c>
      <c r="AK385" t="s">
        <v>74</v>
      </c>
      <c r="AL385" t="s">
        <v>74</v>
      </c>
      <c r="AM385" t="s">
        <v>74</v>
      </c>
      <c r="AN385" t="s">
        <v>74</v>
      </c>
      <c r="AO385" t="s">
        <v>146</v>
      </c>
      <c r="AP385" t="s">
        <v>147</v>
      </c>
      <c r="AQ385" t="s">
        <v>74</v>
      </c>
      <c r="AR385" t="s">
        <v>74</v>
      </c>
      <c r="AS385" t="s">
        <v>74</v>
      </c>
      <c r="AT385" t="s">
        <v>1389</v>
      </c>
      <c r="AU385">
        <v>2018</v>
      </c>
      <c r="AV385">
        <v>624</v>
      </c>
      <c r="AW385" t="s">
        <v>74</v>
      </c>
      <c r="AX385" t="s">
        <v>74</v>
      </c>
      <c r="AY385" t="s">
        <v>74</v>
      </c>
      <c r="AZ385" t="s">
        <v>74</v>
      </c>
      <c r="BA385" t="s">
        <v>74</v>
      </c>
      <c r="BB385">
        <v>1429</v>
      </c>
      <c r="BC385">
        <v>1442</v>
      </c>
      <c r="BD385" t="s">
        <v>74</v>
      </c>
      <c r="BE385" t="s">
        <v>2985</v>
      </c>
      <c r="BF385" t="str">
        <f>HYPERLINK("http://dx.doi.org/10.1016/j.scitotenv.2017.12.155","http://dx.doi.org/10.1016/j.scitotenv.2017.12.155")</f>
        <v>http://dx.doi.org/10.1016/j.scitotenv.2017.12.155</v>
      </c>
      <c r="BG385" t="s">
        <v>74</v>
      </c>
      <c r="BH385" t="s">
        <v>74</v>
      </c>
      <c r="BI385" t="s">
        <v>74</v>
      </c>
      <c r="BJ385" t="s">
        <v>74</v>
      </c>
      <c r="BK385" t="s">
        <v>74</v>
      </c>
      <c r="BL385" t="s">
        <v>74</v>
      </c>
      <c r="BM385" t="s">
        <v>74</v>
      </c>
      <c r="BN385">
        <v>29929254</v>
      </c>
      <c r="BO385" t="s">
        <v>74</v>
      </c>
      <c r="BP385" t="s">
        <v>74</v>
      </c>
      <c r="BQ385" t="s">
        <v>74</v>
      </c>
      <c r="BR385" t="s">
        <v>74</v>
      </c>
      <c r="BS385" t="s">
        <v>2986</v>
      </c>
      <c r="BT385" t="str">
        <f>HYPERLINK("https%3A%2F%2Fwww.webofscience.com%2Fwos%2Fwoscc%2Ffull-record%2FWOS:000426355900142","View Full Record in Web of Science")</f>
        <v>View Full Record in Web of Science</v>
      </c>
    </row>
    <row r="386" spans="1:72" x14ac:dyDescent="0.2">
      <c r="A386" t="s">
        <v>72</v>
      </c>
      <c r="B386" t="s">
        <v>2987</v>
      </c>
      <c r="C386" t="s">
        <v>74</v>
      </c>
      <c r="D386" t="s">
        <v>74</v>
      </c>
      <c r="E386" t="s">
        <v>74</v>
      </c>
      <c r="F386" t="s">
        <v>2988</v>
      </c>
      <c r="G386" t="s">
        <v>74</v>
      </c>
      <c r="H386" t="s">
        <v>74</v>
      </c>
      <c r="I386" t="s">
        <v>2989</v>
      </c>
      <c r="J386" t="s">
        <v>2990</v>
      </c>
      <c r="K386" t="s">
        <v>74</v>
      </c>
      <c r="L386" t="s">
        <v>74</v>
      </c>
      <c r="M386" t="s">
        <v>74</v>
      </c>
      <c r="N386" t="s">
        <v>74</v>
      </c>
      <c r="O386" t="s">
        <v>74</v>
      </c>
      <c r="P386" t="s">
        <v>74</v>
      </c>
      <c r="Q386" t="s">
        <v>74</v>
      </c>
      <c r="R386" t="s">
        <v>74</v>
      </c>
      <c r="S386" t="s">
        <v>74</v>
      </c>
      <c r="T386" t="s">
        <v>74</v>
      </c>
      <c r="U386" t="s">
        <v>74</v>
      </c>
      <c r="V386" t="s">
        <v>74</v>
      </c>
      <c r="W386" t="s">
        <v>74</v>
      </c>
      <c r="X386" t="s">
        <v>74</v>
      </c>
      <c r="Y386" t="s">
        <v>74</v>
      </c>
      <c r="Z386" t="s">
        <v>74</v>
      </c>
      <c r="AA386" t="s">
        <v>2991</v>
      </c>
      <c r="AB386" t="s">
        <v>2992</v>
      </c>
      <c r="AC386" t="s">
        <v>74</v>
      </c>
      <c r="AD386" t="s">
        <v>74</v>
      </c>
      <c r="AE386" t="s">
        <v>74</v>
      </c>
      <c r="AF386" t="s">
        <v>74</v>
      </c>
      <c r="AG386" t="s">
        <v>74</v>
      </c>
      <c r="AH386" t="s">
        <v>74</v>
      </c>
      <c r="AI386" t="s">
        <v>74</v>
      </c>
      <c r="AJ386" t="s">
        <v>74</v>
      </c>
      <c r="AK386" t="s">
        <v>74</v>
      </c>
      <c r="AL386" t="s">
        <v>74</v>
      </c>
      <c r="AM386" t="s">
        <v>74</v>
      </c>
      <c r="AN386" t="s">
        <v>74</v>
      </c>
      <c r="AO386" t="s">
        <v>2993</v>
      </c>
      <c r="AP386" t="s">
        <v>2994</v>
      </c>
      <c r="AQ386" t="s">
        <v>74</v>
      </c>
      <c r="AR386" t="s">
        <v>74</v>
      </c>
      <c r="AS386" t="s">
        <v>74</v>
      </c>
      <c r="AT386" t="s">
        <v>575</v>
      </c>
      <c r="AU386">
        <v>2018</v>
      </c>
      <c r="AV386">
        <v>21</v>
      </c>
      <c r="AW386">
        <v>5</v>
      </c>
      <c r="AX386" t="s">
        <v>74</v>
      </c>
      <c r="AY386" t="s">
        <v>74</v>
      </c>
      <c r="AZ386" t="s">
        <v>74</v>
      </c>
      <c r="BA386" t="s">
        <v>74</v>
      </c>
      <c r="BB386">
        <v>655</v>
      </c>
      <c r="BC386">
        <v>664</v>
      </c>
      <c r="BD386" t="s">
        <v>74</v>
      </c>
      <c r="BE386" t="s">
        <v>2995</v>
      </c>
      <c r="BF386" t="str">
        <f>HYPERLINK("http://dx.doi.org/10.1111/ele.12932","http://dx.doi.org/10.1111/ele.12932")</f>
        <v>http://dx.doi.org/10.1111/ele.12932</v>
      </c>
      <c r="BG386" t="s">
        <v>74</v>
      </c>
      <c r="BH386" t="s">
        <v>74</v>
      </c>
      <c r="BI386" t="s">
        <v>74</v>
      </c>
      <c r="BJ386" t="s">
        <v>74</v>
      </c>
      <c r="BK386" t="s">
        <v>74</v>
      </c>
      <c r="BL386" t="s">
        <v>74</v>
      </c>
      <c r="BM386" t="s">
        <v>74</v>
      </c>
      <c r="BN386">
        <v>29575658</v>
      </c>
      <c r="BO386" t="s">
        <v>74</v>
      </c>
      <c r="BP386" t="s">
        <v>74</v>
      </c>
      <c r="BQ386" t="s">
        <v>74</v>
      </c>
      <c r="BR386" t="s">
        <v>74</v>
      </c>
      <c r="BS386" t="s">
        <v>2996</v>
      </c>
      <c r="BT386" t="str">
        <f>HYPERLINK("https%3A%2F%2Fwww.webofscience.com%2Fwos%2Fwoscc%2Ffull-record%2FWOS:000430120400006","View Full Record in Web of Science")</f>
        <v>View Full Record in Web of Science</v>
      </c>
    </row>
    <row r="387" spans="1:72" x14ac:dyDescent="0.2">
      <c r="A387" t="s">
        <v>72</v>
      </c>
      <c r="B387" t="s">
        <v>2997</v>
      </c>
      <c r="C387" t="s">
        <v>74</v>
      </c>
      <c r="D387" t="s">
        <v>74</v>
      </c>
      <c r="E387" t="s">
        <v>74</v>
      </c>
      <c r="F387" t="s">
        <v>2998</v>
      </c>
      <c r="G387" t="s">
        <v>74</v>
      </c>
      <c r="H387" t="s">
        <v>74</v>
      </c>
      <c r="I387" t="s">
        <v>2999</v>
      </c>
      <c r="J387" t="s">
        <v>227</v>
      </c>
      <c r="K387" t="s">
        <v>74</v>
      </c>
      <c r="L387" t="s">
        <v>74</v>
      </c>
      <c r="M387" t="s">
        <v>74</v>
      </c>
      <c r="N387" t="s">
        <v>74</v>
      </c>
      <c r="O387" t="s">
        <v>74</v>
      </c>
      <c r="P387" t="s">
        <v>74</v>
      </c>
      <c r="Q387" t="s">
        <v>74</v>
      </c>
      <c r="R387" t="s">
        <v>74</v>
      </c>
      <c r="S387" t="s">
        <v>74</v>
      </c>
      <c r="T387" t="s">
        <v>74</v>
      </c>
      <c r="U387" t="s">
        <v>74</v>
      </c>
      <c r="V387" t="s">
        <v>74</v>
      </c>
      <c r="W387" t="s">
        <v>74</v>
      </c>
      <c r="X387" t="s">
        <v>74</v>
      </c>
      <c r="Y387" t="s">
        <v>74</v>
      </c>
      <c r="Z387" t="s">
        <v>74</v>
      </c>
      <c r="AA387" t="s">
        <v>74</v>
      </c>
      <c r="AB387" t="s">
        <v>74</v>
      </c>
      <c r="AC387" t="s">
        <v>74</v>
      </c>
      <c r="AD387" t="s">
        <v>74</v>
      </c>
      <c r="AE387" t="s">
        <v>74</v>
      </c>
      <c r="AF387" t="s">
        <v>74</v>
      </c>
      <c r="AG387" t="s">
        <v>74</v>
      </c>
      <c r="AH387" t="s">
        <v>74</v>
      </c>
      <c r="AI387" t="s">
        <v>74</v>
      </c>
      <c r="AJ387" t="s">
        <v>74</v>
      </c>
      <c r="AK387" t="s">
        <v>74</v>
      </c>
      <c r="AL387" t="s">
        <v>74</v>
      </c>
      <c r="AM387" t="s">
        <v>74</v>
      </c>
      <c r="AN387" t="s">
        <v>74</v>
      </c>
      <c r="AO387" t="s">
        <v>230</v>
      </c>
      <c r="AP387" t="s">
        <v>231</v>
      </c>
      <c r="AQ387" t="s">
        <v>74</v>
      </c>
      <c r="AR387" t="s">
        <v>74</v>
      </c>
      <c r="AS387" t="s">
        <v>74</v>
      </c>
      <c r="AT387" t="s">
        <v>575</v>
      </c>
      <c r="AU387">
        <v>2018</v>
      </c>
      <c r="AV387">
        <v>63</v>
      </c>
      <c r="AW387">
        <v>3</v>
      </c>
      <c r="AX387" t="s">
        <v>74</v>
      </c>
      <c r="AY387" t="s">
        <v>74</v>
      </c>
      <c r="AZ387" t="s">
        <v>74</v>
      </c>
      <c r="BA387" t="s">
        <v>74</v>
      </c>
      <c r="BB387">
        <v>1181</v>
      </c>
      <c r="BC387">
        <v>1190</v>
      </c>
      <c r="BD387" t="s">
        <v>74</v>
      </c>
      <c r="BE387" t="s">
        <v>3000</v>
      </c>
      <c r="BF387" t="str">
        <f>HYPERLINK("http://dx.doi.org/10.1002/lno.10763","http://dx.doi.org/10.1002/lno.10763")</f>
        <v>http://dx.doi.org/10.1002/lno.10763</v>
      </c>
      <c r="BG387" t="s">
        <v>74</v>
      </c>
      <c r="BH387" t="s">
        <v>74</v>
      </c>
      <c r="BI387" t="s">
        <v>74</v>
      </c>
      <c r="BJ387" t="s">
        <v>74</v>
      </c>
      <c r="BK387" t="s">
        <v>74</v>
      </c>
      <c r="BL387" t="s">
        <v>74</v>
      </c>
      <c r="BM387" t="s">
        <v>74</v>
      </c>
      <c r="BN387" t="s">
        <v>74</v>
      </c>
      <c r="BO387" t="s">
        <v>74</v>
      </c>
      <c r="BP387" t="s">
        <v>74</v>
      </c>
      <c r="BQ387" t="s">
        <v>74</v>
      </c>
      <c r="BR387" t="s">
        <v>74</v>
      </c>
      <c r="BS387" t="s">
        <v>3001</v>
      </c>
      <c r="BT387" t="str">
        <f>HYPERLINK("https%3A%2F%2Fwww.webofscience.com%2Fwos%2Fwoscc%2Ffull-record%2FWOS:000432019600010","View Full Record in Web of Science")</f>
        <v>View Full Record in Web of Science</v>
      </c>
    </row>
    <row r="388" spans="1:72" x14ac:dyDescent="0.2">
      <c r="A388" t="s">
        <v>72</v>
      </c>
      <c r="B388" t="s">
        <v>3002</v>
      </c>
      <c r="C388" t="s">
        <v>74</v>
      </c>
      <c r="D388" t="s">
        <v>74</v>
      </c>
      <c r="E388" t="s">
        <v>74</v>
      </c>
      <c r="F388" t="s">
        <v>3003</v>
      </c>
      <c r="G388" t="s">
        <v>74</v>
      </c>
      <c r="H388" t="s">
        <v>74</v>
      </c>
      <c r="I388" t="s">
        <v>3004</v>
      </c>
      <c r="J388" t="s">
        <v>3005</v>
      </c>
      <c r="K388" t="s">
        <v>74</v>
      </c>
      <c r="L388" t="s">
        <v>74</v>
      </c>
      <c r="M388" t="s">
        <v>74</v>
      </c>
      <c r="N388" t="s">
        <v>74</v>
      </c>
      <c r="O388" t="s">
        <v>74</v>
      </c>
      <c r="P388" t="s">
        <v>74</v>
      </c>
      <c r="Q388" t="s">
        <v>74</v>
      </c>
      <c r="R388" t="s">
        <v>74</v>
      </c>
      <c r="S388" t="s">
        <v>74</v>
      </c>
      <c r="T388" t="s">
        <v>74</v>
      </c>
      <c r="U388" t="s">
        <v>74</v>
      </c>
      <c r="V388" t="s">
        <v>74</v>
      </c>
      <c r="W388" t="s">
        <v>74</v>
      </c>
      <c r="X388" t="s">
        <v>74</v>
      </c>
      <c r="Y388" t="s">
        <v>74</v>
      </c>
      <c r="Z388" t="s">
        <v>74</v>
      </c>
      <c r="AA388" t="s">
        <v>74</v>
      </c>
      <c r="AB388" t="s">
        <v>3006</v>
      </c>
      <c r="AC388" t="s">
        <v>74</v>
      </c>
      <c r="AD388" t="s">
        <v>74</v>
      </c>
      <c r="AE388" t="s">
        <v>74</v>
      </c>
      <c r="AF388" t="s">
        <v>74</v>
      </c>
      <c r="AG388" t="s">
        <v>74</v>
      </c>
      <c r="AH388" t="s">
        <v>74</v>
      </c>
      <c r="AI388" t="s">
        <v>74</v>
      </c>
      <c r="AJ388" t="s">
        <v>74</v>
      </c>
      <c r="AK388" t="s">
        <v>74</v>
      </c>
      <c r="AL388" t="s">
        <v>74</v>
      </c>
      <c r="AM388" t="s">
        <v>74</v>
      </c>
      <c r="AN388" t="s">
        <v>74</v>
      </c>
      <c r="AO388" t="s">
        <v>3007</v>
      </c>
      <c r="AP388" t="s">
        <v>3008</v>
      </c>
      <c r="AQ388" t="s">
        <v>74</v>
      </c>
      <c r="AR388" t="s">
        <v>74</v>
      </c>
      <c r="AS388" t="s">
        <v>74</v>
      </c>
      <c r="AT388" t="s">
        <v>575</v>
      </c>
      <c r="AU388">
        <v>2018</v>
      </c>
      <c r="AV388">
        <v>14</v>
      </c>
      <c r="AW388">
        <v>5</v>
      </c>
      <c r="AX388" t="s">
        <v>74</v>
      </c>
      <c r="AY388" t="s">
        <v>74</v>
      </c>
      <c r="AZ388" t="s">
        <v>74</v>
      </c>
      <c r="BA388" t="s">
        <v>74</v>
      </c>
      <c r="BB388" t="s">
        <v>74</v>
      </c>
      <c r="BC388" t="s">
        <v>74</v>
      </c>
      <c r="BD388">
        <v>20170790</v>
      </c>
      <c r="BE388" t="s">
        <v>3009</v>
      </c>
      <c r="BF388" t="str">
        <f>HYPERLINK("http://dx.doi.org/10.1098/rsbl.2017.0790","http://dx.doi.org/10.1098/rsbl.2017.0790")</f>
        <v>http://dx.doi.org/10.1098/rsbl.2017.0790</v>
      </c>
      <c r="BG388" t="s">
        <v>74</v>
      </c>
      <c r="BH388" t="s">
        <v>74</v>
      </c>
      <c r="BI388" t="s">
        <v>74</v>
      </c>
      <c r="BJ388" t="s">
        <v>74</v>
      </c>
      <c r="BK388" t="s">
        <v>74</v>
      </c>
      <c r="BL388" t="s">
        <v>74</v>
      </c>
      <c r="BM388" t="s">
        <v>74</v>
      </c>
      <c r="BN388">
        <v>29743263</v>
      </c>
      <c r="BO388" t="s">
        <v>74</v>
      </c>
      <c r="BP388" t="s">
        <v>74</v>
      </c>
      <c r="BQ388" t="s">
        <v>74</v>
      </c>
      <c r="BR388" t="s">
        <v>74</v>
      </c>
      <c r="BS388" t="s">
        <v>3010</v>
      </c>
      <c r="BT388" t="str">
        <f>HYPERLINK("https%3A%2F%2Fwww.webofscience.com%2Fwos%2Fwoscc%2Ffull-record%2FWOS:000433530000003","View Full Record in Web of Science")</f>
        <v>View Full Record in Web of Science</v>
      </c>
    </row>
    <row r="389" spans="1:72" x14ac:dyDescent="0.2">
      <c r="A389" t="s">
        <v>72</v>
      </c>
      <c r="B389" t="s">
        <v>3011</v>
      </c>
      <c r="C389" t="s">
        <v>74</v>
      </c>
      <c r="D389" t="s">
        <v>74</v>
      </c>
      <c r="E389" t="s">
        <v>74</v>
      </c>
      <c r="F389" t="s">
        <v>3012</v>
      </c>
      <c r="G389" t="s">
        <v>74</v>
      </c>
      <c r="H389" t="s">
        <v>74</v>
      </c>
      <c r="I389" t="s">
        <v>3013</v>
      </c>
      <c r="J389" t="s">
        <v>3014</v>
      </c>
      <c r="K389" t="s">
        <v>74</v>
      </c>
      <c r="L389" t="s">
        <v>74</v>
      </c>
      <c r="M389" t="s">
        <v>74</v>
      </c>
      <c r="N389" t="s">
        <v>74</v>
      </c>
      <c r="O389" t="s">
        <v>74</v>
      </c>
      <c r="P389" t="s">
        <v>74</v>
      </c>
      <c r="Q389" t="s">
        <v>74</v>
      </c>
      <c r="R389" t="s">
        <v>74</v>
      </c>
      <c r="S389" t="s">
        <v>74</v>
      </c>
      <c r="T389" t="s">
        <v>74</v>
      </c>
      <c r="U389" t="s">
        <v>74</v>
      </c>
      <c r="V389" t="s">
        <v>74</v>
      </c>
      <c r="W389" t="s">
        <v>74</v>
      </c>
      <c r="X389" t="s">
        <v>74</v>
      </c>
      <c r="Y389" t="s">
        <v>74</v>
      </c>
      <c r="Z389" t="s">
        <v>74</v>
      </c>
      <c r="AA389" t="s">
        <v>6999</v>
      </c>
      <c r="AB389" t="s">
        <v>7000</v>
      </c>
      <c r="AC389" t="s">
        <v>74</v>
      </c>
      <c r="AD389" t="s">
        <v>74</v>
      </c>
      <c r="AE389" t="s">
        <v>74</v>
      </c>
      <c r="AF389" t="s">
        <v>74</v>
      </c>
      <c r="AG389" t="s">
        <v>74</v>
      </c>
      <c r="AH389" t="s">
        <v>74</v>
      </c>
      <c r="AI389" t="s">
        <v>74</v>
      </c>
      <c r="AJ389" t="s">
        <v>74</v>
      </c>
      <c r="AK389" t="s">
        <v>74</v>
      </c>
      <c r="AL389" t="s">
        <v>74</v>
      </c>
      <c r="AM389" t="s">
        <v>74</v>
      </c>
      <c r="AN389" t="s">
        <v>74</v>
      </c>
      <c r="AO389" t="s">
        <v>3015</v>
      </c>
      <c r="AP389" t="s">
        <v>3016</v>
      </c>
      <c r="AQ389" t="s">
        <v>74</v>
      </c>
      <c r="AR389" t="s">
        <v>74</v>
      </c>
      <c r="AS389" t="s">
        <v>74</v>
      </c>
      <c r="AT389" t="s">
        <v>3017</v>
      </c>
      <c r="AU389">
        <v>2018</v>
      </c>
      <c r="AV389">
        <v>15</v>
      </c>
      <c r="AW389">
        <v>8</v>
      </c>
      <c r="AX389" t="s">
        <v>74</v>
      </c>
      <c r="AY389" t="s">
        <v>74</v>
      </c>
      <c r="AZ389" t="s">
        <v>74</v>
      </c>
      <c r="BA389" t="s">
        <v>74</v>
      </c>
      <c r="BB389">
        <v>2551</v>
      </c>
      <c r="BC389">
        <v>2563</v>
      </c>
      <c r="BD389" t="s">
        <v>74</v>
      </c>
      <c r="BE389" t="s">
        <v>3018</v>
      </c>
      <c r="BF389" t="str">
        <f>HYPERLINK("http://dx.doi.org/10.5194/bg-15-2551-2018","http://dx.doi.org/10.5194/bg-15-2551-2018")</f>
        <v>http://dx.doi.org/10.5194/bg-15-2551-2018</v>
      </c>
      <c r="BG389" t="s">
        <v>74</v>
      </c>
      <c r="BH389" t="s">
        <v>74</v>
      </c>
      <c r="BI389" t="s">
        <v>74</v>
      </c>
      <c r="BJ389" t="s">
        <v>74</v>
      </c>
      <c r="BK389" t="s">
        <v>74</v>
      </c>
      <c r="BL389" t="s">
        <v>74</v>
      </c>
      <c r="BM389" t="s">
        <v>74</v>
      </c>
      <c r="BN389" t="s">
        <v>74</v>
      </c>
      <c r="BO389" t="s">
        <v>74</v>
      </c>
      <c r="BP389" t="s">
        <v>74</v>
      </c>
      <c r="BQ389" t="s">
        <v>74</v>
      </c>
      <c r="BR389" t="s">
        <v>74</v>
      </c>
      <c r="BS389" t="s">
        <v>3019</v>
      </c>
      <c r="BT389" t="str">
        <f>HYPERLINK("https%3A%2F%2Fwww.webofscience.com%2Fwos%2Fwoscc%2Ffull-record%2FWOS:000431149300002","View Full Record in Web of Science")</f>
        <v>View Full Record in Web of Science</v>
      </c>
    </row>
    <row r="390" spans="1:72" x14ac:dyDescent="0.2">
      <c r="A390" t="s">
        <v>72</v>
      </c>
      <c r="B390" t="s">
        <v>3020</v>
      </c>
      <c r="C390" t="s">
        <v>74</v>
      </c>
      <c r="D390" t="s">
        <v>74</v>
      </c>
      <c r="E390" t="s">
        <v>74</v>
      </c>
      <c r="F390" t="s">
        <v>3021</v>
      </c>
      <c r="G390" t="s">
        <v>74</v>
      </c>
      <c r="H390" t="s">
        <v>74</v>
      </c>
      <c r="I390" t="s">
        <v>3022</v>
      </c>
      <c r="J390" t="s">
        <v>958</v>
      </c>
      <c r="K390" t="s">
        <v>74</v>
      </c>
      <c r="L390" t="s">
        <v>74</v>
      </c>
      <c r="M390" t="s">
        <v>74</v>
      </c>
      <c r="N390" t="s">
        <v>74</v>
      </c>
      <c r="O390" t="s">
        <v>74</v>
      </c>
      <c r="P390" t="s">
        <v>74</v>
      </c>
      <c r="Q390" t="s">
        <v>74</v>
      </c>
      <c r="R390" t="s">
        <v>74</v>
      </c>
      <c r="S390" t="s">
        <v>74</v>
      </c>
      <c r="T390" t="s">
        <v>74</v>
      </c>
      <c r="U390" t="s">
        <v>74</v>
      </c>
      <c r="V390" t="s">
        <v>74</v>
      </c>
      <c r="W390" t="s">
        <v>74</v>
      </c>
      <c r="X390" t="s">
        <v>74</v>
      </c>
      <c r="Y390" t="s">
        <v>74</v>
      </c>
      <c r="Z390" t="s">
        <v>74</v>
      </c>
      <c r="AA390" t="s">
        <v>74</v>
      </c>
      <c r="AB390" t="s">
        <v>3023</v>
      </c>
      <c r="AC390" t="s">
        <v>74</v>
      </c>
      <c r="AD390" t="s">
        <v>74</v>
      </c>
      <c r="AE390" t="s">
        <v>74</v>
      </c>
      <c r="AF390" t="s">
        <v>74</v>
      </c>
      <c r="AG390" t="s">
        <v>74</v>
      </c>
      <c r="AH390" t="s">
        <v>74</v>
      </c>
      <c r="AI390" t="s">
        <v>74</v>
      </c>
      <c r="AJ390" t="s">
        <v>74</v>
      </c>
      <c r="AK390" t="s">
        <v>74</v>
      </c>
      <c r="AL390" t="s">
        <v>74</v>
      </c>
      <c r="AM390" t="s">
        <v>74</v>
      </c>
      <c r="AN390" t="s">
        <v>74</v>
      </c>
      <c r="AO390" t="s">
        <v>959</v>
      </c>
      <c r="AP390" t="s">
        <v>74</v>
      </c>
      <c r="AQ390" t="s">
        <v>74</v>
      </c>
      <c r="AR390" t="s">
        <v>74</v>
      </c>
      <c r="AS390" t="s">
        <v>74</v>
      </c>
      <c r="AT390" t="s">
        <v>3024</v>
      </c>
      <c r="AU390">
        <v>2018</v>
      </c>
      <c r="AV390">
        <v>6</v>
      </c>
      <c r="AW390" t="s">
        <v>74</v>
      </c>
      <c r="AX390" t="s">
        <v>74</v>
      </c>
      <c r="AY390" t="s">
        <v>74</v>
      </c>
      <c r="AZ390" t="s">
        <v>74</v>
      </c>
      <c r="BA390" t="s">
        <v>74</v>
      </c>
      <c r="BB390" t="s">
        <v>74</v>
      </c>
      <c r="BC390" t="s">
        <v>74</v>
      </c>
      <c r="BD390" t="s">
        <v>3025</v>
      </c>
      <c r="BE390" t="s">
        <v>3026</v>
      </c>
      <c r="BF390" t="str">
        <f>HYPERLINK("http://dx.doi.org/10.7717/peerj.4601","http://dx.doi.org/10.7717/peerj.4601")</f>
        <v>http://dx.doi.org/10.7717/peerj.4601</v>
      </c>
      <c r="BG390" t="s">
        <v>74</v>
      </c>
      <c r="BH390" t="s">
        <v>74</v>
      </c>
      <c r="BI390" t="s">
        <v>74</v>
      </c>
      <c r="BJ390" t="s">
        <v>74</v>
      </c>
      <c r="BK390" t="s">
        <v>74</v>
      </c>
      <c r="BL390" t="s">
        <v>74</v>
      </c>
      <c r="BM390" t="s">
        <v>74</v>
      </c>
      <c r="BN390">
        <v>29686944</v>
      </c>
      <c r="BO390" t="s">
        <v>74</v>
      </c>
      <c r="BP390" t="s">
        <v>74</v>
      </c>
      <c r="BQ390" t="s">
        <v>74</v>
      </c>
      <c r="BR390" t="s">
        <v>74</v>
      </c>
      <c r="BS390" t="s">
        <v>3027</v>
      </c>
      <c r="BT390" t="str">
        <f>HYPERLINK("https%3A%2F%2Fwww.webofscience.com%2Fwos%2Fwoscc%2Ffull-record%2FWOS:000430409900003","View Full Record in Web of Science")</f>
        <v>View Full Record in Web of Science</v>
      </c>
    </row>
    <row r="391" spans="1:72" x14ac:dyDescent="0.2">
      <c r="A391" t="s">
        <v>72</v>
      </c>
      <c r="B391" t="s">
        <v>3028</v>
      </c>
      <c r="C391" t="s">
        <v>74</v>
      </c>
      <c r="D391" t="s">
        <v>74</v>
      </c>
      <c r="E391" t="s">
        <v>74</v>
      </c>
      <c r="F391" t="s">
        <v>3029</v>
      </c>
      <c r="G391" t="s">
        <v>74</v>
      </c>
      <c r="H391" t="s">
        <v>74</v>
      </c>
      <c r="I391" t="s">
        <v>3030</v>
      </c>
      <c r="J391" t="s">
        <v>1299</v>
      </c>
      <c r="K391" t="s">
        <v>74</v>
      </c>
      <c r="L391" t="s">
        <v>74</v>
      </c>
      <c r="M391" t="s">
        <v>74</v>
      </c>
      <c r="N391" t="s">
        <v>74</v>
      </c>
      <c r="O391" t="s">
        <v>74</v>
      </c>
      <c r="P391" t="s">
        <v>74</v>
      </c>
      <c r="Q391" t="s">
        <v>74</v>
      </c>
      <c r="R391" t="s">
        <v>74</v>
      </c>
      <c r="S391" t="s">
        <v>74</v>
      </c>
      <c r="T391" t="s">
        <v>74</v>
      </c>
      <c r="U391" t="s">
        <v>74</v>
      </c>
      <c r="V391" t="s">
        <v>74</v>
      </c>
      <c r="W391" t="s">
        <v>74</v>
      </c>
      <c r="X391" t="s">
        <v>74</v>
      </c>
      <c r="Y391" t="s">
        <v>74</v>
      </c>
      <c r="Z391" t="s">
        <v>74</v>
      </c>
      <c r="AA391" t="s">
        <v>7001</v>
      </c>
      <c r="AB391" t="s">
        <v>3031</v>
      </c>
      <c r="AC391" t="s">
        <v>74</v>
      </c>
      <c r="AD391" t="s">
        <v>74</v>
      </c>
      <c r="AE391" t="s">
        <v>74</v>
      </c>
      <c r="AF391" t="s">
        <v>74</v>
      </c>
      <c r="AG391" t="s">
        <v>74</v>
      </c>
      <c r="AH391" t="s">
        <v>74</v>
      </c>
      <c r="AI391" t="s">
        <v>74</v>
      </c>
      <c r="AJ391" t="s">
        <v>74</v>
      </c>
      <c r="AK391" t="s">
        <v>74</v>
      </c>
      <c r="AL391" t="s">
        <v>74</v>
      </c>
      <c r="AM391" t="s">
        <v>74</v>
      </c>
      <c r="AN391" t="s">
        <v>74</v>
      </c>
      <c r="AO391" t="s">
        <v>1302</v>
      </c>
      <c r="AP391" t="s">
        <v>1303</v>
      </c>
      <c r="AQ391" t="s">
        <v>74</v>
      </c>
      <c r="AR391" t="s">
        <v>74</v>
      </c>
      <c r="AS391" t="s">
        <v>74</v>
      </c>
      <c r="AT391" t="s">
        <v>203</v>
      </c>
      <c r="AU391">
        <v>2018</v>
      </c>
      <c r="AV391">
        <v>186</v>
      </c>
      <c r="AW391">
        <v>4</v>
      </c>
      <c r="AX391" t="s">
        <v>74</v>
      </c>
      <c r="AY391" t="s">
        <v>74</v>
      </c>
      <c r="AZ391" t="s">
        <v>74</v>
      </c>
      <c r="BA391" t="s">
        <v>74</v>
      </c>
      <c r="BB391">
        <v>1017</v>
      </c>
      <c r="BC391">
        <v>1030</v>
      </c>
      <c r="BD391" t="s">
        <v>74</v>
      </c>
      <c r="BE391" t="s">
        <v>3032</v>
      </c>
      <c r="BF391" t="str">
        <f>HYPERLINK("http://dx.doi.org/10.1007/s00442-018-4074-x","http://dx.doi.org/10.1007/s00442-018-4074-x")</f>
        <v>http://dx.doi.org/10.1007/s00442-018-4074-x</v>
      </c>
      <c r="BG391" t="s">
        <v>74</v>
      </c>
      <c r="BH391" t="s">
        <v>74</v>
      </c>
      <c r="BI391" t="s">
        <v>74</v>
      </c>
      <c r="BJ391" t="s">
        <v>74</v>
      </c>
      <c r="BK391" t="s">
        <v>74</v>
      </c>
      <c r="BL391" t="s">
        <v>74</v>
      </c>
      <c r="BM391" t="s">
        <v>74</v>
      </c>
      <c r="BN391">
        <v>29368058</v>
      </c>
      <c r="BO391" t="s">
        <v>74</v>
      </c>
      <c r="BP391" t="s">
        <v>74</v>
      </c>
      <c r="BQ391" t="s">
        <v>74</v>
      </c>
      <c r="BR391" t="s">
        <v>74</v>
      </c>
      <c r="BS391" t="s">
        <v>3033</v>
      </c>
      <c r="BT391" t="str">
        <f>HYPERLINK("https%3A%2F%2Fwww.webofscience.com%2Fwos%2Fwoscc%2Ffull-record%2FWOS:000427875700012","View Full Record in Web of Science")</f>
        <v>View Full Record in Web of Science</v>
      </c>
    </row>
    <row r="392" spans="1:72" x14ac:dyDescent="0.2">
      <c r="A392" t="s">
        <v>72</v>
      </c>
      <c r="B392" t="s">
        <v>3034</v>
      </c>
      <c r="C392" t="s">
        <v>74</v>
      </c>
      <c r="D392" t="s">
        <v>74</v>
      </c>
      <c r="E392" t="s">
        <v>74</v>
      </c>
      <c r="F392" t="s">
        <v>3035</v>
      </c>
      <c r="G392" t="s">
        <v>74</v>
      </c>
      <c r="H392" t="s">
        <v>74</v>
      </c>
      <c r="I392" t="s">
        <v>3036</v>
      </c>
      <c r="J392" t="s">
        <v>656</v>
      </c>
      <c r="K392" t="s">
        <v>74</v>
      </c>
      <c r="L392" t="s">
        <v>74</v>
      </c>
      <c r="M392" t="s">
        <v>74</v>
      </c>
      <c r="N392" t="s">
        <v>74</v>
      </c>
      <c r="O392" t="s">
        <v>74</v>
      </c>
      <c r="P392" t="s">
        <v>74</v>
      </c>
      <c r="Q392" t="s">
        <v>74</v>
      </c>
      <c r="R392" t="s">
        <v>74</v>
      </c>
      <c r="S392" t="s">
        <v>74</v>
      </c>
      <c r="T392" t="s">
        <v>74</v>
      </c>
      <c r="U392" t="s">
        <v>74</v>
      </c>
      <c r="V392" t="s">
        <v>74</v>
      </c>
      <c r="W392" t="s">
        <v>74</v>
      </c>
      <c r="X392" t="s">
        <v>74</v>
      </c>
      <c r="Y392" t="s">
        <v>74</v>
      </c>
      <c r="Z392" t="s">
        <v>74</v>
      </c>
      <c r="AA392" t="s">
        <v>7002</v>
      </c>
      <c r="AB392" t="s">
        <v>3037</v>
      </c>
      <c r="AC392" t="s">
        <v>74</v>
      </c>
      <c r="AD392" t="s">
        <v>74</v>
      </c>
      <c r="AE392" t="s">
        <v>74</v>
      </c>
      <c r="AF392" t="s">
        <v>74</v>
      </c>
      <c r="AG392" t="s">
        <v>74</v>
      </c>
      <c r="AH392" t="s">
        <v>74</v>
      </c>
      <c r="AI392" t="s">
        <v>74</v>
      </c>
      <c r="AJ392" t="s">
        <v>74</v>
      </c>
      <c r="AK392" t="s">
        <v>74</v>
      </c>
      <c r="AL392" t="s">
        <v>74</v>
      </c>
      <c r="AM392" t="s">
        <v>74</v>
      </c>
      <c r="AN392" t="s">
        <v>74</v>
      </c>
      <c r="AO392" t="s">
        <v>658</v>
      </c>
      <c r="AP392" t="s">
        <v>659</v>
      </c>
      <c r="AQ392" t="s">
        <v>74</v>
      </c>
      <c r="AR392" t="s">
        <v>74</v>
      </c>
      <c r="AS392" t="s">
        <v>74</v>
      </c>
      <c r="AT392" t="s">
        <v>203</v>
      </c>
      <c r="AU392">
        <v>2018</v>
      </c>
      <c r="AV392">
        <v>163</v>
      </c>
      <c r="AW392" t="s">
        <v>74</v>
      </c>
      <c r="AX392" t="s">
        <v>74</v>
      </c>
      <c r="AY392" t="s">
        <v>74</v>
      </c>
      <c r="AZ392" t="s">
        <v>632</v>
      </c>
      <c r="BA392" t="s">
        <v>74</v>
      </c>
      <c r="BB392">
        <v>260</v>
      </c>
      <c r="BC392">
        <v>270</v>
      </c>
      <c r="BD392" t="s">
        <v>74</v>
      </c>
      <c r="BE392" t="s">
        <v>3038</v>
      </c>
      <c r="BF392" t="str">
        <f>HYPERLINK("http://dx.doi.org/10.1016/j.pocean.2017.10.012","http://dx.doi.org/10.1016/j.pocean.2017.10.012")</f>
        <v>http://dx.doi.org/10.1016/j.pocean.2017.10.012</v>
      </c>
      <c r="BG392" t="s">
        <v>74</v>
      </c>
      <c r="BH392" t="s">
        <v>74</v>
      </c>
      <c r="BI392" t="s">
        <v>74</v>
      </c>
      <c r="BJ392" t="s">
        <v>74</v>
      </c>
      <c r="BK392" t="s">
        <v>74</v>
      </c>
      <c r="BL392" t="s">
        <v>74</v>
      </c>
      <c r="BM392" t="s">
        <v>74</v>
      </c>
      <c r="BN392" t="s">
        <v>74</v>
      </c>
      <c r="BO392" t="s">
        <v>74</v>
      </c>
      <c r="BP392" t="s">
        <v>74</v>
      </c>
      <c r="BQ392" t="s">
        <v>74</v>
      </c>
      <c r="BR392" t="s">
        <v>74</v>
      </c>
      <c r="BS392" t="s">
        <v>3039</v>
      </c>
      <c r="BT392" t="str">
        <f>HYPERLINK("https%3A%2F%2Fwww.webofscience.com%2Fwos%2Fwoscc%2Ffull-record%2FWOS:000434004400022","View Full Record in Web of Science")</f>
        <v>View Full Record in Web of Science</v>
      </c>
    </row>
    <row r="393" spans="1:72" x14ac:dyDescent="0.2">
      <c r="A393" t="s">
        <v>72</v>
      </c>
      <c r="B393" t="s">
        <v>3040</v>
      </c>
      <c r="C393" t="s">
        <v>74</v>
      </c>
      <c r="D393" t="s">
        <v>74</v>
      </c>
      <c r="E393" t="s">
        <v>74</v>
      </c>
      <c r="F393" t="s">
        <v>3041</v>
      </c>
      <c r="G393" t="s">
        <v>74</v>
      </c>
      <c r="H393" t="s">
        <v>74</v>
      </c>
      <c r="I393" t="s">
        <v>3042</v>
      </c>
      <c r="J393" t="s">
        <v>180</v>
      </c>
      <c r="K393" t="s">
        <v>74</v>
      </c>
      <c r="L393" t="s">
        <v>74</v>
      </c>
      <c r="M393" t="s">
        <v>74</v>
      </c>
      <c r="N393" t="s">
        <v>74</v>
      </c>
      <c r="O393" t="s">
        <v>74</v>
      </c>
      <c r="P393" t="s">
        <v>74</v>
      </c>
      <c r="Q393" t="s">
        <v>74</v>
      </c>
      <c r="R393" t="s">
        <v>74</v>
      </c>
      <c r="S393" t="s">
        <v>74</v>
      </c>
      <c r="T393" t="s">
        <v>74</v>
      </c>
      <c r="U393" t="s">
        <v>74</v>
      </c>
      <c r="V393" t="s">
        <v>74</v>
      </c>
      <c r="W393" t="s">
        <v>74</v>
      </c>
      <c r="X393" t="s">
        <v>74</v>
      </c>
      <c r="Y393" t="s">
        <v>74</v>
      </c>
      <c r="Z393" t="s">
        <v>74</v>
      </c>
      <c r="AA393" t="s">
        <v>3043</v>
      </c>
      <c r="AB393" t="s">
        <v>3044</v>
      </c>
      <c r="AC393" t="s">
        <v>74</v>
      </c>
      <c r="AD393" t="s">
        <v>74</v>
      </c>
      <c r="AE393" t="s">
        <v>74</v>
      </c>
      <c r="AF393" t="s">
        <v>74</v>
      </c>
      <c r="AG393" t="s">
        <v>74</v>
      </c>
      <c r="AH393" t="s">
        <v>74</v>
      </c>
      <c r="AI393" t="s">
        <v>74</v>
      </c>
      <c r="AJ393" t="s">
        <v>74</v>
      </c>
      <c r="AK393" t="s">
        <v>74</v>
      </c>
      <c r="AL393" t="s">
        <v>74</v>
      </c>
      <c r="AM393" t="s">
        <v>74</v>
      </c>
      <c r="AN393" t="s">
        <v>74</v>
      </c>
      <c r="AO393" t="s">
        <v>182</v>
      </c>
      <c r="AP393" t="s">
        <v>183</v>
      </c>
      <c r="AQ393" t="s">
        <v>74</v>
      </c>
      <c r="AR393" t="s">
        <v>74</v>
      </c>
      <c r="AS393" t="s">
        <v>74</v>
      </c>
      <c r="AT393" t="s">
        <v>203</v>
      </c>
      <c r="AU393">
        <v>2018</v>
      </c>
      <c r="AV393">
        <v>127</v>
      </c>
      <c r="AW393">
        <v>4</v>
      </c>
      <c r="AX393" t="s">
        <v>74</v>
      </c>
      <c r="AY393" t="s">
        <v>74</v>
      </c>
      <c r="AZ393" t="s">
        <v>74</v>
      </c>
      <c r="BA393" t="s">
        <v>74</v>
      </c>
      <c r="BB393">
        <v>507</v>
      </c>
      <c r="BC393">
        <v>517</v>
      </c>
      <c r="BD393" t="s">
        <v>74</v>
      </c>
      <c r="BE393" t="s">
        <v>3045</v>
      </c>
      <c r="BF393" t="str">
        <f>HYPERLINK("http://dx.doi.org/10.1111/oik.04590","http://dx.doi.org/10.1111/oik.04590")</f>
        <v>http://dx.doi.org/10.1111/oik.04590</v>
      </c>
      <c r="BG393" t="s">
        <v>74</v>
      </c>
      <c r="BH393" t="s">
        <v>74</v>
      </c>
      <c r="BI393" t="s">
        <v>74</v>
      </c>
      <c r="BJ393" t="s">
        <v>74</v>
      </c>
      <c r="BK393" t="s">
        <v>74</v>
      </c>
      <c r="BL393" t="s">
        <v>74</v>
      </c>
      <c r="BM393" t="s">
        <v>74</v>
      </c>
      <c r="BN393" t="s">
        <v>74</v>
      </c>
      <c r="BO393" t="s">
        <v>74</v>
      </c>
      <c r="BP393" t="s">
        <v>74</v>
      </c>
      <c r="BQ393" t="s">
        <v>74</v>
      </c>
      <c r="BR393" t="s">
        <v>74</v>
      </c>
      <c r="BS393" t="s">
        <v>3046</v>
      </c>
      <c r="BT393" t="str">
        <f>HYPERLINK("https%3A%2F%2Fwww.webofscience.com%2Fwos%2Fwoscc%2Ffull-record%2FWOS:000429006200003","View Full Record in Web of Science")</f>
        <v>View Full Record in Web of Science</v>
      </c>
    </row>
    <row r="394" spans="1:72" x14ac:dyDescent="0.2">
      <c r="A394" t="s">
        <v>72</v>
      </c>
      <c r="B394" t="s">
        <v>3047</v>
      </c>
      <c r="C394" t="s">
        <v>74</v>
      </c>
      <c r="D394" t="s">
        <v>74</v>
      </c>
      <c r="E394" t="s">
        <v>74</v>
      </c>
      <c r="F394" t="s">
        <v>3048</v>
      </c>
      <c r="G394" t="s">
        <v>74</v>
      </c>
      <c r="H394" t="s">
        <v>74</v>
      </c>
      <c r="I394" t="s">
        <v>3049</v>
      </c>
      <c r="J394" t="s">
        <v>3050</v>
      </c>
      <c r="K394" t="s">
        <v>74</v>
      </c>
      <c r="L394" t="s">
        <v>74</v>
      </c>
      <c r="M394" t="s">
        <v>74</v>
      </c>
      <c r="N394" t="s">
        <v>74</v>
      </c>
      <c r="O394" t="s">
        <v>74</v>
      </c>
      <c r="P394" t="s">
        <v>74</v>
      </c>
      <c r="Q394" t="s">
        <v>74</v>
      </c>
      <c r="R394" t="s">
        <v>74</v>
      </c>
      <c r="S394" t="s">
        <v>74</v>
      </c>
      <c r="T394" t="s">
        <v>74</v>
      </c>
      <c r="U394" t="s">
        <v>74</v>
      </c>
      <c r="V394" t="s">
        <v>74</v>
      </c>
      <c r="W394" t="s">
        <v>74</v>
      </c>
      <c r="X394" t="s">
        <v>74</v>
      </c>
      <c r="Y394" t="s">
        <v>74</v>
      </c>
      <c r="Z394" t="s">
        <v>74</v>
      </c>
      <c r="AA394" t="s">
        <v>3051</v>
      </c>
      <c r="AB394" t="s">
        <v>7003</v>
      </c>
      <c r="AC394" t="s">
        <v>74</v>
      </c>
      <c r="AD394" t="s">
        <v>74</v>
      </c>
      <c r="AE394" t="s">
        <v>74</v>
      </c>
      <c r="AF394" t="s">
        <v>74</v>
      </c>
      <c r="AG394" t="s">
        <v>74</v>
      </c>
      <c r="AH394" t="s">
        <v>74</v>
      </c>
      <c r="AI394" t="s">
        <v>74</v>
      </c>
      <c r="AJ394" t="s">
        <v>74</v>
      </c>
      <c r="AK394" t="s">
        <v>74</v>
      </c>
      <c r="AL394" t="s">
        <v>74</v>
      </c>
      <c r="AM394" t="s">
        <v>74</v>
      </c>
      <c r="AN394" t="s">
        <v>74</v>
      </c>
      <c r="AO394" t="s">
        <v>3052</v>
      </c>
      <c r="AP394" t="s">
        <v>3053</v>
      </c>
      <c r="AQ394" t="s">
        <v>74</v>
      </c>
      <c r="AR394" t="s">
        <v>74</v>
      </c>
      <c r="AS394" t="s">
        <v>74</v>
      </c>
      <c r="AT394" t="s">
        <v>203</v>
      </c>
      <c r="AU394">
        <v>2018</v>
      </c>
      <c r="AV394">
        <v>53</v>
      </c>
      <c r="AW394">
        <v>4</v>
      </c>
      <c r="AX394" t="s">
        <v>74</v>
      </c>
      <c r="AY394" t="s">
        <v>74</v>
      </c>
      <c r="AZ394" t="s">
        <v>74</v>
      </c>
      <c r="BA394" t="s">
        <v>74</v>
      </c>
      <c r="BB394">
        <v>447</v>
      </c>
      <c r="BC394">
        <v>456</v>
      </c>
      <c r="BD394" t="s">
        <v>74</v>
      </c>
      <c r="BE394" t="s">
        <v>3054</v>
      </c>
      <c r="BF394" t="str">
        <f>HYPERLINK("http://dx.doi.org/10.1002/lipd.12026","http://dx.doi.org/10.1002/lipd.12026")</f>
        <v>http://dx.doi.org/10.1002/lipd.12026</v>
      </c>
      <c r="BG394" t="s">
        <v>74</v>
      </c>
      <c r="BH394" t="s">
        <v>74</v>
      </c>
      <c r="BI394" t="s">
        <v>74</v>
      </c>
      <c r="BJ394" t="s">
        <v>74</v>
      </c>
      <c r="BK394" t="s">
        <v>74</v>
      </c>
      <c r="BL394" t="s">
        <v>74</v>
      </c>
      <c r="BM394" t="s">
        <v>74</v>
      </c>
      <c r="BN394">
        <v>29741213</v>
      </c>
      <c r="BO394" t="s">
        <v>74</v>
      </c>
      <c r="BP394" t="s">
        <v>74</v>
      </c>
      <c r="BQ394" t="s">
        <v>74</v>
      </c>
      <c r="BR394" t="s">
        <v>74</v>
      </c>
      <c r="BS394" t="s">
        <v>3055</v>
      </c>
      <c r="BT394" t="str">
        <f>HYPERLINK("https%3A%2F%2Fwww.webofscience.com%2Fwos%2Fwoscc%2Ffull-record%2FWOS:000434151000009","View Full Record in Web of Science")</f>
        <v>View Full Record in Web of Science</v>
      </c>
    </row>
    <row r="395" spans="1:72" x14ac:dyDescent="0.2">
      <c r="A395" t="s">
        <v>72</v>
      </c>
      <c r="B395" t="s">
        <v>3056</v>
      </c>
      <c r="C395" t="s">
        <v>74</v>
      </c>
      <c r="D395" t="s">
        <v>74</v>
      </c>
      <c r="E395" t="s">
        <v>74</v>
      </c>
      <c r="F395" t="s">
        <v>3057</v>
      </c>
      <c r="G395" t="s">
        <v>74</v>
      </c>
      <c r="H395" t="s">
        <v>74</v>
      </c>
      <c r="I395" t="s">
        <v>3058</v>
      </c>
      <c r="J395" t="s">
        <v>3059</v>
      </c>
      <c r="K395" t="s">
        <v>74</v>
      </c>
      <c r="L395" t="s">
        <v>74</v>
      </c>
      <c r="M395" t="s">
        <v>74</v>
      </c>
      <c r="N395" t="s">
        <v>74</v>
      </c>
      <c r="O395" t="s">
        <v>74</v>
      </c>
      <c r="P395" t="s">
        <v>74</v>
      </c>
      <c r="Q395" t="s">
        <v>74</v>
      </c>
      <c r="R395" t="s">
        <v>74</v>
      </c>
      <c r="S395" t="s">
        <v>74</v>
      </c>
      <c r="T395" t="s">
        <v>74</v>
      </c>
      <c r="U395" t="s">
        <v>74</v>
      </c>
      <c r="V395" t="s">
        <v>74</v>
      </c>
      <c r="W395" t="s">
        <v>74</v>
      </c>
      <c r="X395" t="s">
        <v>74</v>
      </c>
      <c r="Y395" t="s">
        <v>74</v>
      </c>
      <c r="Z395" t="s">
        <v>74</v>
      </c>
      <c r="AA395" t="s">
        <v>7004</v>
      </c>
      <c r="AB395" t="s">
        <v>3060</v>
      </c>
      <c r="AC395" t="s">
        <v>74</v>
      </c>
      <c r="AD395" t="s">
        <v>74</v>
      </c>
      <c r="AE395" t="s">
        <v>74</v>
      </c>
      <c r="AF395" t="s">
        <v>74</v>
      </c>
      <c r="AG395" t="s">
        <v>74</v>
      </c>
      <c r="AH395" t="s">
        <v>74</v>
      </c>
      <c r="AI395" t="s">
        <v>74</v>
      </c>
      <c r="AJ395" t="s">
        <v>74</v>
      </c>
      <c r="AK395" t="s">
        <v>74</v>
      </c>
      <c r="AL395" t="s">
        <v>74</v>
      </c>
      <c r="AM395" t="s">
        <v>74</v>
      </c>
      <c r="AN395" t="s">
        <v>74</v>
      </c>
      <c r="AO395" t="s">
        <v>3061</v>
      </c>
      <c r="AP395" t="s">
        <v>74</v>
      </c>
      <c r="AQ395" t="s">
        <v>74</v>
      </c>
      <c r="AR395" t="s">
        <v>74</v>
      </c>
      <c r="AS395" t="s">
        <v>74</v>
      </c>
      <c r="AT395" t="s">
        <v>203</v>
      </c>
      <c r="AU395">
        <v>2018</v>
      </c>
      <c r="AV395">
        <v>10</v>
      </c>
      <c r="AW395">
        <v>4</v>
      </c>
      <c r="AX395" t="s">
        <v>74</v>
      </c>
      <c r="AY395" t="s">
        <v>74</v>
      </c>
      <c r="AZ395" t="s">
        <v>74</v>
      </c>
      <c r="BA395" t="s">
        <v>74</v>
      </c>
      <c r="BB395" t="s">
        <v>74</v>
      </c>
      <c r="BC395" t="s">
        <v>74</v>
      </c>
      <c r="BD395">
        <v>144</v>
      </c>
      <c r="BE395" t="s">
        <v>3062</v>
      </c>
      <c r="BF395" t="str">
        <f>HYPERLINK("http://dx.doi.org/10.3390/toxins10040144","http://dx.doi.org/10.3390/toxins10040144")</f>
        <v>http://dx.doi.org/10.3390/toxins10040144</v>
      </c>
      <c r="BG395" t="s">
        <v>74</v>
      </c>
      <c r="BH395" t="s">
        <v>74</v>
      </c>
      <c r="BI395" t="s">
        <v>74</v>
      </c>
      <c r="BJ395" t="s">
        <v>74</v>
      </c>
      <c r="BK395" t="s">
        <v>74</v>
      </c>
      <c r="BL395" t="s">
        <v>74</v>
      </c>
      <c r="BM395" t="s">
        <v>74</v>
      </c>
      <c r="BN395">
        <v>29614827</v>
      </c>
      <c r="BO395" t="s">
        <v>74</v>
      </c>
      <c r="BP395" t="s">
        <v>74</v>
      </c>
      <c r="BQ395" t="s">
        <v>74</v>
      </c>
      <c r="BR395" t="s">
        <v>74</v>
      </c>
      <c r="BS395" t="s">
        <v>3063</v>
      </c>
      <c r="BT395" t="str">
        <f>HYPERLINK("https%3A%2F%2Fwww.webofscience.com%2Fwos%2Fwoscc%2Ffull-record%2FWOS:000435183700015","View Full Record in Web of Science")</f>
        <v>View Full Record in Web of Science</v>
      </c>
    </row>
    <row r="396" spans="1:72" x14ac:dyDescent="0.2">
      <c r="A396" t="s">
        <v>72</v>
      </c>
      <c r="B396" t="s">
        <v>3064</v>
      </c>
      <c r="C396" t="s">
        <v>74</v>
      </c>
      <c r="D396" t="s">
        <v>74</v>
      </c>
      <c r="E396" t="s">
        <v>74</v>
      </c>
      <c r="F396" t="s">
        <v>3065</v>
      </c>
      <c r="G396" t="s">
        <v>74</v>
      </c>
      <c r="H396" t="s">
        <v>74</v>
      </c>
      <c r="I396" t="s">
        <v>3066</v>
      </c>
      <c r="J396" t="s">
        <v>733</v>
      </c>
      <c r="K396" t="s">
        <v>74</v>
      </c>
      <c r="L396" t="s">
        <v>74</v>
      </c>
      <c r="M396" t="s">
        <v>74</v>
      </c>
      <c r="N396" t="s">
        <v>74</v>
      </c>
      <c r="O396" t="s">
        <v>74</v>
      </c>
      <c r="P396" t="s">
        <v>74</v>
      </c>
      <c r="Q396" t="s">
        <v>74</v>
      </c>
      <c r="R396" t="s">
        <v>74</v>
      </c>
      <c r="S396" t="s">
        <v>74</v>
      </c>
      <c r="T396" t="s">
        <v>74</v>
      </c>
      <c r="U396" t="s">
        <v>74</v>
      </c>
      <c r="V396" t="s">
        <v>74</v>
      </c>
      <c r="W396" t="s">
        <v>74</v>
      </c>
      <c r="X396" t="s">
        <v>74</v>
      </c>
      <c r="Y396" t="s">
        <v>74</v>
      </c>
      <c r="Z396" t="s">
        <v>74</v>
      </c>
      <c r="AA396" t="s">
        <v>3067</v>
      </c>
      <c r="AB396" t="s">
        <v>3068</v>
      </c>
      <c r="AC396" t="s">
        <v>74</v>
      </c>
      <c r="AD396" t="s">
        <v>74</v>
      </c>
      <c r="AE396" t="s">
        <v>74</v>
      </c>
      <c r="AF396" t="s">
        <v>74</v>
      </c>
      <c r="AG396" t="s">
        <v>74</v>
      </c>
      <c r="AH396" t="s">
        <v>74</v>
      </c>
      <c r="AI396" t="s">
        <v>74</v>
      </c>
      <c r="AJ396" t="s">
        <v>74</v>
      </c>
      <c r="AK396" t="s">
        <v>74</v>
      </c>
      <c r="AL396" t="s">
        <v>74</v>
      </c>
      <c r="AM396" t="s">
        <v>74</v>
      </c>
      <c r="AN396" t="s">
        <v>74</v>
      </c>
      <c r="AO396" t="s">
        <v>734</v>
      </c>
      <c r="AP396" t="s">
        <v>74</v>
      </c>
      <c r="AQ396" t="s">
        <v>74</v>
      </c>
      <c r="AR396" t="s">
        <v>74</v>
      </c>
      <c r="AS396" t="s">
        <v>74</v>
      </c>
      <c r="AT396" t="s">
        <v>3069</v>
      </c>
      <c r="AU396">
        <v>2018</v>
      </c>
      <c r="AV396">
        <v>6</v>
      </c>
      <c r="AW396" t="s">
        <v>74</v>
      </c>
      <c r="AX396" t="s">
        <v>74</v>
      </c>
      <c r="AY396" t="s">
        <v>74</v>
      </c>
      <c r="AZ396" t="s">
        <v>74</v>
      </c>
      <c r="BA396" t="s">
        <v>74</v>
      </c>
      <c r="BB396" t="s">
        <v>74</v>
      </c>
      <c r="BC396" t="s">
        <v>74</v>
      </c>
      <c r="BD396">
        <v>26</v>
      </c>
      <c r="BE396" t="s">
        <v>3070</v>
      </c>
      <c r="BF396" t="str">
        <f>HYPERLINK("http://dx.doi.org/10.3389/fevo.2018.00026","http://dx.doi.org/10.3389/fevo.2018.00026")</f>
        <v>http://dx.doi.org/10.3389/fevo.2018.00026</v>
      </c>
      <c r="BG396" t="s">
        <v>74</v>
      </c>
      <c r="BH396" t="s">
        <v>74</v>
      </c>
      <c r="BI396" t="s">
        <v>74</v>
      </c>
      <c r="BJ396" t="s">
        <v>74</v>
      </c>
      <c r="BK396" t="s">
        <v>74</v>
      </c>
      <c r="BL396" t="s">
        <v>74</v>
      </c>
      <c r="BM396" t="s">
        <v>74</v>
      </c>
      <c r="BN396" t="s">
        <v>74</v>
      </c>
      <c r="BO396" t="s">
        <v>74</v>
      </c>
      <c r="BP396" t="s">
        <v>74</v>
      </c>
      <c r="BQ396" t="s">
        <v>74</v>
      </c>
      <c r="BR396" t="s">
        <v>74</v>
      </c>
      <c r="BS396" t="s">
        <v>3071</v>
      </c>
      <c r="BT396" t="str">
        <f>HYPERLINK("https%3A%2F%2Fwww.webofscience.com%2Fwos%2Fwoscc%2Ffull-record%2FWOS:000451615900002","View Full Record in Web of Science")</f>
        <v>View Full Record in Web of Science</v>
      </c>
    </row>
    <row r="397" spans="1:72" x14ac:dyDescent="0.2">
      <c r="A397" t="s">
        <v>72</v>
      </c>
      <c r="B397" t="s">
        <v>3072</v>
      </c>
      <c r="C397" t="s">
        <v>74</v>
      </c>
      <c r="D397" t="s">
        <v>74</v>
      </c>
      <c r="E397" t="s">
        <v>74</v>
      </c>
      <c r="F397" t="s">
        <v>3073</v>
      </c>
      <c r="G397" t="s">
        <v>74</v>
      </c>
      <c r="H397" t="s">
        <v>74</v>
      </c>
      <c r="I397" t="s">
        <v>3074</v>
      </c>
      <c r="J397" t="s">
        <v>3075</v>
      </c>
      <c r="K397" t="s">
        <v>74</v>
      </c>
      <c r="L397" t="s">
        <v>74</v>
      </c>
      <c r="M397" t="s">
        <v>74</v>
      </c>
      <c r="N397" t="s">
        <v>74</v>
      </c>
      <c r="O397" t="s">
        <v>74</v>
      </c>
      <c r="P397" t="s">
        <v>74</v>
      </c>
      <c r="Q397" t="s">
        <v>74</v>
      </c>
      <c r="R397" t="s">
        <v>74</v>
      </c>
      <c r="S397" t="s">
        <v>74</v>
      </c>
      <c r="T397" t="s">
        <v>74</v>
      </c>
      <c r="U397" t="s">
        <v>74</v>
      </c>
      <c r="V397" t="s">
        <v>74</v>
      </c>
      <c r="W397" t="s">
        <v>74</v>
      </c>
      <c r="X397" t="s">
        <v>74</v>
      </c>
      <c r="Y397" t="s">
        <v>74</v>
      </c>
      <c r="Z397" t="s">
        <v>74</v>
      </c>
      <c r="AA397" t="s">
        <v>3076</v>
      </c>
      <c r="AB397" t="s">
        <v>3077</v>
      </c>
      <c r="AC397" t="s">
        <v>74</v>
      </c>
      <c r="AD397" t="s">
        <v>74</v>
      </c>
      <c r="AE397" t="s">
        <v>74</v>
      </c>
      <c r="AF397" t="s">
        <v>74</v>
      </c>
      <c r="AG397" t="s">
        <v>74</v>
      </c>
      <c r="AH397" t="s">
        <v>74</v>
      </c>
      <c r="AI397" t="s">
        <v>74</v>
      </c>
      <c r="AJ397" t="s">
        <v>74</v>
      </c>
      <c r="AK397" t="s">
        <v>74</v>
      </c>
      <c r="AL397" t="s">
        <v>74</v>
      </c>
      <c r="AM397" t="s">
        <v>74</v>
      </c>
      <c r="AN397" t="s">
        <v>74</v>
      </c>
      <c r="AO397" t="s">
        <v>3078</v>
      </c>
      <c r="AP397" t="s">
        <v>3079</v>
      </c>
      <c r="AQ397" t="s">
        <v>74</v>
      </c>
      <c r="AR397" t="s">
        <v>74</v>
      </c>
      <c r="AS397" t="s">
        <v>74</v>
      </c>
      <c r="AT397" t="s">
        <v>157</v>
      </c>
      <c r="AU397">
        <v>2018</v>
      </c>
      <c r="AV397">
        <v>133</v>
      </c>
      <c r="AW397" t="s">
        <v>74</v>
      </c>
      <c r="AX397" t="s">
        <v>74</v>
      </c>
      <c r="AY397" t="s">
        <v>74</v>
      </c>
      <c r="AZ397" t="s">
        <v>74</v>
      </c>
      <c r="BA397" t="s">
        <v>74</v>
      </c>
      <c r="BB397">
        <v>29</v>
      </c>
      <c r="BC397">
        <v>35</v>
      </c>
      <c r="BD397" t="s">
        <v>74</v>
      </c>
      <c r="BE397" t="s">
        <v>3080</v>
      </c>
      <c r="BF397" t="str">
        <f>HYPERLINK("http://dx.doi.org/10.1016/j.seares.2017.02.002","http://dx.doi.org/10.1016/j.seares.2017.02.002")</f>
        <v>http://dx.doi.org/10.1016/j.seares.2017.02.002</v>
      </c>
      <c r="BG397" t="s">
        <v>74</v>
      </c>
      <c r="BH397" t="s">
        <v>74</v>
      </c>
      <c r="BI397" t="s">
        <v>74</v>
      </c>
      <c r="BJ397" t="s">
        <v>74</v>
      </c>
      <c r="BK397" t="s">
        <v>74</v>
      </c>
      <c r="BL397" t="s">
        <v>74</v>
      </c>
      <c r="BM397" t="s">
        <v>74</v>
      </c>
      <c r="BN397" t="s">
        <v>74</v>
      </c>
      <c r="BO397" t="s">
        <v>74</v>
      </c>
      <c r="BP397" t="s">
        <v>74</v>
      </c>
      <c r="BQ397" t="s">
        <v>74</v>
      </c>
      <c r="BR397" t="s">
        <v>74</v>
      </c>
      <c r="BS397" t="s">
        <v>3081</v>
      </c>
      <c r="BT397" t="str">
        <f>HYPERLINK("https%3A%2F%2Fwww.webofscience.com%2Fwos%2Fwoscc%2Ffull-record%2FWOS:000428488100005","View Full Record in Web of Science")</f>
        <v>View Full Record in Web of Science</v>
      </c>
    </row>
    <row r="398" spans="1:72" x14ac:dyDescent="0.2">
      <c r="A398" t="s">
        <v>72</v>
      </c>
      <c r="B398" t="s">
        <v>3082</v>
      </c>
      <c r="C398" t="s">
        <v>74</v>
      </c>
      <c r="D398" t="s">
        <v>74</v>
      </c>
      <c r="E398" t="s">
        <v>74</v>
      </c>
      <c r="F398" t="s">
        <v>3083</v>
      </c>
      <c r="G398" t="s">
        <v>74</v>
      </c>
      <c r="H398" t="s">
        <v>74</v>
      </c>
      <c r="I398" t="s">
        <v>3084</v>
      </c>
      <c r="J398" t="s">
        <v>502</v>
      </c>
      <c r="K398" t="s">
        <v>74</v>
      </c>
      <c r="L398" t="s">
        <v>74</v>
      </c>
      <c r="M398" t="s">
        <v>74</v>
      </c>
      <c r="N398" t="s">
        <v>74</v>
      </c>
      <c r="O398" t="s">
        <v>74</v>
      </c>
      <c r="P398" t="s">
        <v>74</v>
      </c>
      <c r="Q398" t="s">
        <v>74</v>
      </c>
      <c r="R398" t="s">
        <v>74</v>
      </c>
      <c r="S398" t="s">
        <v>74</v>
      </c>
      <c r="T398" t="s">
        <v>74</v>
      </c>
      <c r="U398" t="s">
        <v>74</v>
      </c>
      <c r="V398" t="s">
        <v>74</v>
      </c>
      <c r="W398" t="s">
        <v>74</v>
      </c>
      <c r="X398" t="s">
        <v>74</v>
      </c>
      <c r="Y398" t="s">
        <v>74</v>
      </c>
      <c r="Z398" t="s">
        <v>74</v>
      </c>
      <c r="AA398" t="s">
        <v>3085</v>
      </c>
      <c r="AB398" t="s">
        <v>3086</v>
      </c>
      <c r="AC398" t="s">
        <v>74</v>
      </c>
      <c r="AD398" t="s">
        <v>74</v>
      </c>
      <c r="AE398" t="s">
        <v>74</v>
      </c>
      <c r="AF398" t="s">
        <v>74</v>
      </c>
      <c r="AG398" t="s">
        <v>74</v>
      </c>
      <c r="AH398" t="s">
        <v>74</v>
      </c>
      <c r="AI398" t="s">
        <v>74</v>
      </c>
      <c r="AJ398" t="s">
        <v>74</v>
      </c>
      <c r="AK398" t="s">
        <v>74</v>
      </c>
      <c r="AL398" t="s">
        <v>74</v>
      </c>
      <c r="AM398" t="s">
        <v>74</v>
      </c>
      <c r="AN398" t="s">
        <v>74</v>
      </c>
      <c r="AO398" t="s">
        <v>503</v>
      </c>
      <c r="AP398" t="s">
        <v>504</v>
      </c>
      <c r="AQ398" t="s">
        <v>74</v>
      </c>
      <c r="AR398" t="s">
        <v>74</v>
      </c>
      <c r="AS398" t="s">
        <v>74</v>
      </c>
      <c r="AT398" t="s">
        <v>157</v>
      </c>
      <c r="AU398">
        <v>2018</v>
      </c>
      <c r="AV398">
        <v>86</v>
      </c>
      <c r="AW398" t="s">
        <v>74</v>
      </c>
      <c r="AX398" t="s">
        <v>74</v>
      </c>
      <c r="AY398" t="s">
        <v>74</v>
      </c>
      <c r="AZ398" t="s">
        <v>74</v>
      </c>
      <c r="BA398" t="s">
        <v>74</v>
      </c>
      <c r="BB398">
        <v>81</v>
      </c>
      <c r="BC398">
        <v>93</v>
      </c>
      <c r="BD398" t="s">
        <v>74</v>
      </c>
      <c r="BE398" t="s">
        <v>3087</v>
      </c>
      <c r="BF398" t="str">
        <f>HYPERLINK("http://dx.doi.org/10.1016/j.ecolind.2017.12.003","http://dx.doi.org/10.1016/j.ecolind.2017.12.003")</f>
        <v>http://dx.doi.org/10.1016/j.ecolind.2017.12.003</v>
      </c>
      <c r="BG398" t="s">
        <v>74</v>
      </c>
      <c r="BH398" t="s">
        <v>74</v>
      </c>
      <c r="BI398" t="s">
        <v>74</v>
      </c>
      <c r="BJ398" t="s">
        <v>74</v>
      </c>
      <c r="BK398" t="s">
        <v>74</v>
      </c>
      <c r="BL398" t="s">
        <v>74</v>
      </c>
      <c r="BM398" t="s">
        <v>74</v>
      </c>
      <c r="BN398" t="s">
        <v>74</v>
      </c>
      <c r="BO398" t="s">
        <v>74</v>
      </c>
      <c r="BP398" t="s">
        <v>74</v>
      </c>
      <c r="BQ398" t="s">
        <v>74</v>
      </c>
      <c r="BR398" t="s">
        <v>74</v>
      </c>
      <c r="BS398" t="s">
        <v>3088</v>
      </c>
      <c r="BT398" t="str">
        <f>HYPERLINK("https%3A%2F%2Fwww.webofscience.com%2Fwos%2Fwoscc%2Ffull-record%2FWOS:000430634600009","View Full Record in Web of Science")</f>
        <v>View Full Record in Web of Science</v>
      </c>
    </row>
    <row r="399" spans="1:72" x14ac:dyDescent="0.2">
      <c r="A399" t="s">
        <v>72</v>
      </c>
      <c r="B399" t="s">
        <v>3089</v>
      </c>
      <c r="C399" t="s">
        <v>74</v>
      </c>
      <c r="D399" t="s">
        <v>74</v>
      </c>
      <c r="E399" t="s">
        <v>74</v>
      </c>
      <c r="F399" t="s">
        <v>3090</v>
      </c>
      <c r="G399" t="s">
        <v>74</v>
      </c>
      <c r="H399" t="s">
        <v>74</v>
      </c>
      <c r="I399" t="s">
        <v>3091</v>
      </c>
      <c r="J399" t="s">
        <v>106</v>
      </c>
      <c r="K399" t="s">
        <v>74</v>
      </c>
      <c r="L399" t="s">
        <v>74</v>
      </c>
      <c r="M399" t="s">
        <v>74</v>
      </c>
      <c r="N399" t="s">
        <v>74</v>
      </c>
      <c r="O399" t="s">
        <v>74</v>
      </c>
      <c r="P399" t="s">
        <v>74</v>
      </c>
      <c r="Q399" t="s">
        <v>74</v>
      </c>
      <c r="R399" t="s">
        <v>74</v>
      </c>
      <c r="S399" t="s">
        <v>74</v>
      </c>
      <c r="T399" t="s">
        <v>74</v>
      </c>
      <c r="U399" t="s">
        <v>74</v>
      </c>
      <c r="V399" t="s">
        <v>74</v>
      </c>
      <c r="W399" t="s">
        <v>74</v>
      </c>
      <c r="X399" t="s">
        <v>74</v>
      </c>
      <c r="Y399" t="s">
        <v>74</v>
      </c>
      <c r="Z399" t="s">
        <v>74</v>
      </c>
      <c r="AA399" t="s">
        <v>3092</v>
      </c>
      <c r="AB399" t="s">
        <v>3093</v>
      </c>
      <c r="AC399" t="s">
        <v>74</v>
      </c>
      <c r="AD399" t="s">
        <v>74</v>
      </c>
      <c r="AE399" t="s">
        <v>74</v>
      </c>
      <c r="AF399" t="s">
        <v>74</v>
      </c>
      <c r="AG399" t="s">
        <v>74</v>
      </c>
      <c r="AH399" t="s">
        <v>74</v>
      </c>
      <c r="AI399" t="s">
        <v>74</v>
      </c>
      <c r="AJ399" t="s">
        <v>74</v>
      </c>
      <c r="AK399" t="s">
        <v>74</v>
      </c>
      <c r="AL399" t="s">
        <v>74</v>
      </c>
      <c r="AM399" t="s">
        <v>74</v>
      </c>
      <c r="AN399" t="s">
        <v>74</v>
      </c>
      <c r="AO399" t="s">
        <v>107</v>
      </c>
      <c r="AP399" t="s">
        <v>108</v>
      </c>
      <c r="AQ399" t="s">
        <v>74</v>
      </c>
      <c r="AR399" t="s">
        <v>74</v>
      </c>
      <c r="AS399" t="s">
        <v>74</v>
      </c>
      <c r="AT399" t="s">
        <v>3094</v>
      </c>
      <c r="AU399">
        <v>2018</v>
      </c>
      <c r="AV399">
        <v>40</v>
      </c>
      <c r="AW399">
        <v>2</v>
      </c>
      <c r="AX399" t="s">
        <v>74</v>
      </c>
      <c r="AY399" t="s">
        <v>74</v>
      </c>
      <c r="AZ399" t="s">
        <v>74</v>
      </c>
      <c r="BA399" t="s">
        <v>74</v>
      </c>
      <c r="BB399">
        <v>197</v>
      </c>
      <c r="BC399">
        <v>208</v>
      </c>
      <c r="BD399" t="s">
        <v>74</v>
      </c>
      <c r="BE399" t="s">
        <v>3095</v>
      </c>
      <c r="BF399" t="str">
        <f>HYPERLINK("http://dx.doi.org/10.1093/plankt/fby002","http://dx.doi.org/10.1093/plankt/fby002")</f>
        <v>http://dx.doi.org/10.1093/plankt/fby002</v>
      </c>
      <c r="BG399" t="s">
        <v>74</v>
      </c>
      <c r="BH399" t="s">
        <v>74</v>
      </c>
      <c r="BI399" t="s">
        <v>74</v>
      </c>
      <c r="BJ399" t="s">
        <v>74</v>
      </c>
      <c r="BK399" t="s">
        <v>74</v>
      </c>
      <c r="BL399" t="s">
        <v>74</v>
      </c>
      <c r="BM399" t="s">
        <v>74</v>
      </c>
      <c r="BN399" t="s">
        <v>74</v>
      </c>
      <c r="BO399" t="s">
        <v>74</v>
      </c>
      <c r="BP399" t="s">
        <v>74</v>
      </c>
      <c r="BQ399" t="s">
        <v>74</v>
      </c>
      <c r="BR399" t="s">
        <v>74</v>
      </c>
      <c r="BS399" t="s">
        <v>3096</v>
      </c>
      <c r="BT399" t="str">
        <f>HYPERLINK("https%3A%2F%2Fwww.webofscience.com%2Fwos%2Fwoscc%2Ffull-record%2FWOS:000428943600008","View Full Record in Web of Science")</f>
        <v>View Full Record in Web of Science</v>
      </c>
    </row>
    <row r="400" spans="1:72" x14ac:dyDescent="0.2">
      <c r="A400" t="s">
        <v>72</v>
      </c>
      <c r="B400" t="s">
        <v>3097</v>
      </c>
      <c r="C400" t="s">
        <v>74</v>
      </c>
      <c r="D400" t="s">
        <v>74</v>
      </c>
      <c r="E400" t="s">
        <v>74</v>
      </c>
      <c r="F400" t="s">
        <v>3098</v>
      </c>
      <c r="G400" t="s">
        <v>74</v>
      </c>
      <c r="H400" t="s">
        <v>74</v>
      </c>
      <c r="I400" t="s">
        <v>3099</v>
      </c>
      <c r="J400" t="s">
        <v>227</v>
      </c>
      <c r="K400" t="s">
        <v>74</v>
      </c>
      <c r="L400" t="s">
        <v>74</v>
      </c>
      <c r="M400" t="s">
        <v>74</v>
      </c>
      <c r="N400" t="s">
        <v>74</v>
      </c>
      <c r="O400" t="s">
        <v>74</v>
      </c>
      <c r="P400" t="s">
        <v>74</v>
      </c>
      <c r="Q400" t="s">
        <v>74</v>
      </c>
      <c r="R400" t="s">
        <v>74</v>
      </c>
      <c r="S400" t="s">
        <v>74</v>
      </c>
      <c r="T400" t="s">
        <v>74</v>
      </c>
      <c r="U400" t="s">
        <v>74</v>
      </c>
      <c r="V400" t="s">
        <v>74</v>
      </c>
      <c r="W400" t="s">
        <v>74</v>
      </c>
      <c r="X400" t="s">
        <v>74</v>
      </c>
      <c r="Y400" t="s">
        <v>74</v>
      </c>
      <c r="Z400" t="s">
        <v>74</v>
      </c>
      <c r="AA400" t="s">
        <v>3100</v>
      </c>
      <c r="AB400" t="s">
        <v>7005</v>
      </c>
      <c r="AC400" t="s">
        <v>74</v>
      </c>
      <c r="AD400" t="s">
        <v>74</v>
      </c>
      <c r="AE400" t="s">
        <v>74</v>
      </c>
      <c r="AF400" t="s">
        <v>74</v>
      </c>
      <c r="AG400" t="s">
        <v>74</v>
      </c>
      <c r="AH400" t="s">
        <v>74</v>
      </c>
      <c r="AI400" t="s">
        <v>74</v>
      </c>
      <c r="AJ400" t="s">
        <v>74</v>
      </c>
      <c r="AK400" t="s">
        <v>74</v>
      </c>
      <c r="AL400" t="s">
        <v>74</v>
      </c>
      <c r="AM400" t="s">
        <v>74</v>
      </c>
      <c r="AN400" t="s">
        <v>74</v>
      </c>
      <c r="AO400" t="s">
        <v>230</v>
      </c>
      <c r="AP400" t="s">
        <v>231</v>
      </c>
      <c r="AQ400" t="s">
        <v>74</v>
      </c>
      <c r="AR400" t="s">
        <v>74</v>
      </c>
      <c r="AS400" t="s">
        <v>74</v>
      </c>
      <c r="AT400" t="s">
        <v>157</v>
      </c>
      <c r="AU400">
        <v>2018</v>
      </c>
      <c r="AV400">
        <v>63</v>
      </c>
      <c r="AW400" t="s">
        <v>74</v>
      </c>
      <c r="AX400" t="s">
        <v>74</v>
      </c>
      <c r="AY400">
        <v>1</v>
      </c>
      <c r="AZ400" t="s">
        <v>74</v>
      </c>
      <c r="BA400" t="s">
        <v>74</v>
      </c>
      <c r="BB400" t="s">
        <v>3101</v>
      </c>
      <c r="BC400" t="s">
        <v>3102</v>
      </c>
      <c r="BD400" t="s">
        <v>74</v>
      </c>
      <c r="BE400" t="s">
        <v>3103</v>
      </c>
      <c r="BF400" t="str">
        <f>HYPERLINK("http://dx.doi.org/10.1002/lno.10720","http://dx.doi.org/10.1002/lno.10720")</f>
        <v>http://dx.doi.org/10.1002/lno.10720</v>
      </c>
      <c r="BG400" t="s">
        <v>74</v>
      </c>
      <c r="BH400" t="s">
        <v>74</v>
      </c>
      <c r="BI400" t="s">
        <v>74</v>
      </c>
      <c r="BJ400" t="s">
        <v>74</v>
      </c>
      <c r="BK400" t="s">
        <v>74</v>
      </c>
      <c r="BL400" t="s">
        <v>74</v>
      </c>
      <c r="BM400" t="s">
        <v>74</v>
      </c>
      <c r="BN400" t="s">
        <v>74</v>
      </c>
      <c r="BO400" t="s">
        <v>74</v>
      </c>
      <c r="BP400" t="s">
        <v>74</v>
      </c>
      <c r="BQ400" t="s">
        <v>74</v>
      </c>
      <c r="BR400" t="s">
        <v>74</v>
      </c>
      <c r="BS400" t="s">
        <v>3104</v>
      </c>
      <c r="BT400" t="str">
        <f>HYPERLINK("https%3A%2F%2Fwww.webofscience.com%2Fwos%2Fwoscc%2Ffull-record%2FWOS:000427077300003","View Full Record in Web of Science")</f>
        <v>View Full Record in Web of Science</v>
      </c>
    </row>
    <row r="401" spans="1:72" x14ac:dyDescent="0.2">
      <c r="A401" t="s">
        <v>72</v>
      </c>
      <c r="B401" t="s">
        <v>3105</v>
      </c>
      <c r="C401" t="s">
        <v>74</v>
      </c>
      <c r="D401" t="s">
        <v>74</v>
      </c>
      <c r="E401" t="s">
        <v>74</v>
      </c>
      <c r="F401" t="s">
        <v>3106</v>
      </c>
      <c r="G401" t="s">
        <v>74</v>
      </c>
      <c r="H401" t="s">
        <v>74</v>
      </c>
      <c r="I401" t="s">
        <v>3107</v>
      </c>
      <c r="J401" t="s">
        <v>2702</v>
      </c>
      <c r="K401" t="s">
        <v>74</v>
      </c>
      <c r="L401" t="s">
        <v>74</v>
      </c>
      <c r="M401" t="s">
        <v>74</v>
      </c>
      <c r="N401" t="s">
        <v>74</v>
      </c>
      <c r="O401" t="s">
        <v>74</v>
      </c>
      <c r="P401" t="s">
        <v>74</v>
      </c>
      <c r="Q401" t="s">
        <v>74</v>
      </c>
      <c r="R401" t="s">
        <v>74</v>
      </c>
      <c r="S401" t="s">
        <v>74</v>
      </c>
      <c r="T401" t="s">
        <v>74</v>
      </c>
      <c r="U401" t="s">
        <v>74</v>
      </c>
      <c r="V401" t="s">
        <v>74</v>
      </c>
      <c r="W401" t="s">
        <v>74</v>
      </c>
      <c r="X401" t="s">
        <v>74</v>
      </c>
      <c r="Y401" t="s">
        <v>74</v>
      </c>
      <c r="Z401" t="s">
        <v>74</v>
      </c>
      <c r="AA401" t="s">
        <v>1853</v>
      </c>
      <c r="AB401" t="s">
        <v>3108</v>
      </c>
      <c r="AC401" t="s">
        <v>74</v>
      </c>
      <c r="AD401" t="s">
        <v>74</v>
      </c>
      <c r="AE401" t="s">
        <v>74</v>
      </c>
      <c r="AF401" t="s">
        <v>74</v>
      </c>
      <c r="AG401" t="s">
        <v>74</v>
      </c>
      <c r="AH401" t="s">
        <v>74</v>
      </c>
      <c r="AI401" t="s">
        <v>74</v>
      </c>
      <c r="AJ401" t="s">
        <v>74</v>
      </c>
      <c r="AK401" t="s">
        <v>74</v>
      </c>
      <c r="AL401" t="s">
        <v>74</v>
      </c>
      <c r="AM401" t="s">
        <v>74</v>
      </c>
      <c r="AN401" t="s">
        <v>74</v>
      </c>
      <c r="AO401" t="s">
        <v>2704</v>
      </c>
      <c r="AP401" t="s">
        <v>2705</v>
      </c>
      <c r="AQ401" t="s">
        <v>74</v>
      </c>
      <c r="AR401" t="s">
        <v>74</v>
      </c>
      <c r="AS401" t="s">
        <v>74</v>
      </c>
      <c r="AT401" t="s">
        <v>157</v>
      </c>
      <c r="AU401">
        <v>2018</v>
      </c>
      <c r="AV401">
        <v>54</v>
      </c>
      <c r="AW401">
        <v>3</v>
      </c>
      <c r="AX401" t="s">
        <v>74</v>
      </c>
      <c r="AY401" t="s">
        <v>74</v>
      </c>
      <c r="AZ401" t="s">
        <v>74</v>
      </c>
      <c r="BA401" t="s">
        <v>74</v>
      </c>
      <c r="BB401">
        <v>2362</v>
      </c>
      <c r="BC401">
        <v>2375</v>
      </c>
      <c r="BD401" t="s">
        <v>74</v>
      </c>
      <c r="BE401" t="s">
        <v>3109</v>
      </c>
      <c r="BF401" t="str">
        <f>HYPERLINK("http://dx.doi.org/10.1002/2017WR021956","http://dx.doi.org/10.1002/2017WR021956")</f>
        <v>http://dx.doi.org/10.1002/2017WR021956</v>
      </c>
      <c r="BG401" t="s">
        <v>74</v>
      </c>
      <c r="BH401" t="s">
        <v>74</v>
      </c>
      <c r="BI401" t="s">
        <v>74</v>
      </c>
      <c r="BJ401" t="s">
        <v>74</v>
      </c>
      <c r="BK401" t="s">
        <v>74</v>
      </c>
      <c r="BL401" t="s">
        <v>74</v>
      </c>
      <c r="BM401" t="s">
        <v>74</v>
      </c>
      <c r="BN401" t="s">
        <v>74</v>
      </c>
      <c r="BO401" t="s">
        <v>74</v>
      </c>
      <c r="BP401" t="s">
        <v>74</v>
      </c>
      <c r="BQ401" t="s">
        <v>74</v>
      </c>
      <c r="BR401" t="s">
        <v>74</v>
      </c>
      <c r="BS401" t="s">
        <v>3110</v>
      </c>
      <c r="BT401" t="str">
        <f>HYPERLINK("https%3A%2F%2Fwww.webofscience.com%2Fwos%2Fwoscc%2Ffull-record%2FWOS:000430364900051","View Full Record in Web of Science")</f>
        <v>View Full Record in Web of Science</v>
      </c>
    </row>
    <row r="402" spans="1:72" x14ac:dyDescent="0.2">
      <c r="A402" t="s">
        <v>72</v>
      </c>
      <c r="B402" t="s">
        <v>3111</v>
      </c>
      <c r="C402" t="s">
        <v>74</v>
      </c>
      <c r="D402" t="s">
        <v>74</v>
      </c>
      <c r="E402" t="s">
        <v>74</v>
      </c>
      <c r="F402" t="s">
        <v>3112</v>
      </c>
      <c r="G402" t="s">
        <v>74</v>
      </c>
      <c r="H402" t="s">
        <v>74</v>
      </c>
      <c r="I402" t="s">
        <v>3113</v>
      </c>
      <c r="J402" t="s">
        <v>350</v>
      </c>
      <c r="K402" t="s">
        <v>74</v>
      </c>
      <c r="L402" t="s">
        <v>74</v>
      </c>
      <c r="M402" t="s">
        <v>74</v>
      </c>
      <c r="N402" t="s">
        <v>74</v>
      </c>
      <c r="O402" t="s">
        <v>74</v>
      </c>
      <c r="P402" t="s">
        <v>74</v>
      </c>
      <c r="Q402" t="s">
        <v>74</v>
      </c>
      <c r="R402" t="s">
        <v>74</v>
      </c>
      <c r="S402" t="s">
        <v>74</v>
      </c>
      <c r="T402" t="s">
        <v>74</v>
      </c>
      <c r="U402" t="s">
        <v>74</v>
      </c>
      <c r="V402" t="s">
        <v>74</v>
      </c>
      <c r="W402" t="s">
        <v>74</v>
      </c>
      <c r="X402" t="s">
        <v>74</v>
      </c>
      <c r="Y402" t="s">
        <v>74</v>
      </c>
      <c r="Z402" t="s">
        <v>74</v>
      </c>
      <c r="AA402" t="s">
        <v>74</v>
      </c>
      <c r="AB402" t="s">
        <v>3114</v>
      </c>
      <c r="AC402" t="s">
        <v>74</v>
      </c>
      <c r="AD402" t="s">
        <v>74</v>
      </c>
      <c r="AE402" t="s">
        <v>74</v>
      </c>
      <c r="AF402" t="s">
        <v>74</v>
      </c>
      <c r="AG402" t="s">
        <v>74</v>
      </c>
      <c r="AH402" t="s">
        <v>74</v>
      </c>
      <c r="AI402" t="s">
        <v>74</v>
      </c>
      <c r="AJ402" t="s">
        <v>74</v>
      </c>
      <c r="AK402" t="s">
        <v>74</v>
      </c>
      <c r="AL402" t="s">
        <v>74</v>
      </c>
      <c r="AM402" t="s">
        <v>74</v>
      </c>
      <c r="AN402" t="s">
        <v>74</v>
      </c>
      <c r="AO402" t="s">
        <v>352</v>
      </c>
      <c r="AP402" t="s">
        <v>353</v>
      </c>
      <c r="AQ402" t="s">
        <v>74</v>
      </c>
      <c r="AR402" t="s">
        <v>74</v>
      </c>
      <c r="AS402" t="s">
        <v>74</v>
      </c>
      <c r="AT402" t="s">
        <v>416</v>
      </c>
      <c r="AU402">
        <v>2018</v>
      </c>
      <c r="AV402">
        <v>25</v>
      </c>
      <c r="AW402">
        <v>5</v>
      </c>
      <c r="AX402" t="s">
        <v>74</v>
      </c>
      <c r="AY402" t="s">
        <v>74</v>
      </c>
      <c r="AZ402" t="s">
        <v>74</v>
      </c>
      <c r="BA402" t="s">
        <v>74</v>
      </c>
      <c r="BB402">
        <v>4544</v>
      </c>
      <c r="BC402">
        <v>4557</v>
      </c>
      <c r="BD402" t="s">
        <v>74</v>
      </c>
      <c r="BE402" t="s">
        <v>3115</v>
      </c>
      <c r="BF402" t="str">
        <f>HYPERLINK("http://dx.doi.org/10.1007/s11356-017-0832-2","http://dx.doi.org/10.1007/s11356-017-0832-2")</f>
        <v>http://dx.doi.org/10.1007/s11356-017-0832-2</v>
      </c>
      <c r="BG402" t="s">
        <v>74</v>
      </c>
      <c r="BH402" t="s">
        <v>74</v>
      </c>
      <c r="BI402" t="s">
        <v>74</v>
      </c>
      <c r="BJ402" t="s">
        <v>74</v>
      </c>
      <c r="BK402" t="s">
        <v>74</v>
      </c>
      <c r="BL402" t="s">
        <v>74</v>
      </c>
      <c r="BM402" t="s">
        <v>74</v>
      </c>
      <c r="BN402">
        <v>29188598</v>
      </c>
      <c r="BO402" t="s">
        <v>74</v>
      </c>
      <c r="BP402" t="s">
        <v>74</v>
      </c>
      <c r="BQ402" t="s">
        <v>74</v>
      </c>
      <c r="BR402" t="s">
        <v>74</v>
      </c>
      <c r="BS402" t="s">
        <v>3116</v>
      </c>
      <c r="BT402" t="str">
        <f>HYPERLINK("https%3A%2F%2Fwww.webofscience.com%2Fwos%2Fwoscc%2Ffull-record%2FWOS:000425770300049","View Full Record in Web of Science")</f>
        <v>View Full Record in Web of Science</v>
      </c>
    </row>
    <row r="403" spans="1:72" x14ac:dyDescent="0.2">
      <c r="A403" t="s">
        <v>72</v>
      </c>
      <c r="B403" t="s">
        <v>3117</v>
      </c>
      <c r="C403" t="s">
        <v>74</v>
      </c>
      <c r="D403" t="s">
        <v>74</v>
      </c>
      <c r="E403" t="s">
        <v>74</v>
      </c>
      <c r="F403" t="s">
        <v>3118</v>
      </c>
      <c r="G403" t="s">
        <v>74</v>
      </c>
      <c r="H403" t="s">
        <v>74</v>
      </c>
      <c r="I403" t="s">
        <v>3119</v>
      </c>
      <c r="J403" t="s">
        <v>331</v>
      </c>
      <c r="K403" t="s">
        <v>74</v>
      </c>
      <c r="L403" t="s">
        <v>74</v>
      </c>
      <c r="M403" t="s">
        <v>74</v>
      </c>
      <c r="N403" t="s">
        <v>74</v>
      </c>
      <c r="O403" t="s">
        <v>74</v>
      </c>
      <c r="P403" t="s">
        <v>74</v>
      </c>
      <c r="Q403" t="s">
        <v>74</v>
      </c>
      <c r="R403" t="s">
        <v>74</v>
      </c>
      <c r="S403" t="s">
        <v>74</v>
      </c>
      <c r="T403" t="s">
        <v>74</v>
      </c>
      <c r="U403" t="s">
        <v>74</v>
      </c>
      <c r="V403" t="s">
        <v>74</v>
      </c>
      <c r="W403" t="s">
        <v>74</v>
      </c>
      <c r="X403" t="s">
        <v>74</v>
      </c>
      <c r="Y403" t="s">
        <v>74</v>
      </c>
      <c r="Z403" t="s">
        <v>74</v>
      </c>
      <c r="AA403" t="s">
        <v>74</v>
      </c>
      <c r="AB403" t="s">
        <v>3120</v>
      </c>
      <c r="AC403" t="s">
        <v>74</v>
      </c>
      <c r="AD403" t="s">
        <v>74</v>
      </c>
      <c r="AE403" t="s">
        <v>74</v>
      </c>
      <c r="AF403" t="s">
        <v>74</v>
      </c>
      <c r="AG403" t="s">
        <v>74</v>
      </c>
      <c r="AH403" t="s">
        <v>74</v>
      </c>
      <c r="AI403" t="s">
        <v>74</v>
      </c>
      <c r="AJ403" t="s">
        <v>74</v>
      </c>
      <c r="AK403" t="s">
        <v>74</v>
      </c>
      <c r="AL403" t="s">
        <v>74</v>
      </c>
      <c r="AM403" t="s">
        <v>74</v>
      </c>
      <c r="AN403" t="s">
        <v>74</v>
      </c>
      <c r="AO403" t="s">
        <v>334</v>
      </c>
      <c r="AP403" t="s">
        <v>74</v>
      </c>
      <c r="AQ403" t="s">
        <v>74</v>
      </c>
      <c r="AR403" t="s">
        <v>74</v>
      </c>
      <c r="AS403" t="s">
        <v>74</v>
      </c>
      <c r="AT403" t="s">
        <v>416</v>
      </c>
      <c r="AU403">
        <v>2018</v>
      </c>
      <c r="AV403">
        <v>10</v>
      </c>
      <c r="AW403">
        <v>2</v>
      </c>
      <c r="AX403" t="s">
        <v>74</v>
      </c>
      <c r="AY403" t="s">
        <v>74</v>
      </c>
      <c r="AZ403" t="s">
        <v>74</v>
      </c>
      <c r="BA403" t="s">
        <v>74</v>
      </c>
      <c r="BB403" t="s">
        <v>74</v>
      </c>
      <c r="BC403" t="s">
        <v>74</v>
      </c>
      <c r="BD403">
        <v>108</v>
      </c>
      <c r="BE403" t="s">
        <v>3121</v>
      </c>
      <c r="BF403" t="str">
        <f>HYPERLINK("http://dx.doi.org/10.3390/w10020108","http://dx.doi.org/10.3390/w10020108")</f>
        <v>http://dx.doi.org/10.3390/w10020108</v>
      </c>
      <c r="BG403" t="s">
        <v>74</v>
      </c>
      <c r="BH403" t="s">
        <v>74</v>
      </c>
      <c r="BI403" t="s">
        <v>74</v>
      </c>
      <c r="BJ403" t="s">
        <v>74</v>
      </c>
      <c r="BK403" t="s">
        <v>74</v>
      </c>
      <c r="BL403" t="s">
        <v>74</v>
      </c>
      <c r="BM403" t="s">
        <v>74</v>
      </c>
      <c r="BN403" t="s">
        <v>74</v>
      </c>
      <c r="BO403" t="s">
        <v>74</v>
      </c>
      <c r="BP403" t="s">
        <v>74</v>
      </c>
      <c r="BQ403" t="s">
        <v>74</v>
      </c>
      <c r="BR403" t="s">
        <v>74</v>
      </c>
      <c r="BS403" t="s">
        <v>3122</v>
      </c>
      <c r="BT403" t="str">
        <f>HYPERLINK("https%3A%2F%2Fwww.webofscience.com%2Fwos%2Fwoscc%2Ffull-record%2FWOS:000426775500018","View Full Record in Web of Science")</f>
        <v>View Full Record in Web of Science</v>
      </c>
    </row>
    <row r="404" spans="1:72" x14ac:dyDescent="0.2">
      <c r="A404" t="s">
        <v>72</v>
      </c>
      <c r="B404" t="s">
        <v>3123</v>
      </c>
      <c r="C404" t="s">
        <v>74</v>
      </c>
      <c r="D404" t="s">
        <v>74</v>
      </c>
      <c r="E404" t="s">
        <v>74</v>
      </c>
      <c r="F404" t="s">
        <v>3124</v>
      </c>
      <c r="G404" t="s">
        <v>74</v>
      </c>
      <c r="H404" t="s">
        <v>74</v>
      </c>
      <c r="I404" t="s">
        <v>3125</v>
      </c>
      <c r="J404" t="s">
        <v>190</v>
      </c>
      <c r="K404" t="s">
        <v>74</v>
      </c>
      <c r="L404" t="s">
        <v>74</v>
      </c>
      <c r="M404" t="s">
        <v>74</v>
      </c>
      <c r="N404" t="s">
        <v>74</v>
      </c>
      <c r="O404" t="s">
        <v>74</v>
      </c>
      <c r="P404" t="s">
        <v>74</v>
      </c>
      <c r="Q404" t="s">
        <v>74</v>
      </c>
      <c r="R404" t="s">
        <v>74</v>
      </c>
      <c r="S404" t="s">
        <v>74</v>
      </c>
      <c r="T404" t="s">
        <v>74</v>
      </c>
      <c r="U404" t="s">
        <v>74</v>
      </c>
      <c r="V404" t="s">
        <v>74</v>
      </c>
      <c r="W404" t="s">
        <v>74</v>
      </c>
      <c r="X404" t="s">
        <v>74</v>
      </c>
      <c r="Y404" t="s">
        <v>74</v>
      </c>
      <c r="Z404" t="s">
        <v>74</v>
      </c>
      <c r="AA404" t="s">
        <v>74</v>
      </c>
      <c r="AB404" t="s">
        <v>3126</v>
      </c>
      <c r="AC404" t="s">
        <v>74</v>
      </c>
      <c r="AD404" t="s">
        <v>74</v>
      </c>
      <c r="AE404" t="s">
        <v>74</v>
      </c>
      <c r="AF404" t="s">
        <v>74</v>
      </c>
      <c r="AG404" t="s">
        <v>74</v>
      </c>
      <c r="AH404" t="s">
        <v>74</v>
      </c>
      <c r="AI404" t="s">
        <v>74</v>
      </c>
      <c r="AJ404" t="s">
        <v>74</v>
      </c>
      <c r="AK404" t="s">
        <v>74</v>
      </c>
      <c r="AL404" t="s">
        <v>74</v>
      </c>
      <c r="AM404" t="s">
        <v>74</v>
      </c>
      <c r="AN404" t="s">
        <v>74</v>
      </c>
      <c r="AO404" t="s">
        <v>191</v>
      </c>
      <c r="AP404" t="s">
        <v>74</v>
      </c>
      <c r="AQ404" t="s">
        <v>74</v>
      </c>
      <c r="AR404" t="s">
        <v>74</v>
      </c>
      <c r="AS404" t="s">
        <v>74</v>
      </c>
      <c r="AT404" t="s">
        <v>3127</v>
      </c>
      <c r="AU404">
        <v>2018</v>
      </c>
      <c r="AV404">
        <v>9</v>
      </c>
      <c r="AW404" t="s">
        <v>74</v>
      </c>
      <c r="AX404" t="s">
        <v>74</v>
      </c>
      <c r="AY404" t="s">
        <v>74</v>
      </c>
      <c r="AZ404" t="s">
        <v>74</v>
      </c>
      <c r="BA404" t="s">
        <v>74</v>
      </c>
      <c r="BB404" t="s">
        <v>74</v>
      </c>
      <c r="BC404" t="s">
        <v>74</v>
      </c>
      <c r="BD404">
        <v>18</v>
      </c>
      <c r="BE404" t="s">
        <v>3128</v>
      </c>
      <c r="BF404" t="str">
        <f>HYPERLINK("http://dx.doi.org/10.3389/fmicb.2018.00018","http://dx.doi.org/10.3389/fmicb.2018.00018")</f>
        <v>http://dx.doi.org/10.3389/fmicb.2018.00018</v>
      </c>
      <c r="BG404" t="s">
        <v>74</v>
      </c>
      <c r="BH404" t="s">
        <v>74</v>
      </c>
      <c r="BI404" t="s">
        <v>74</v>
      </c>
      <c r="BJ404" t="s">
        <v>74</v>
      </c>
      <c r="BK404" t="s">
        <v>74</v>
      </c>
      <c r="BL404" t="s">
        <v>74</v>
      </c>
      <c r="BM404" t="s">
        <v>74</v>
      </c>
      <c r="BN404">
        <v>29410654</v>
      </c>
      <c r="BO404" t="s">
        <v>74</v>
      </c>
      <c r="BP404" t="s">
        <v>74</v>
      </c>
      <c r="BQ404" t="s">
        <v>74</v>
      </c>
      <c r="BR404" t="s">
        <v>74</v>
      </c>
      <c r="BS404" t="s">
        <v>3129</v>
      </c>
      <c r="BT404" t="str">
        <f>HYPERLINK("https%3A%2F%2Fwww.webofscience.com%2Fwos%2Fwoscc%2Ffull-record%2FWOS:000423060900004","View Full Record in Web of Science")</f>
        <v>View Full Record in Web of Science</v>
      </c>
    </row>
    <row r="405" spans="1:72" x14ac:dyDescent="0.2">
      <c r="A405" t="s">
        <v>72</v>
      </c>
      <c r="B405" t="s">
        <v>3130</v>
      </c>
      <c r="C405" t="s">
        <v>74</v>
      </c>
      <c r="D405" t="s">
        <v>74</v>
      </c>
      <c r="E405" t="s">
        <v>74</v>
      </c>
      <c r="F405" t="s">
        <v>3131</v>
      </c>
      <c r="G405" t="s">
        <v>74</v>
      </c>
      <c r="H405" t="s">
        <v>74</v>
      </c>
      <c r="I405" t="s">
        <v>3132</v>
      </c>
      <c r="J405" t="s">
        <v>360</v>
      </c>
      <c r="K405" t="s">
        <v>74</v>
      </c>
      <c r="L405" t="s">
        <v>74</v>
      </c>
      <c r="M405" t="s">
        <v>74</v>
      </c>
      <c r="N405" t="s">
        <v>74</v>
      </c>
      <c r="O405" t="s">
        <v>74</v>
      </c>
      <c r="P405" t="s">
        <v>74</v>
      </c>
      <c r="Q405" t="s">
        <v>74</v>
      </c>
      <c r="R405" t="s">
        <v>74</v>
      </c>
      <c r="S405" t="s">
        <v>74</v>
      </c>
      <c r="T405" t="s">
        <v>74</v>
      </c>
      <c r="U405" t="s">
        <v>74</v>
      </c>
      <c r="V405" t="s">
        <v>74</v>
      </c>
      <c r="W405" t="s">
        <v>74</v>
      </c>
      <c r="X405" t="s">
        <v>74</v>
      </c>
      <c r="Y405" t="s">
        <v>74</v>
      </c>
      <c r="Z405" t="s">
        <v>74</v>
      </c>
      <c r="AA405" t="s">
        <v>3133</v>
      </c>
      <c r="AB405" t="s">
        <v>3134</v>
      </c>
      <c r="AC405" t="s">
        <v>74</v>
      </c>
      <c r="AD405" t="s">
        <v>74</v>
      </c>
      <c r="AE405" t="s">
        <v>74</v>
      </c>
      <c r="AF405" t="s">
        <v>74</v>
      </c>
      <c r="AG405" t="s">
        <v>74</v>
      </c>
      <c r="AH405" t="s">
        <v>74</v>
      </c>
      <c r="AI405" t="s">
        <v>74</v>
      </c>
      <c r="AJ405" t="s">
        <v>74</v>
      </c>
      <c r="AK405" t="s">
        <v>74</v>
      </c>
      <c r="AL405" t="s">
        <v>74</v>
      </c>
      <c r="AM405" t="s">
        <v>74</v>
      </c>
      <c r="AN405" t="s">
        <v>74</v>
      </c>
      <c r="AO405" t="s">
        <v>361</v>
      </c>
      <c r="AP405" t="s">
        <v>362</v>
      </c>
      <c r="AQ405" t="s">
        <v>74</v>
      </c>
      <c r="AR405" t="s">
        <v>74</v>
      </c>
      <c r="AS405" t="s">
        <v>74</v>
      </c>
      <c r="AT405" t="s">
        <v>375</v>
      </c>
      <c r="AU405">
        <v>2018</v>
      </c>
      <c r="AV405">
        <v>285</v>
      </c>
      <c r="AW405">
        <v>1870</v>
      </c>
      <c r="AX405" t="s">
        <v>74</v>
      </c>
      <c r="AY405" t="s">
        <v>74</v>
      </c>
      <c r="AZ405" t="s">
        <v>74</v>
      </c>
      <c r="BA405" t="s">
        <v>74</v>
      </c>
      <c r="BB405" t="s">
        <v>74</v>
      </c>
      <c r="BC405" t="s">
        <v>74</v>
      </c>
      <c r="BD405">
        <v>20171942</v>
      </c>
      <c r="BE405" t="s">
        <v>3135</v>
      </c>
      <c r="BF405" t="str">
        <f>HYPERLINK("http://dx.doi.org/10.1098/rspb.2017.1942","http://dx.doi.org/10.1098/rspb.2017.1942")</f>
        <v>http://dx.doi.org/10.1098/rspb.2017.1942</v>
      </c>
      <c r="BG405" t="s">
        <v>74</v>
      </c>
      <c r="BH405" t="s">
        <v>74</v>
      </c>
      <c r="BI405" t="s">
        <v>74</v>
      </c>
      <c r="BJ405" t="s">
        <v>74</v>
      </c>
      <c r="BK405" t="s">
        <v>74</v>
      </c>
      <c r="BL405" t="s">
        <v>74</v>
      </c>
      <c r="BM405" t="s">
        <v>74</v>
      </c>
      <c r="BN405">
        <v>29321297</v>
      </c>
      <c r="BO405" t="s">
        <v>74</v>
      </c>
      <c r="BP405" t="s">
        <v>74</v>
      </c>
      <c r="BQ405" t="s">
        <v>74</v>
      </c>
      <c r="BR405" t="s">
        <v>74</v>
      </c>
      <c r="BS405" t="s">
        <v>3136</v>
      </c>
      <c r="BT405" t="str">
        <f>HYPERLINK("https%3A%2F%2Fwww.webofscience.com%2Fwos%2Fwoscc%2Ffull-record%2FWOS:000419973000007","View Full Record in Web of Science")</f>
        <v>View Full Record in Web of Science</v>
      </c>
    </row>
    <row r="406" spans="1:72" x14ac:dyDescent="0.2">
      <c r="A406" t="s">
        <v>72</v>
      </c>
      <c r="B406" t="s">
        <v>3137</v>
      </c>
      <c r="C406" t="s">
        <v>74</v>
      </c>
      <c r="D406" t="s">
        <v>74</v>
      </c>
      <c r="E406" t="s">
        <v>74</v>
      </c>
      <c r="F406" t="s">
        <v>3138</v>
      </c>
      <c r="G406" t="s">
        <v>74</v>
      </c>
      <c r="H406" t="s">
        <v>74</v>
      </c>
      <c r="I406" t="s">
        <v>3139</v>
      </c>
      <c r="J406" t="s">
        <v>545</v>
      </c>
      <c r="K406" t="s">
        <v>74</v>
      </c>
      <c r="L406" t="s">
        <v>74</v>
      </c>
      <c r="M406" t="s">
        <v>74</v>
      </c>
      <c r="N406" t="s">
        <v>74</v>
      </c>
      <c r="O406" t="s">
        <v>74</v>
      </c>
      <c r="P406" t="s">
        <v>74</v>
      </c>
      <c r="Q406" t="s">
        <v>74</v>
      </c>
      <c r="R406" t="s">
        <v>74</v>
      </c>
      <c r="S406" t="s">
        <v>74</v>
      </c>
      <c r="T406" t="s">
        <v>74</v>
      </c>
      <c r="U406" t="s">
        <v>74</v>
      </c>
      <c r="V406" t="s">
        <v>74</v>
      </c>
      <c r="W406" t="s">
        <v>74</v>
      </c>
      <c r="X406" t="s">
        <v>74</v>
      </c>
      <c r="Y406" t="s">
        <v>74</v>
      </c>
      <c r="Z406" t="s">
        <v>74</v>
      </c>
      <c r="AA406" t="s">
        <v>3140</v>
      </c>
      <c r="AB406" t="s">
        <v>3141</v>
      </c>
      <c r="AC406" t="s">
        <v>74</v>
      </c>
      <c r="AD406" t="s">
        <v>74</v>
      </c>
      <c r="AE406" t="s">
        <v>74</v>
      </c>
      <c r="AF406" t="s">
        <v>74</v>
      </c>
      <c r="AG406" t="s">
        <v>74</v>
      </c>
      <c r="AH406" t="s">
        <v>74</v>
      </c>
      <c r="AI406" t="s">
        <v>74</v>
      </c>
      <c r="AJ406" t="s">
        <v>74</v>
      </c>
      <c r="AK406" t="s">
        <v>74</v>
      </c>
      <c r="AL406" t="s">
        <v>74</v>
      </c>
      <c r="AM406" t="s">
        <v>74</v>
      </c>
      <c r="AN406" t="s">
        <v>74</v>
      </c>
      <c r="AO406" t="s">
        <v>546</v>
      </c>
      <c r="AP406" t="s">
        <v>547</v>
      </c>
      <c r="AQ406" t="s">
        <v>74</v>
      </c>
      <c r="AR406" t="s">
        <v>74</v>
      </c>
      <c r="AS406" t="s">
        <v>74</v>
      </c>
      <c r="AT406" t="s">
        <v>74</v>
      </c>
      <c r="AU406">
        <v>2018</v>
      </c>
      <c r="AV406">
        <v>21</v>
      </c>
      <c r="AW406">
        <v>1</v>
      </c>
      <c r="AX406" t="s">
        <v>74</v>
      </c>
      <c r="AY406" t="s">
        <v>74</v>
      </c>
      <c r="AZ406" t="s">
        <v>74</v>
      </c>
      <c r="BA406" t="s">
        <v>74</v>
      </c>
      <c r="BB406">
        <v>30</v>
      </c>
      <c r="BC406">
        <v>40</v>
      </c>
      <c r="BD406" t="s">
        <v>74</v>
      </c>
      <c r="BE406" t="s">
        <v>3142</v>
      </c>
      <c r="BF406" t="str">
        <f>HYPERLINK("http://dx.doi.org/10.1080/14634988.2018.1432948","http://dx.doi.org/10.1080/14634988.2018.1432948")</f>
        <v>http://dx.doi.org/10.1080/14634988.2018.1432948</v>
      </c>
      <c r="BG406" t="s">
        <v>74</v>
      </c>
      <c r="BH406" t="s">
        <v>74</v>
      </c>
      <c r="BI406" t="s">
        <v>74</v>
      </c>
      <c r="BJ406" t="s">
        <v>74</v>
      </c>
      <c r="BK406" t="s">
        <v>74</v>
      </c>
      <c r="BL406" t="s">
        <v>74</v>
      </c>
      <c r="BM406" t="s">
        <v>74</v>
      </c>
      <c r="BN406" t="s">
        <v>74</v>
      </c>
      <c r="BO406" t="s">
        <v>74</v>
      </c>
      <c r="BP406" t="s">
        <v>74</v>
      </c>
      <c r="BQ406" t="s">
        <v>74</v>
      </c>
      <c r="BR406" t="s">
        <v>74</v>
      </c>
      <c r="BS406" t="s">
        <v>3143</v>
      </c>
      <c r="BT406" t="str">
        <f>HYPERLINK("https%3A%2F%2Fwww.webofscience.com%2Fwos%2Fwoscc%2Ffull-record%2FWOS:000428039400004","View Full Record in Web of Science")</f>
        <v>View Full Record in Web of Science</v>
      </c>
    </row>
    <row r="407" spans="1:72" x14ac:dyDescent="0.2">
      <c r="A407" t="s">
        <v>3144</v>
      </c>
      <c r="B407" t="s">
        <v>3145</v>
      </c>
      <c r="C407" t="s">
        <v>74</v>
      </c>
      <c r="D407" t="s">
        <v>3146</v>
      </c>
      <c r="E407" t="s">
        <v>74</v>
      </c>
      <c r="F407" t="s">
        <v>3147</v>
      </c>
      <c r="G407" t="s">
        <v>74</v>
      </c>
      <c r="H407" t="s">
        <v>74</v>
      </c>
      <c r="I407" t="s">
        <v>3148</v>
      </c>
      <c r="J407" t="s">
        <v>3149</v>
      </c>
      <c r="K407" t="s">
        <v>3150</v>
      </c>
      <c r="L407" t="s">
        <v>74</v>
      </c>
      <c r="M407" t="s">
        <v>74</v>
      </c>
      <c r="N407" t="s">
        <v>74</v>
      </c>
      <c r="O407" t="s">
        <v>74</v>
      </c>
      <c r="P407" t="s">
        <v>74</v>
      </c>
      <c r="Q407" t="s">
        <v>74</v>
      </c>
      <c r="R407" t="s">
        <v>74</v>
      </c>
      <c r="S407" t="s">
        <v>74</v>
      </c>
      <c r="T407" t="s">
        <v>74</v>
      </c>
      <c r="U407" t="s">
        <v>74</v>
      </c>
      <c r="V407" t="s">
        <v>74</v>
      </c>
      <c r="W407" t="s">
        <v>74</v>
      </c>
      <c r="X407" t="s">
        <v>74</v>
      </c>
      <c r="Y407" t="s">
        <v>74</v>
      </c>
      <c r="Z407" t="s">
        <v>74</v>
      </c>
      <c r="AA407" t="s">
        <v>3151</v>
      </c>
      <c r="AB407" t="s">
        <v>3152</v>
      </c>
      <c r="AC407" t="s">
        <v>74</v>
      </c>
      <c r="AD407" t="s">
        <v>74</v>
      </c>
      <c r="AE407" t="s">
        <v>74</v>
      </c>
      <c r="AF407" t="s">
        <v>74</v>
      </c>
      <c r="AG407" t="s">
        <v>74</v>
      </c>
      <c r="AH407" t="s">
        <v>74</v>
      </c>
      <c r="AI407" t="s">
        <v>74</v>
      </c>
      <c r="AJ407" t="s">
        <v>74</v>
      </c>
      <c r="AK407" t="s">
        <v>74</v>
      </c>
      <c r="AL407" t="s">
        <v>74</v>
      </c>
      <c r="AM407" t="s">
        <v>74</v>
      </c>
      <c r="AN407" t="s">
        <v>74</v>
      </c>
      <c r="AO407" t="s">
        <v>3153</v>
      </c>
      <c r="AP407" t="s">
        <v>3154</v>
      </c>
      <c r="AQ407" t="s">
        <v>3155</v>
      </c>
      <c r="AR407" t="s">
        <v>74</v>
      </c>
      <c r="AS407" t="s">
        <v>74</v>
      </c>
      <c r="AT407" t="s">
        <v>74</v>
      </c>
      <c r="AU407">
        <v>2018</v>
      </c>
      <c r="AV407">
        <v>10</v>
      </c>
      <c r="AW407" t="s">
        <v>74</v>
      </c>
      <c r="AX407" t="s">
        <v>74</v>
      </c>
      <c r="AY407" t="s">
        <v>74</v>
      </c>
      <c r="AZ407" t="s">
        <v>74</v>
      </c>
      <c r="BA407" t="s">
        <v>74</v>
      </c>
      <c r="BB407">
        <v>163</v>
      </c>
      <c r="BC407">
        <v>212</v>
      </c>
      <c r="BD407" t="s">
        <v>74</v>
      </c>
      <c r="BE407" t="s">
        <v>3156</v>
      </c>
      <c r="BF407" t="str">
        <f>HYPERLINK("http://dx.doi.org/10.1007/978-3-319-93270-5_11","http://dx.doi.org/10.1007/978-3-319-93270-5_11")</f>
        <v>http://dx.doi.org/10.1007/978-3-319-93270-5_11</v>
      </c>
      <c r="BG407" t="s">
        <v>3157</v>
      </c>
      <c r="BH407" t="s">
        <v>74</v>
      </c>
      <c r="BI407" t="s">
        <v>74</v>
      </c>
      <c r="BJ407" t="s">
        <v>74</v>
      </c>
      <c r="BK407" t="s">
        <v>74</v>
      </c>
      <c r="BL407" t="s">
        <v>74</v>
      </c>
      <c r="BM407" t="s">
        <v>74</v>
      </c>
      <c r="BN407" t="s">
        <v>74</v>
      </c>
      <c r="BO407" t="s">
        <v>74</v>
      </c>
      <c r="BP407" t="s">
        <v>74</v>
      </c>
      <c r="BQ407" t="s">
        <v>74</v>
      </c>
      <c r="BR407" t="s">
        <v>74</v>
      </c>
      <c r="BS407" t="s">
        <v>3158</v>
      </c>
      <c r="BT407" t="str">
        <f>HYPERLINK("https%3A%2F%2Fwww.webofscience.com%2Fwos%2Fwoscc%2Ffull-record%2FWOS:000459447700011","View Full Record in Web of Science")</f>
        <v>View Full Record in Web of Science</v>
      </c>
    </row>
    <row r="408" spans="1:72" x14ac:dyDescent="0.2">
      <c r="A408" t="s">
        <v>72</v>
      </c>
      <c r="B408" t="s">
        <v>3159</v>
      </c>
      <c r="C408" t="s">
        <v>74</v>
      </c>
      <c r="D408" t="s">
        <v>74</v>
      </c>
      <c r="E408" t="s">
        <v>74</v>
      </c>
      <c r="F408" t="s">
        <v>3160</v>
      </c>
      <c r="G408" t="s">
        <v>74</v>
      </c>
      <c r="H408" t="s">
        <v>74</v>
      </c>
      <c r="I408" t="s">
        <v>3161</v>
      </c>
      <c r="J408" t="s">
        <v>300</v>
      </c>
      <c r="K408" t="s">
        <v>74</v>
      </c>
      <c r="L408" t="s">
        <v>74</v>
      </c>
      <c r="M408" t="s">
        <v>74</v>
      </c>
      <c r="N408" t="s">
        <v>74</v>
      </c>
      <c r="O408" t="s">
        <v>74</v>
      </c>
      <c r="P408" t="s">
        <v>74</v>
      </c>
      <c r="Q408" t="s">
        <v>74</v>
      </c>
      <c r="R408" t="s">
        <v>74</v>
      </c>
      <c r="S408" t="s">
        <v>74</v>
      </c>
      <c r="T408" t="s">
        <v>74</v>
      </c>
      <c r="U408" t="s">
        <v>74</v>
      </c>
      <c r="V408" t="s">
        <v>74</v>
      </c>
      <c r="W408" t="s">
        <v>74</v>
      </c>
      <c r="X408" t="s">
        <v>74</v>
      </c>
      <c r="Y408" t="s">
        <v>74</v>
      </c>
      <c r="Z408" t="s">
        <v>74</v>
      </c>
      <c r="AA408" t="s">
        <v>74</v>
      </c>
      <c r="AB408" t="s">
        <v>3162</v>
      </c>
      <c r="AC408" t="s">
        <v>74</v>
      </c>
      <c r="AD408" t="s">
        <v>74</v>
      </c>
      <c r="AE408" t="s">
        <v>74</v>
      </c>
      <c r="AF408" t="s">
        <v>74</v>
      </c>
      <c r="AG408" t="s">
        <v>74</v>
      </c>
      <c r="AH408" t="s">
        <v>74</v>
      </c>
      <c r="AI408" t="s">
        <v>74</v>
      </c>
      <c r="AJ408" t="s">
        <v>74</v>
      </c>
      <c r="AK408" t="s">
        <v>74</v>
      </c>
      <c r="AL408" t="s">
        <v>74</v>
      </c>
      <c r="AM408" t="s">
        <v>74</v>
      </c>
      <c r="AN408" t="s">
        <v>74</v>
      </c>
      <c r="AO408" t="s">
        <v>301</v>
      </c>
      <c r="AP408" t="s">
        <v>302</v>
      </c>
      <c r="AQ408" t="s">
        <v>74</v>
      </c>
      <c r="AR408" t="s">
        <v>74</v>
      </c>
      <c r="AS408" t="s">
        <v>74</v>
      </c>
      <c r="AT408" t="s">
        <v>315</v>
      </c>
      <c r="AU408">
        <v>2018</v>
      </c>
      <c r="AV408">
        <v>38</v>
      </c>
      <c r="AW408">
        <v>1</v>
      </c>
      <c r="AX408" t="s">
        <v>74</v>
      </c>
      <c r="AY408" t="s">
        <v>74</v>
      </c>
      <c r="AZ408" t="s">
        <v>74</v>
      </c>
      <c r="BA408" t="s">
        <v>74</v>
      </c>
      <c r="BB408">
        <v>101</v>
      </c>
      <c r="BC408">
        <v>106</v>
      </c>
      <c r="BD408" t="s">
        <v>74</v>
      </c>
      <c r="BE408" t="s">
        <v>3163</v>
      </c>
      <c r="BF408" t="str">
        <f>HYPERLINK("http://dx.doi.org/10.1093/jcbiol/rux089","http://dx.doi.org/10.1093/jcbiol/rux089")</f>
        <v>http://dx.doi.org/10.1093/jcbiol/rux089</v>
      </c>
      <c r="BG408" t="s">
        <v>74</v>
      </c>
      <c r="BH408" t="s">
        <v>74</v>
      </c>
      <c r="BI408" t="s">
        <v>74</v>
      </c>
      <c r="BJ408" t="s">
        <v>74</v>
      </c>
      <c r="BK408" t="s">
        <v>74</v>
      </c>
      <c r="BL408" t="s">
        <v>74</v>
      </c>
      <c r="BM408" t="s">
        <v>74</v>
      </c>
      <c r="BN408" t="s">
        <v>74</v>
      </c>
      <c r="BO408" t="s">
        <v>74</v>
      </c>
      <c r="BP408" t="s">
        <v>74</v>
      </c>
      <c r="BQ408" t="s">
        <v>74</v>
      </c>
      <c r="BR408" t="s">
        <v>74</v>
      </c>
      <c r="BS408" t="s">
        <v>3164</v>
      </c>
      <c r="BT408" t="str">
        <f>HYPERLINK("https%3A%2F%2Fwww.webofscience.com%2Fwos%2Fwoscc%2Ffull-record%2FWOS:000423165300011","View Full Record in Web of Science")</f>
        <v>View Full Record in Web of Science</v>
      </c>
    </row>
    <row r="409" spans="1:72" x14ac:dyDescent="0.2">
      <c r="A409" t="s">
        <v>72</v>
      </c>
      <c r="B409" t="s">
        <v>3165</v>
      </c>
      <c r="C409" t="s">
        <v>74</v>
      </c>
      <c r="D409" t="s">
        <v>74</v>
      </c>
      <c r="E409" t="s">
        <v>74</v>
      </c>
      <c r="F409" t="s">
        <v>3166</v>
      </c>
      <c r="G409" t="s">
        <v>74</v>
      </c>
      <c r="H409" t="s">
        <v>74</v>
      </c>
      <c r="I409" t="s">
        <v>3167</v>
      </c>
      <c r="J409" t="s">
        <v>3168</v>
      </c>
      <c r="K409" t="s">
        <v>74</v>
      </c>
      <c r="L409" t="s">
        <v>74</v>
      </c>
      <c r="M409" t="s">
        <v>74</v>
      </c>
      <c r="N409" t="s">
        <v>74</v>
      </c>
      <c r="O409" t="s">
        <v>74</v>
      </c>
      <c r="P409" t="s">
        <v>74</v>
      </c>
      <c r="Q409" t="s">
        <v>74</v>
      </c>
      <c r="R409" t="s">
        <v>74</v>
      </c>
      <c r="S409" t="s">
        <v>74</v>
      </c>
      <c r="T409" t="s">
        <v>74</v>
      </c>
      <c r="U409" t="s">
        <v>74</v>
      </c>
      <c r="V409" t="s">
        <v>74</v>
      </c>
      <c r="W409" t="s">
        <v>74</v>
      </c>
      <c r="X409" t="s">
        <v>74</v>
      </c>
      <c r="Y409" t="s">
        <v>74</v>
      </c>
      <c r="Z409" t="s">
        <v>74</v>
      </c>
      <c r="AA409" t="s">
        <v>3169</v>
      </c>
      <c r="AB409" t="s">
        <v>3170</v>
      </c>
      <c r="AC409" t="s">
        <v>74</v>
      </c>
      <c r="AD409" t="s">
        <v>74</v>
      </c>
      <c r="AE409" t="s">
        <v>74</v>
      </c>
      <c r="AF409" t="s">
        <v>74</v>
      </c>
      <c r="AG409" t="s">
        <v>74</v>
      </c>
      <c r="AH409" t="s">
        <v>74</v>
      </c>
      <c r="AI409" t="s">
        <v>74</v>
      </c>
      <c r="AJ409" t="s">
        <v>74</v>
      </c>
      <c r="AK409" t="s">
        <v>74</v>
      </c>
      <c r="AL409" t="s">
        <v>74</v>
      </c>
      <c r="AM409" t="s">
        <v>74</v>
      </c>
      <c r="AN409" t="s">
        <v>74</v>
      </c>
      <c r="AO409" t="s">
        <v>3171</v>
      </c>
      <c r="AP409" t="s">
        <v>3172</v>
      </c>
      <c r="AQ409" t="s">
        <v>74</v>
      </c>
      <c r="AR409" t="s">
        <v>74</v>
      </c>
      <c r="AS409" t="s">
        <v>74</v>
      </c>
      <c r="AT409" t="s">
        <v>82</v>
      </c>
      <c r="AU409">
        <v>2017</v>
      </c>
      <c r="AV409">
        <v>187</v>
      </c>
      <c r="AW409">
        <v>8</v>
      </c>
      <c r="AX409" t="s">
        <v>74</v>
      </c>
      <c r="AY409" t="s">
        <v>74</v>
      </c>
      <c r="AZ409" t="s">
        <v>74</v>
      </c>
      <c r="BA409" t="s">
        <v>74</v>
      </c>
      <c r="BB409">
        <v>1091</v>
      </c>
      <c r="BC409">
        <v>1106</v>
      </c>
      <c r="BD409" t="s">
        <v>74</v>
      </c>
      <c r="BE409" t="s">
        <v>3173</v>
      </c>
      <c r="BF409" t="str">
        <f>HYPERLINK("http://dx.doi.org/10.1007/s00360-017-1090-9","http://dx.doi.org/10.1007/s00360-017-1090-9")</f>
        <v>http://dx.doi.org/10.1007/s00360-017-1090-9</v>
      </c>
      <c r="BG409" t="s">
        <v>74</v>
      </c>
      <c r="BH409" t="s">
        <v>74</v>
      </c>
      <c r="BI409" t="s">
        <v>74</v>
      </c>
      <c r="BJ409" t="s">
        <v>74</v>
      </c>
      <c r="BK409" t="s">
        <v>74</v>
      </c>
      <c r="BL409" t="s">
        <v>74</v>
      </c>
      <c r="BM409" t="s">
        <v>74</v>
      </c>
      <c r="BN409">
        <v>28389697</v>
      </c>
      <c r="BO409" t="s">
        <v>74</v>
      </c>
      <c r="BP409" t="s">
        <v>74</v>
      </c>
      <c r="BQ409" t="s">
        <v>74</v>
      </c>
      <c r="BR409" t="s">
        <v>74</v>
      </c>
      <c r="BS409" t="s">
        <v>3174</v>
      </c>
      <c r="BT409" t="str">
        <f>HYPERLINK("https%3A%2F%2Fwww.webofscience.com%2Fwos%2Fwoscc%2Ffull-record%2FWOS:000414946400003","View Full Record in Web of Science")</f>
        <v>View Full Record in Web of Science</v>
      </c>
    </row>
    <row r="410" spans="1:72" x14ac:dyDescent="0.2">
      <c r="A410" t="s">
        <v>72</v>
      </c>
      <c r="B410" t="s">
        <v>3175</v>
      </c>
      <c r="C410" t="s">
        <v>74</v>
      </c>
      <c r="D410" t="s">
        <v>74</v>
      </c>
      <c r="E410" t="s">
        <v>74</v>
      </c>
      <c r="F410" t="s">
        <v>3176</v>
      </c>
      <c r="G410" t="s">
        <v>74</v>
      </c>
      <c r="H410" t="s">
        <v>74</v>
      </c>
      <c r="I410" t="s">
        <v>3177</v>
      </c>
      <c r="J410" t="s">
        <v>836</v>
      </c>
      <c r="K410" t="s">
        <v>74</v>
      </c>
      <c r="L410" t="s">
        <v>74</v>
      </c>
      <c r="M410" t="s">
        <v>74</v>
      </c>
      <c r="N410" t="s">
        <v>74</v>
      </c>
      <c r="O410" t="s">
        <v>74</v>
      </c>
      <c r="P410" t="s">
        <v>74</v>
      </c>
      <c r="Q410" t="s">
        <v>74</v>
      </c>
      <c r="R410" t="s">
        <v>74</v>
      </c>
      <c r="S410" t="s">
        <v>74</v>
      </c>
      <c r="T410" t="s">
        <v>74</v>
      </c>
      <c r="U410" t="s">
        <v>74</v>
      </c>
      <c r="V410" t="s">
        <v>74</v>
      </c>
      <c r="W410" t="s">
        <v>74</v>
      </c>
      <c r="X410" t="s">
        <v>74</v>
      </c>
      <c r="Y410" t="s">
        <v>74</v>
      </c>
      <c r="Z410" t="s">
        <v>74</v>
      </c>
      <c r="AA410" t="s">
        <v>3178</v>
      </c>
      <c r="AB410" t="s">
        <v>3179</v>
      </c>
      <c r="AC410" t="s">
        <v>74</v>
      </c>
      <c r="AD410" t="s">
        <v>74</v>
      </c>
      <c r="AE410" t="s">
        <v>74</v>
      </c>
      <c r="AF410" t="s">
        <v>74</v>
      </c>
      <c r="AG410" t="s">
        <v>74</v>
      </c>
      <c r="AH410" t="s">
        <v>74</v>
      </c>
      <c r="AI410" t="s">
        <v>74</v>
      </c>
      <c r="AJ410" t="s">
        <v>74</v>
      </c>
      <c r="AK410" t="s">
        <v>74</v>
      </c>
      <c r="AL410" t="s">
        <v>74</v>
      </c>
      <c r="AM410" t="s">
        <v>74</v>
      </c>
      <c r="AN410" t="s">
        <v>74</v>
      </c>
      <c r="AO410" t="s">
        <v>837</v>
      </c>
      <c r="AP410" t="s">
        <v>838</v>
      </c>
      <c r="AQ410" t="s">
        <v>74</v>
      </c>
      <c r="AR410" t="s">
        <v>74</v>
      </c>
      <c r="AS410" t="s">
        <v>74</v>
      </c>
      <c r="AT410" t="s">
        <v>82</v>
      </c>
      <c r="AU410">
        <v>2017</v>
      </c>
      <c r="AV410">
        <v>70</v>
      </c>
      <c r="AW410" t="s">
        <v>74</v>
      </c>
      <c r="AX410" t="s">
        <v>74</v>
      </c>
      <c r="AY410" t="s">
        <v>74</v>
      </c>
      <c r="AZ410" t="s">
        <v>74</v>
      </c>
      <c r="BA410" t="s">
        <v>74</v>
      </c>
      <c r="BB410">
        <v>23</v>
      </c>
      <c r="BC410">
        <v>36</v>
      </c>
      <c r="BD410" t="s">
        <v>74</v>
      </c>
      <c r="BE410" t="s">
        <v>3180</v>
      </c>
      <c r="BF410" t="str">
        <f>HYPERLINK("http://dx.doi.org/10.1016/j.hal.2017.10.004","http://dx.doi.org/10.1016/j.hal.2017.10.004")</f>
        <v>http://dx.doi.org/10.1016/j.hal.2017.10.004</v>
      </c>
      <c r="BG410" t="s">
        <v>74</v>
      </c>
      <c r="BH410" t="s">
        <v>74</v>
      </c>
      <c r="BI410" t="s">
        <v>74</v>
      </c>
      <c r="BJ410" t="s">
        <v>74</v>
      </c>
      <c r="BK410" t="s">
        <v>74</v>
      </c>
      <c r="BL410" t="s">
        <v>74</v>
      </c>
      <c r="BM410" t="s">
        <v>74</v>
      </c>
      <c r="BN410">
        <v>29169566</v>
      </c>
      <c r="BO410" t="s">
        <v>74</v>
      </c>
      <c r="BP410" t="s">
        <v>74</v>
      </c>
      <c r="BQ410" t="s">
        <v>74</v>
      </c>
      <c r="BR410" t="s">
        <v>74</v>
      </c>
      <c r="BS410" t="s">
        <v>3181</v>
      </c>
      <c r="BT410" t="str">
        <f>HYPERLINK("https%3A%2F%2Fwww.webofscience.com%2Fwos%2Fwoscc%2Ffull-record%2FWOS:000418311500002","View Full Record in Web of Science")</f>
        <v>View Full Record in Web of Science</v>
      </c>
    </row>
    <row r="411" spans="1:72" x14ac:dyDescent="0.2">
      <c r="A411" t="s">
        <v>72</v>
      </c>
      <c r="B411" t="s">
        <v>3182</v>
      </c>
      <c r="C411" t="s">
        <v>74</v>
      </c>
      <c r="D411" t="s">
        <v>74</v>
      </c>
      <c r="E411" t="s">
        <v>74</v>
      </c>
      <c r="F411" t="s">
        <v>3183</v>
      </c>
      <c r="G411" t="s">
        <v>74</v>
      </c>
      <c r="H411" t="s">
        <v>74</v>
      </c>
      <c r="I411" t="s">
        <v>3184</v>
      </c>
      <c r="J411" t="s">
        <v>756</v>
      </c>
      <c r="K411" t="s">
        <v>74</v>
      </c>
      <c r="L411" t="s">
        <v>74</v>
      </c>
      <c r="M411" t="s">
        <v>74</v>
      </c>
      <c r="N411" t="s">
        <v>74</v>
      </c>
      <c r="O411" t="s">
        <v>74</v>
      </c>
      <c r="P411" t="s">
        <v>74</v>
      </c>
      <c r="Q411" t="s">
        <v>74</v>
      </c>
      <c r="R411" t="s">
        <v>74</v>
      </c>
      <c r="S411" t="s">
        <v>74</v>
      </c>
      <c r="T411" t="s">
        <v>74</v>
      </c>
      <c r="U411" t="s">
        <v>74</v>
      </c>
      <c r="V411" t="s">
        <v>74</v>
      </c>
      <c r="W411" t="s">
        <v>74</v>
      </c>
      <c r="X411" t="s">
        <v>74</v>
      </c>
      <c r="Y411" t="s">
        <v>74</v>
      </c>
      <c r="Z411" t="s">
        <v>74</v>
      </c>
      <c r="AA411" t="s">
        <v>74</v>
      </c>
      <c r="AB411" t="s">
        <v>3185</v>
      </c>
      <c r="AC411" t="s">
        <v>74</v>
      </c>
      <c r="AD411" t="s">
        <v>74</v>
      </c>
      <c r="AE411" t="s">
        <v>74</v>
      </c>
      <c r="AF411" t="s">
        <v>74</v>
      </c>
      <c r="AG411" t="s">
        <v>74</v>
      </c>
      <c r="AH411" t="s">
        <v>74</v>
      </c>
      <c r="AI411" t="s">
        <v>74</v>
      </c>
      <c r="AJ411" t="s">
        <v>74</v>
      </c>
      <c r="AK411" t="s">
        <v>74</v>
      </c>
      <c r="AL411" t="s">
        <v>74</v>
      </c>
      <c r="AM411" t="s">
        <v>74</v>
      </c>
      <c r="AN411" t="s">
        <v>74</v>
      </c>
      <c r="AO411" t="s">
        <v>759</v>
      </c>
      <c r="AP411" t="s">
        <v>74</v>
      </c>
      <c r="AQ411" t="s">
        <v>74</v>
      </c>
      <c r="AR411" t="s">
        <v>74</v>
      </c>
      <c r="AS411" t="s">
        <v>74</v>
      </c>
      <c r="AT411" t="s">
        <v>82</v>
      </c>
      <c r="AU411">
        <v>2017</v>
      </c>
      <c r="AV411">
        <v>191</v>
      </c>
      <c r="AW411">
        <v>1</v>
      </c>
      <c r="AX411" t="s">
        <v>74</v>
      </c>
      <c r="AY411" t="s">
        <v>74</v>
      </c>
      <c r="AZ411" t="s">
        <v>74</v>
      </c>
      <c r="BA411" t="s">
        <v>74</v>
      </c>
      <c r="BB411">
        <v>25</v>
      </c>
      <c r="BC411">
        <v>36</v>
      </c>
      <c r="BD411" t="s">
        <v>74</v>
      </c>
      <c r="BE411" t="s">
        <v>3186</v>
      </c>
      <c r="BF411" t="str">
        <f>HYPERLINK("http://dx.doi.org/10.1127/fal/2017/1051","http://dx.doi.org/10.1127/fal/2017/1051")</f>
        <v>http://dx.doi.org/10.1127/fal/2017/1051</v>
      </c>
      <c r="BG411" t="s">
        <v>74</v>
      </c>
      <c r="BH411" t="s">
        <v>74</v>
      </c>
      <c r="BI411" t="s">
        <v>74</v>
      </c>
      <c r="BJ411" t="s">
        <v>74</v>
      </c>
      <c r="BK411" t="s">
        <v>74</v>
      </c>
      <c r="BL411" t="s">
        <v>74</v>
      </c>
      <c r="BM411" t="s">
        <v>74</v>
      </c>
      <c r="BN411" t="s">
        <v>74</v>
      </c>
      <c r="BO411" t="s">
        <v>74</v>
      </c>
      <c r="BP411" t="s">
        <v>74</v>
      </c>
      <c r="BQ411" t="s">
        <v>74</v>
      </c>
      <c r="BR411" t="s">
        <v>74</v>
      </c>
      <c r="BS411" t="s">
        <v>3187</v>
      </c>
      <c r="BT411" t="str">
        <f>HYPERLINK("https%3A%2F%2Fwww.webofscience.com%2Fwos%2Fwoscc%2Ffull-record%2FWOS:000419313600003","View Full Record in Web of Science")</f>
        <v>View Full Record in Web of Science</v>
      </c>
    </row>
    <row r="412" spans="1:72" x14ac:dyDescent="0.2">
      <c r="A412" t="s">
        <v>72</v>
      </c>
      <c r="B412" t="s">
        <v>3188</v>
      </c>
      <c r="C412" t="s">
        <v>74</v>
      </c>
      <c r="D412" t="s">
        <v>74</v>
      </c>
      <c r="E412" t="s">
        <v>74</v>
      </c>
      <c r="F412" t="s">
        <v>3189</v>
      </c>
      <c r="G412" t="s">
        <v>74</v>
      </c>
      <c r="H412" t="s">
        <v>74</v>
      </c>
      <c r="I412" t="s">
        <v>3190</v>
      </c>
      <c r="J412" t="s">
        <v>3191</v>
      </c>
      <c r="K412" t="s">
        <v>74</v>
      </c>
      <c r="L412" t="s">
        <v>74</v>
      </c>
      <c r="M412" t="s">
        <v>74</v>
      </c>
      <c r="N412" t="s">
        <v>74</v>
      </c>
      <c r="O412" t="s">
        <v>74</v>
      </c>
      <c r="P412" t="s">
        <v>74</v>
      </c>
      <c r="Q412" t="s">
        <v>74</v>
      </c>
      <c r="R412" t="s">
        <v>74</v>
      </c>
      <c r="S412" t="s">
        <v>74</v>
      </c>
      <c r="T412" t="s">
        <v>74</v>
      </c>
      <c r="U412" t="s">
        <v>74</v>
      </c>
      <c r="V412" t="s">
        <v>74</v>
      </c>
      <c r="W412" t="s">
        <v>74</v>
      </c>
      <c r="X412" t="s">
        <v>74</v>
      </c>
      <c r="Y412" t="s">
        <v>74</v>
      </c>
      <c r="Z412" t="s">
        <v>74</v>
      </c>
      <c r="AA412" t="s">
        <v>3192</v>
      </c>
      <c r="AB412" t="s">
        <v>3193</v>
      </c>
      <c r="AC412" t="s">
        <v>74</v>
      </c>
      <c r="AD412" t="s">
        <v>74</v>
      </c>
      <c r="AE412" t="s">
        <v>74</v>
      </c>
      <c r="AF412" t="s">
        <v>74</v>
      </c>
      <c r="AG412" t="s">
        <v>74</v>
      </c>
      <c r="AH412" t="s">
        <v>74</v>
      </c>
      <c r="AI412" t="s">
        <v>74</v>
      </c>
      <c r="AJ412" t="s">
        <v>74</v>
      </c>
      <c r="AK412" t="s">
        <v>74</v>
      </c>
      <c r="AL412" t="s">
        <v>74</v>
      </c>
      <c r="AM412" t="s">
        <v>74</v>
      </c>
      <c r="AN412" t="s">
        <v>74</v>
      </c>
      <c r="AO412" t="s">
        <v>3194</v>
      </c>
      <c r="AP412" t="s">
        <v>3195</v>
      </c>
      <c r="AQ412" t="s">
        <v>74</v>
      </c>
      <c r="AR412" t="s">
        <v>74</v>
      </c>
      <c r="AS412" t="s">
        <v>74</v>
      </c>
      <c r="AT412" t="s">
        <v>335</v>
      </c>
      <c r="AU412">
        <v>2017</v>
      </c>
      <c r="AV412">
        <v>92</v>
      </c>
      <c r="AW412">
        <v>4</v>
      </c>
      <c r="AX412" t="s">
        <v>74</v>
      </c>
      <c r="AY412" t="s">
        <v>74</v>
      </c>
      <c r="AZ412" t="s">
        <v>74</v>
      </c>
      <c r="BA412" t="s">
        <v>74</v>
      </c>
      <c r="BB412">
        <v>2003</v>
      </c>
      <c r="BC412">
        <v>2023</v>
      </c>
      <c r="BD412" t="s">
        <v>74</v>
      </c>
      <c r="BE412" t="s">
        <v>3196</v>
      </c>
      <c r="BF412" t="str">
        <f>HYPERLINK("http://dx.doi.org/10.1111/brv.12318","http://dx.doi.org/10.1111/brv.12318")</f>
        <v>http://dx.doi.org/10.1111/brv.12318</v>
      </c>
      <c r="BG412" t="s">
        <v>74</v>
      </c>
      <c r="BH412" t="s">
        <v>74</v>
      </c>
      <c r="BI412" t="s">
        <v>74</v>
      </c>
      <c r="BJ412" t="s">
        <v>74</v>
      </c>
      <c r="BK412" t="s">
        <v>74</v>
      </c>
      <c r="BL412" t="s">
        <v>74</v>
      </c>
      <c r="BM412" t="s">
        <v>74</v>
      </c>
      <c r="BN412">
        <v>28008706</v>
      </c>
      <c r="BO412" t="s">
        <v>74</v>
      </c>
      <c r="BP412" t="s">
        <v>74</v>
      </c>
      <c r="BQ412" t="s">
        <v>74</v>
      </c>
      <c r="BR412" t="s">
        <v>74</v>
      </c>
      <c r="BS412" t="s">
        <v>3197</v>
      </c>
      <c r="BT412" t="str">
        <f>HYPERLINK("https%3A%2F%2Fwww.webofscience.com%2Fwos%2Fwoscc%2Ffull-record%2FWOS:000412314400008","View Full Record in Web of Science")</f>
        <v>View Full Record in Web of Science</v>
      </c>
    </row>
    <row r="413" spans="1:72" x14ac:dyDescent="0.2">
      <c r="A413" t="s">
        <v>72</v>
      </c>
      <c r="B413" t="s">
        <v>3198</v>
      </c>
      <c r="C413" t="s">
        <v>74</v>
      </c>
      <c r="D413" t="s">
        <v>74</v>
      </c>
      <c r="E413" t="s">
        <v>74</v>
      </c>
      <c r="F413" t="s">
        <v>3199</v>
      </c>
      <c r="G413" t="s">
        <v>74</v>
      </c>
      <c r="H413" t="s">
        <v>74</v>
      </c>
      <c r="I413" t="s">
        <v>3200</v>
      </c>
      <c r="J413" t="s">
        <v>767</v>
      </c>
      <c r="K413" t="s">
        <v>74</v>
      </c>
      <c r="L413" t="s">
        <v>74</v>
      </c>
      <c r="M413" t="s">
        <v>74</v>
      </c>
      <c r="N413" t="s">
        <v>74</v>
      </c>
      <c r="O413" t="s">
        <v>74</v>
      </c>
      <c r="P413" t="s">
        <v>74</v>
      </c>
      <c r="Q413" t="s">
        <v>74</v>
      </c>
      <c r="R413" t="s">
        <v>74</v>
      </c>
      <c r="S413" t="s">
        <v>74</v>
      </c>
      <c r="T413" t="s">
        <v>74</v>
      </c>
      <c r="U413" t="s">
        <v>74</v>
      </c>
      <c r="V413" t="s">
        <v>74</v>
      </c>
      <c r="W413" t="s">
        <v>74</v>
      </c>
      <c r="X413" t="s">
        <v>74</v>
      </c>
      <c r="Y413" t="s">
        <v>74</v>
      </c>
      <c r="Z413" t="s">
        <v>74</v>
      </c>
      <c r="AA413" t="s">
        <v>74</v>
      </c>
      <c r="AB413" t="s">
        <v>3201</v>
      </c>
      <c r="AC413" t="s">
        <v>74</v>
      </c>
      <c r="AD413" t="s">
        <v>74</v>
      </c>
      <c r="AE413" t="s">
        <v>74</v>
      </c>
      <c r="AF413" t="s">
        <v>74</v>
      </c>
      <c r="AG413" t="s">
        <v>74</v>
      </c>
      <c r="AH413" t="s">
        <v>74</v>
      </c>
      <c r="AI413" t="s">
        <v>74</v>
      </c>
      <c r="AJ413" t="s">
        <v>74</v>
      </c>
      <c r="AK413" t="s">
        <v>74</v>
      </c>
      <c r="AL413" t="s">
        <v>74</v>
      </c>
      <c r="AM413" t="s">
        <v>74</v>
      </c>
      <c r="AN413" t="s">
        <v>74</v>
      </c>
      <c r="AO413" t="s">
        <v>770</v>
      </c>
      <c r="AP413" t="s">
        <v>771</v>
      </c>
      <c r="AQ413" t="s">
        <v>74</v>
      </c>
      <c r="AR413" t="s">
        <v>74</v>
      </c>
      <c r="AS413" t="s">
        <v>74</v>
      </c>
      <c r="AT413" t="s">
        <v>474</v>
      </c>
      <c r="AU413">
        <v>2017</v>
      </c>
      <c r="AV413">
        <v>150</v>
      </c>
      <c r="AW413" t="s">
        <v>74</v>
      </c>
      <c r="AX413" t="s">
        <v>74</v>
      </c>
      <c r="AY413" t="s">
        <v>74</v>
      </c>
      <c r="AZ413" t="s">
        <v>74</v>
      </c>
      <c r="BA413" t="s">
        <v>74</v>
      </c>
      <c r="BB413">
        <v>10</v>
      </c>
      <c r="BC413">
        <v>17</v>
      </c>
      <c r="BD413" t="s">
        <v>74</v>
      </c>
      <c r="BE413" t="s">
        <v>3202</v>
      </c>
      <c r="BF413" t="str">
        <f>HYPERLINK("http://dx.doi.org/10.1016/j.csr.2016.08.009","http://dx.doi.org/10.1016/j.csr.2016.08.009")</f>
        <v>http://dx.doi.org/10.1016/j.csr.2016.08.009</v>
      </c>
      <c r="BG413" t="s">
        <v>74</v>
      </c>
      <c r="BH413" t="s">
        <v>74</v>
      </c>
      <c r="BI413" t="s">
        <v>74</v>
      </c>
      <c r="BJ413" t="s">
        <v>74</v>
      </c>
      <c r="BK413" t="s">
        <v>74</v>
      </c>
      <c r="BL413" t="s">
        <v>74</v>
      </c>
      <c r="BM413" t="s">
        <v>74</v>
      </c>
      <c r="BN413" t="s">
        <v>74</v>
      </c>
      <c r="BO413" t="s">
        <v>74</v>
      </c>
      <c r="BP413" t="s">
        <v>74</v>
      </c>
      <c r="BQ413" t="s">
        <v>74</v>
      </c>
      <c r="BR413" t="s">
        <v>74</v>
      </c>
      <c r="BS413" t="s">
        <v>3203</v>
      </c>
      <c r="BT413" t="str">
        <f>HYPERLINK("https%3A%2F%2Fwww.webofscience.com%2Fwos%2Fwoscc%2Ffull-record%2FWOS:000417657700002","View Full Record in Web of Science")</f>
        <v>View Full Record in Web of Science</v>
      </c>
    </row>
    <row r="414" spans="1:72" x14ac:dyDescent="0.2">
      <c r="A414" t="s">
        <v>72</v>
      </c>
      <c r="B414" t="s">
        <v>3204</v>
      </c>
      <c r="C414" t="s">
        <v>74</v>
      </c>
      <c r="D414" t="s">
        <v>74</v>
      </c>
      <c r="E414" t="s">
        <v>74</v>
      </c>
      <c r="F414" t="s">
        <v>3205</v>
      </c>
      <c r="G414" t="s">
        <v>74</v>
      </c>
      <c r="H414" t="s">
        <v>74</v>
      </c>
      <c r="I414" t="s">
        <v>3206</v>
      </c>
      <c r="J414" t="s">
        <v>756</v>
      </c>
      <c r="K414" t="s">
        <v>74</v>
      </c>
      <c r="L414" t="s">
        <v>74</v>
      </c>
      <c r="M414" t="s">
        <v>74</v>
      </c>
      <c r="N414" t="s">
        <v>74</v>
      </c>
      <c r="O414" t="s">
        <v>74</v>
      </c>
      <c r="P414" t="s">
        <v>74</v>
      </c>
      <c r="Q414" t="s">
        <v>74</v>
      </c>
      <c r="R414" t="s">
        <v>74</v>
      </c>
      <c r="S414" t="s">
        <v>74</v>
      </c>
      <c r="T414" t="s">
        <v>74</v>
      </c>
      <c r="U414" t="s">
        <v>74</v>
      </c>
      <c r="V414" t="s">
        <v>74</v>
      </c>
      <c r="W414" t="s">
        <v>74</v>
      </c>
      <c r="X414" t="s">
        <v>74</v>
      </c>
      <c r="Y414" t="s">
        <v>74</v>
      </c>
      <c r="Z414" t="s">
        <v>74</v>
      </c>
      <c r="AA414" t="s">
        <v>3207</v>
      </c>
      <c r="AB414" t="s">
        <v>3208</v>
      </c>
      <c r="AC414" t="s">
        <v>74</v>
      </c>
      <c r="AD414" t="s">
        <v>74</v>
      </c>
      <c r="AE414" t="s">
        <v>74</v>
      </c>
      <c r="AF414" t="s">
        <v>74</v>
      </c>
      <c r="AG414" t="s">
        <v>74</v>
      </c>
      <c r="AH414" t="s">
        <v>74</v>
      </c>
      <c r="AI414" t="s">
        <v>74</v>
      </c>
      <c r="AJ414" t="s">
        <v>74</v>
      </c>
      <c r="AK414" t="s">
        <v>74</v>
      </c>
      <c r="AL414" t="s">
        <v>74</v>
      </c>
      <c r="AM414" t="s">
        <v>74</v>
      </c>
      <c r="AN414" t="s">
        <v>74</v>
      </c>
      <c r="AO414" t="s">
        <v>759</v>
      </c>
      <c r="AP414" t="s">
        <v>74</v>
      </c>
      <c r="AQ414" t="s">
        <v>74</v>
      </c>
      <c r="AR414" t="s">
        <v>74</v>
      </c>
      <c r="AS414" t="s">
        <v>74</v>
      </c>
      <c r="AT414" t="s">
        <v>335</v>
      </c>
      <c r="AU414">
        <v>2017</v>
      </c>
      <c r="AV414">
        <v>190</v>
      </c>
      <c r="AW414">
        <v>4</v>
      </c>
      <c r="AX414" t="s">
        <v>74</v>
      </c>
      <c r="AY414" t="s">
        <v>74</v>
      </c>
      <c r="AZ414" t="s">
        <v>74</v>
      </c>
      <c r="BA414" t="s">
        <v>74</v>
      </c>
      <c r="BB414">
        <v>349</v>
      </c>
      <c r="BC414">
        <v>356</v>
      </c>
      <c r="BD414" t="s">
        <v>74</v>
      </c>
      <c r="BE414" t="s">
        <v>3209</v>
      </c>
      <c r="BF414" t="str">
        <f>HYPERLINK("http://dx.doi.org/10.1127/fal/2017/0682","http://dx.doi.org/10.1127/fal/2017/0682")</f>
        <v>http://dx.doi.org/10.1127/fal/2017/0682</v>
      </c>
      <c r="BG414" t="s">
        <v>74</v>
      </c>
      <c r="BH414" t="s">
        <v>74</v>
      </c>
      <c r="BI414" t="s">
        <v>74</v>
      </c>
      <c r="BJ414" t="s">
        <v>74</v>
      </c>
      <c r="BK414" t="s">
        <v>74</v>
      </c>
      <c r="BL414" t="s">
        <v>74</v>
      </c>
      <c r="BM414" t="s">
        <v>74</v>
      </c>
      <c r="BN414" t="s">
        <v>74</v>
      </c>
      <c r="BO414" t="s">
        <v>74</v>
      </c>
      <c r="BP414" t="s">
        <v>74</v>
      </c>
      <c r="BQ414" t="s">
        <v>74</v>
      </c>
      <c r="BR414" t="s">
        <v>74</v>
      </c>
      <c r="BS414" t="s">
        <v>3210</v>
      </c>
      <c r="BT414" t="str">
        <f>HYPERLINK("https%3A%2F%2Fwww.webofscience.com%2Fwos%2Fwoscc%2Ffull-record%2FWOS:000423785200007","View Full Record in Web of Science")</f>
        <v>View Full Record in Web of Science</v>
      </c>
    </row>
    <row r="415" spans="1:72" x14ac:dyDescent="0.2">
      <c r="A415" t="s">
        <v>72</v>
      </c>
      <c r="B415" t="s">
        <v>3211</v>
      </c>
      <c r="C415" t="s">
        <v>74</v>
      </c>
      <c r="D415" t="s">
        <v>74</v>
      </c>
      <c r="E415" t="s">
        <v>74</v>
      </c>
      <c r="F415" t="s">
        <v>3212</v>
      </c>
      <c r="G415" t="s">
        <v>74</v>
      </c>
      <c r="H415" t="s">
        <v>74</v>
      </c>
      <c r="I415" t="s">
        <v>3213</v>
      </c>
      <c r="J415" t="s">
        <v>502</v>
      </c>
      <c r="K415" t="s">
        <v>74</v>
      </c>
      <c r="L415" t="s">
        <v>74</v>
      </c>
      <c r="M415" t="s">
        <v>74</v>
      </c>
      <c r="N415" t="s">
        <v>74</v>
      </c>
      <c r="O415" t="s">
        <v>74</v>
      </c>
      <c r="P415" t="s">
        <v>74</v>
      </c>
      <c r="Q415" t="s">
        <v>74</v>
      </c>
      <c r="R415" t="s">
        <v>74</v>
      </c>
      <c r="S415" t="s">
        <v>74</v>
      </c>
      <c r="T415" t="s">
        <v>74</v>
      </c>
      <c r="U415" t="s">
        <v>74</v>
      </c>
      <c r="V415" t="s">
        <v>74</v>
      </c>
      <c r="W415" t="s">
        <v>74</v>
      </c>
      <c r="X415" t="s">
        <v>74</v>
      </c>
      <c r="Y415" t="s">
        <v>74</v>
      </c>
      <c r="Z415" t="s">
        <v>74</v>
      </c>
      <c r="AA415" t="s">
        <v>7006</v>
      </c>
      <c r="AB415" t="s">
        <v>7007</v>
      </c>
      <c r="AC415" t="s">
        <v>74</v>
      </c>
      <c r="AD415" t="s">
        <v>74</v>
      </c>
      <c r="AE415" t="s">
        <v>74</v>
      </c>
      <c r="AF415" t="s">
        <v>74</v>
      </c>
      <c r="AG415" t="s">
        <v>74</v>
      </c>
      <c r="AH415" t="s">
        <v>74</v>
      </c>
      <c r="AI415" t="s">
        <v>74</v>
      </c>
      <c r="AJ415" t="s">
        <v>74</v>
      </c>
      <c r="AK415" t="s">
        <v>74</v>
      </c>
      <c r="AL415" t="s">
        <v>74</v>
      </c>
      <c r="AM415" t="s">
        <v>74</v>
      </c>
      <c r="AN415" t="s">
        <v>74</v>
      </c>
      <c r="AO415" t="s">
        <v>503</v>
      </c>
      <c r="AP415" t="s">
        <v>504</v>
      </c>
      <c r="AQ415" t="s">
        <v>74</v>
      </c>
      <c r="AR415" t="s">
        <v>74</v>
      </c>
      <c r="AS415" t="s">
        <v>74</v>
      </c>
      <c r="AT415" t="s">
        <v>335</v>
      </c>
      <c r="AU415">
        <v>2017</v>
      </c>
      <c r="AV415">
        <v>82</v>
      </c>
      <c r="AW415" t="s">
        <v>74</v>
      </c>
      <c r="AX415" t="s">
        <v>74</v>
      </c>
      <c r="AY415" t="s">
        <v>74</v>
      </c>
      <c r="AZ415" t="s">
        <v>74</v>
      </c>
      <c r="BA415" t="s">
        <v>74</v>
      </c>
      <c r="BB415">
        <v>1</v>
      </c>
      <c r="BC415">
        <v>12</v>
      </c>
      <c r="BD415" t="s">
        <v>74</v>
      </c>
      <c r="BE415" t="s">
        <v>3214</v>
      </c>
      <c r="BF415" t="str">
        <f>HYPERLINK("http://dx.doi.org/10.1016/j.ecolind.2017.06.024","http://dx.doi.org/10.1016/j.ecolind.2017.06.024")</f>
        <v>http://dx.doi.org/10.1016/j.ecolind.2017.06.024</v>
      </c>
      <c r="BG415" t="s">
        <v>74</v>
      </c>
      <c r="BH415" t="s">
        <v>74</v>
      </c>
      <c r="BI415" t="s">
        <v>74</v>
      </c>
      <c r="BJ415" t="s">
        <v>74</v>
      </c>
      <c r="BK415" t="s">
        <v>74</v>
      </c>
      <c r="BL415" t="s">
        <v>74</v>
      </c>
      <c r="BM415" t="s">
        <v>74</v>
      </c>
      <c r="BN415" t="s">
        <v>74</v>
      </c>
      <c r="BO415" t="s">
        <v>74</v>
      </c>
      <c r="BP415" t="s">
        <v>74</v>
      </c>
      <c r="BQ415" t="s">
        <v>74</v>
      </c>
      <c r="BR415" t="s">
        <v>74</v>
      </c>
      <c r="BS415" t="s">
        <v>3215</v>
      </c>
      <c r="BT415" t="str">
        <f>HYPERLINK("https%3A%2F%2Fwww.webofscience.com%2Fwos%2Fwoscc%2Ffull-record%2FWOS:000417551700001","View Full Record in Web of Science")</f>
        <v>View Full Record in Web of Science</v>
      </c>
    </row>
    <row r="416" spans="1:72" x14ac:dyDescent="0.2">
      <c r="A416" t="s">
        <v>72</v>
      </c>
      <c r="B416" t="s">
        <v>3216</v>
      </c>
      <c r="C416" t="s">
        <v>74</v>
      </c>
      <c r="D416" t="s">
        <v>74</v>
      </c>
      <c r="E416" t="s">
        <v>74</v>
      </c>
      <c r="F416" t="s">
        <v>3217</v>
      </c>
      <c r="G416" t="s">
        <v>74</v>
      </c>
      <c r="H416" t="s">
        <v>74</v>
      </c>
      <c r="I416" t="s">
        <v>3218</v>
      </c>
      <c r="J416" t="s">
        <v>190</v>
      </c>
      <c r="K416" t="s">
        <v>74</v>
      </c>
      <c r="L416" t="s">
        <v>74</v>
      </c>
      <c r="M416" t="s">
        <v>74</v>
      </c>
      <c r="N416" t="s">
        <v>74</v>
      </c>
      <c r="O416" t="s">
        <v>74</v>
      </c>
      <c r="P416" t="s">
        <v>74</v>
      </c>
      <c r="Q416" t="s">
        <v>74</v>
      </c>
      <c r="R416" t="s">
        <v>74</v>
      </c>
      <c r="S416" t="s">
        <v>74</v>
      </c>
      <c r="T416" t="s">
        <v>74</v>
      </c>
      <c r="U416" t="s">
        <v>74</v>
      </c>
      <c r="V416" t="s">
        <v>74</v>
      </c>
      <c r="W416" t="s">
        <v>74</v>
      </c>
      <c r="X416" t="s">
        <v>74</v>
      </c>
      <c r="Y416" t="s">
        <v>74</v>
      </c>
      <c r="Z416" t="s">
        <v>74</v>
      </c>
      <c r="AA416" t="s">
        <v>7008</v>
      </c>
      <c r="AB416" t="s">
        <v>7009</v>
      </c>
      <c r="AC416" t="s">
        <v>74</v>
      </c>
      <c r="AD416" t="s">
        <v>74</v>
      </c>
      <c r="AE416" t="s">
        <v>74</v>
      </c>
      <c r="AF416" t="s">
        <v>74</v>
      </c>
      <c r="AG416" t="s">
        <v>74</v>
      </c>
      <c r="AH416" t="s">
        <v>74</v>
      </c>
      <c r="AI416" t="s">
        <v>74</v>
      </c>
      <c r="AJ416" t="s">
        <v>74</v>
      </c>
      <c r="AK416" t="s">
        <v>74</v>
      </c>
      <c r="AL416" t="s">
        <v>74</v>
      </c>
      <c r="AM416" t="s">
        <v>74</v>
      </c>
      <c r="AN416" t="s">
        <v>74</v>
      </c>
      <c r="AO416" t="s">
        <v>74</v>
      </c>
      <c r="AP416" t="s">
        <v>191</v>
      </c>
      <c r="AQ416" t="s">
        <v>74</v>
      </c>
      <c r="AR416" t="s">
        <v>74</v>
      </c>
      <c r="AS416" t="s">
        <v>74</v>
      </c>
      <c r="AT416" t="s">
        <v>3219</v>
      </c>
      <c r="AU416">
        <v>2017</v>
      </c>
      <c r="AV416">
        <v>8</v>
      </c>
      <c r="AW416" t="s">
        <v>74</v>
      </c>
      <c r="AX416" t="s">
        <v>74</v>
      </c>
      <c r="AY416" t="s">
        <v>74</v>
      </c>
      <c r="AZ416" t="s">
        <v>74</v>
      </c>
      <c r="BA416" t="s">
        <v>74</v>
      </c>
      <c r="BB416" t="s">
        <v>74</v>
      </c>
      <c r="BC416" t="s">
        <v>74</v>
      </c>
      <c r="BD416">
        <v>2003</v>
      </c>
      <c r="BE416" t="s">
        <v>3220</v>
      </c>
      <c r="BF416" t="str">
        <f>HYPERLINK("http://dx.doi.org/10.3389/fmicb.2017.02003","http://dx.doi.org/10.3389/fmicb.2017.02003")</f>
        <v>http://dx.doi.org/10.3389/fmicb.2017.02003</v>
      </c>
      <c r="BG416" t="s">
        <v>74</v>
      </c>
      <c r="BH416" t="s">
        <v>74</v>
      </c>
      <c r="BI416" t="s">
        <v>74</v>
      </c>
      <c r="BJ416" t="s">
        <v>74</v>
      </c>
      <c r="BK416" t="s">
        <v>74</v>
      </c>
      <c r="BL416" t="s">
        <v>74</v>
      </c>
      <c r="BM416" t="s">
        <v>74</v>
      </c>
      <c r="BN416">
        <v>29109703</v>
      </c>
      <c r="BO416" t="s">
        <v>74</v>
      </c>
      <c r="BP416" t="s">
        <v>74</v>
      </c>
      <c r="BQ416" t="s">
        <v>74</v>
      </c>
      <c r="BR416" t="s">
        <v>74</v>
      </c>
      <c r="BS416" t="s">
        <v>3221</v>
      </c>
      <c r="BT416" t="str">
        <f>HYPERLINK("https%3A%2F%2Fwww.webofscience.com%2Fwos%2Fwoscc%2Ffull-record%2FWOS:000413414100001","View Full Record in Web of Science")</f>
        <v>View Full Record in Web of Science</v>
      </c>
    </row>
    <row r="417" spans="1:72" x14ac:dyDescent="0.2">
      <c r="A417" t="s">
        <v>72</v>
      </c>
      <c r="B417" t="s">
        <v>3222</v>
      </c>
      <c r="C417" t="s">
        <v>74</v>
      </c>
      <c r="D417" t="s">
        <v>74</v>
      </c>
      <c r="E417" t="s">
        <v>74</v>
      </c>
      <c r="F417" t="s">
        <v>3223</v>
      </c>
      <c r="G417" t="s">
        <v>74</v>
      </c>
      <c r="H417" t="s">
        <v>74</v>
      </c>
      <c r="I417" t="s">
        <v>3224</v>
      </c>
      <c r="J417" t="s">
        <v>423</v>
      </c>
      <c r="K417" t="s">
        <v>74</v>
      </c>
      <c r="L417" t="s">
        <v>74</v>
      </c>
      <c r="M417" t="s">
        <v>74</v>
      </c>
      <c r="N417" t="s">
        <v>74</v>
      </c>
      <c r="O417" t="s">
        <v>74</v>
      </c>
      <c r="P417" t="s">
        <v>74</v>
      </c>
      <c r="Q417" t="s">
        <v>74</v>
      </c>
      <c r="R417" t="s">
        <v>74</v>
      </c>
      <c r="S417" t="s">
        <v>74</v>
      </c>
      <c r="T417" t="s">
        <v>74</v>
      </c>
      <c r="U417" t="s">
        <v>74</v>
      </c>
      <c r="V417" t="s">
        <v>74</v>
      </c>
      <c r="W417" t="s">
        <v>74</v>
      </c>
      <c r="X417" t="s">
        <v>74</v>
      </c>
      <c r="Y417" t="s">
        <v>74</v>
      </c>
      <c r="Z417" t="s">
        <v>74</v>
      </c>
      <c r="AA417" t="s">
        <v>7010</v>
      </c>
      <c r="AB417" t="s">
        <v>7011</v>
      </c>
      <c r="AC417" t="s">
        <v>74</v>
      </c>
      <c r="AD417" t="s">
        <v>74</v>
      </c>
      <c r="AE417" t="s">
        <v>74</v>
      </c>
      <c r="AF417" t="s">
        <v>74</v>
      </c>
      <c r="AG417" t="s">
        <v>74</v>
      </c>
      <c r="AH417" t="s">
        <v>74</v>
      </c>
      <c r="AI417" t="s">
        <v>74</v>
      </c>
      <c r="AJ417" t="s">
        <v>74</v>
      </c>
      <c r="AK417" t="s">
        <v>74</v>
      </c>
      <c r="AL417" t="s">
        <v>74</v>
      </c>
      <c r="AM417" t="s">
        <v>74</v>
      </c>
      <c r="AN417" t="s">
        <v>74</v>
      </c>
      <c r="AO417" t="s">
        <v>425</v>
      </c>
      <c r="AP417" t="s">
        <v>426</v>
      </c>
      <c r="AQ417" t="s">
        <v>74</v>
      </c>
      <c r="AR417" t="s">
        <v>74</v>
      </c>
      <c r="AS417" t="s">
        <v>74</v>
      </c>
      <c r="AT417" t="s">
        <v>406</v>
      </c>
      <c r="AU417">
        <v>2017</v>
      </c>
      <c r="AV417">
        <v>62</v>
      </c>
      <c r="AW417">
        <v>10</v>
      </c>
      <c r="AX417" t="s">
        <v>74</v>
      </c>
      <c r="AY417" t="s">
        <v>74</v>
      </c>
      <c r="AZ417" t="s">
        <v>74</v>
      </c>
      <c r="BA417" t="s">
        <v>74</v>
      </c>
      <c r="BB417">
        <v>1681</v>
      </c>
      <c r="BC417">
        <v>1692</v>
      </c>
      <c r="BD417" t="s">
        <v>74</v>
      </c>
      <c r="BE417" t="s">
        <v>3225</v>
      </c>
      <c r="BF417" t="str">
        <f>HYPERLINK("http://dx.doi.org/10.1111/fwb.12968","http://dx.doi.org/10.1111/fwb.12968")</f>
        <v>http://dx.doi.org/10.1111/fwb.12968</v>
      </c>
      <c r="BG417" t="s">
        <v>74</v>
      </c>
      <c r="BH417" t="s">
        <v>74</v>
      </c>
      <c r="BI417" t="s">
        <v>74</v>
      </c>
      <c r="BJ417" t="s">
        <v>74</v>
      </c>
      <c r="BK417" t="s">
        <v>74</v>
      </c>
      <c r="BL417" t="s">
        <v>74</v>
      </c>
      <c r="BM417" t="s">
        <v>74</v>
      </c>
      <c r="BN417" t="s">
        <v>74</v>
      </c>
      <c r="BO417" t="s">
        <v>74</v>
      </c>
      <c r="BP417" t="s">
        <v>74</v>
      </c>
      <c r="BQ417" t="s">
        <v>74</v>
      </c>
      <c r="BR417" t="s">
        <v>74</v>
      </c>
      <c r="BS417" t="s">
        <v>3226</v>
      </c>
      <c r="BT417" t="str">
        <f>HYPERLINK("https%3A%2F%2Fwww.webofscience.com%2Fwos%2Fwoscc%2Ffull-record%2FWOS:000410094000002","View Full Record in Web of Science")</f>
        <v>View Full Record in Web of Science</v>
      </c>
    </row>
    <row r="418" spans="1:72" x14ac:dyDescent="0.2">
      <c r="A418" t="s">
        <v>72</v>
      </c>
      <c r="B418" t="s">
        <v>3227</v>
      </c>
      <c r="C418" t="s">
        <v>74</v>
      </c>
      <c r="D418" t="s">
        <v>74</v>
      </c>
      <c r="E418" t="s">
        <v>74</v>
      </c>
      <c r="F418" t="s">
        <v>3228</v>
      </c>
      <c r="G418" t="s">
        <v>74</v>
      </c>
      <c r="H418" t="s">
        <v>74</v>
      </c>
      <c r="I418" t="s">
        <v>3229</v>
      </c>
      <c r="J418" t="s">
        <v>502</v>
      </c>
      <c r="K418" t="s">
        <v>74</v>
      </c>
      <c r="L418" t="s">
        <v>74</v>
      </c>
      <c r="M418" t="s">
        <v>74</v>
      </c>
      <c r="N418" t="s">
        <v>74</v>
      </c>
      <c r="O418" t="s">
        <v>74</v>
      </c>
      <c r="P418" t="s">
        <v>74</v>
      </c>
      <c r="Q418" t="s">
        <v>74</v>
      </c>
      <c r="R418" t="s">
        <v>74</v>
      </c>
      <c r="S418" t="s">
        <v>74</v>
      </c>
      <c r="T418" t="s">
        <v>74</v>
      </c>
      <c r="U418" t="s">
        <v>74</v>
      </c>
      <c r="V418" t="s">
        <v>74</v>
      </c>
      <c r="W418" t="s">
        <v>74</v>
      </c>
      <c r="X418" t="s">
        <v>74</v>
      </c>
      <c r="Y418" t="s">
        <v>74</v>
      </c>
      <c r="Z418" t="s">
        <v>74</v>
      </c>
      <c r="AA418" t="s">
        <v>7012</v>
      </c>
      <c r="AB418" t="s">
        <v>7013</v>
      </c>
      <c r="AC418" t="s">
        <v>74</v>
      </c>
      <c r="AD418" t="s">
        <v>74</v>
      </c>
      <c r="AE418" t="s">
        <v>74</v>
      </c>
      <c r="AF418" t="s">
        <v>74</v>
      </c>
      <c r="AG418" t="s">
        <v>74</v>
      </c>
      <c r="AH418" t="s">
        <v>74</v>
      </c>
      <c r="AI418" t="s">
        <v>74</v>
      </c>
      <c r="AJ418" t="s">
        <v>74</v>
      </c>
      <c r="AK418" t="s">
        <v>74</v>
      </c>
      <c r="AL418" t="s">
        <v>74</v>
      </c>
      <c r="AM418" t="s">
        <v>74</v>
      </c>
      <c r="AN418" t="s">
        <v>74</v>
      </c>
      <c r="AO418" t="s">
        <v>503</v>
      </c>
      <c r="AP418" t="s">
        <v>504</v>
      </c>
      <c r="AQ418" t="s">
        <v>74</v>
      </c>
      <c r="AR418" t="s">
        <v>74</v>
      </c>
      <c r="AS418" t="s">
        <v>74</v>
      </c>
      <c r="AT418" t="s">
        <v>406</v>
      </c>
      <c r="AU418">
        <v>2017</v>
      </c>
      <c r="AV418">
        <v>81</v>
      </c>
      <c r="AW418" t="s">
        <v>74</v>
      </c>
      <c r="AX418" t="s">
        <v>74</v>
      </c>
      <c r="AY418" t="s">
        <v>74</v>
      </c>
      <c r="AZ418" t="s">
        <v>74</v>
      </c>
      <c r="BA418" t="s">
        <v>74</v>
      </c>
      <c r="BB418">
        <v>124</v>
      </c>
      <c r="BC418">
        <v>131</v>
      </c>
      <c r="BD418" t="s">
        <v>74</v>
      </c>
      <c r="BE418" t="s">
        <v>3230</v>
      </c>
      <c r="BF418" t="str">
        <f>HYPERLINK("http://dx.doi.org/10.1016/j.ecolind.2017.05.066","http://dx.doi.org/10.1016/j.ecolind.2017.05.066")</f>
        <v>http://dx.doi.org/10.1016/j.ecolind.2017.05.066</v>
      </c>
      <c r="BG418" t="s">
        <v>74</v>
      </c>
      <c r="BH418" t="s">
        <v>74</v>
      </c>
      <c r="BI418" t="s">
        <v>74</v>
      </c>
      <c r="BJ418" t="s">
        <v>74</v>
      </c>
      <c r="BK418" t="s">
        <v>74</v>
      </c>
      <c r="BL418" t="s">
        <v>74</v>
      </c>
      <c r="BM418" t="s">
        <v>74</v>
      </c>
      <c r="BN418" t="s">
        <v>74</v>
      </c>
      <c r="BO418" t="s">
        <v>74</v>
      </c>
      <c r="BP418" t="s">
        <v>74</v>
      </c>
      <c r="BQ418" t="s">
        <v>74</v>
      </c>
      <c r="BR418" t="s">
        <v>74</v>
      </c>
      <c r="BS418" t="s">
        <v>3231</v>
      </c>
      <c r="BT418" t="str">
        <f>HYPERLINK("https%3A%2F%2Fwww.webofscience.com%2Fwos%2Fwoscc%2Ffull-record%2FWOS:000417229100013","View Full Record in Web of Science")</f>
        <v>View Full Record in Web of Science</v>
      </c>
    </row>
    <row r="419" spans="1:72" x14ac:dyDescent="0.2">
      <c r="A419" t="s">
        <v>72</v>
      </c>
      <c r="B419" t="s">
        <v>3232</v>
      </c>
      <c r="C419" t="s">
        <v>74</v>
      </c>
      <c r="D419" t="s">
        <v>74</v>
      </c>
      <c r="E419" t="s">
        <v>74</v>
      </c>
      <c r="F419" t="s">
        <v>3233</v>
      </c>
      <c r="G419" t="s">
        <v>74</v>
      </c>
      <c r="H419" t="s">
        <v>74</v>
      </c>
      <c r="I419" t="s">
        <v>3234</v>
      </c>
      <c r="J419" t="s">
        <v>2526</v>
      </c>
      <c r="K419" t="s">
        <v>74</v>
      </c>
      <c r="L419" t="s">
        <v>74</v>
      </c>
      <c r="M419" t="s">
        <v>74</v>
      </c>
      <c r="N419" t="s">
        <v>74</v>
      </c>
      <c r="O419" t="s">
        <v>74</v>
      </c>
      <c r="P419" t="s">
        <v>74</v>
      </c>
      <c r="Q419" t="s">
        <v>74</v>
      </c>
      <c r="R419" t="s">
        <v>74</v>
      </c>
      <c r="S419" t="s">
        <v>74</v>
      </c>
      <c r="T419" t="s">
        <v>74</v>
      </c>
      <c r="U419" t="s">
        <v>74</v>
      </c>
      <c r="V419" t="s">
        <v>74</v>
      </c>
      <c r="W419" t="s">
        <v>74</v>
      </c>
      <c r="X419" t="s">
        <v>74</v>
      </c>
      <c r="Y419" t="s">
        <v>74</v>
      </c>
      <c r="Z419" t="s">
        <v>74</v>
      </c>
      <c r="AA419" t="s">
        <v>3235</v>
      </c>
      <c r="AB419" t="s">
        <v>3236</v>
      </c>
      <c r="AC419" t="s">
        <v>74</v>
      </c>
      <c r="AD419" t="s">
        <v>74</v>
      </c>
      <c r="AE419" t="s">
        <v>74</v>
      </c>
      <c r="AF419" t="s">
        <v>74</v>
      </c>
      <c r="AG419" t="s">
        <v>74</v>
      </c>
      <c r="AH419" t="s">
        <v>74</v>
      </c>
      <c r="AI419" t="s">
        <v>74</v>
      </c>
      <c r="AJ419" t="s">
        <v>74</v>
      </c>
      <c r="AK419" t="s">
        <v>74</v>
      </c>
      <c r="AL419" t="s">
        <v>74</v>
      </c>
      <c r="AM419" t="s">
        <v>74</v>
      </c>
      <c r="AN419" t="s">
        <v>74</v>
      </c>
      <c r="AO419" t="s">
        <v>2527</v>
      </c>
      <c r="AP419" t="s">
        <v>74</v>
      </c>
      <c r="AQ419" t="s">
        <v>74</v>
      </c>
      <c r="AR419" t="s">
        <v>74</v>
      </c>
      <c r="AS419" t="s">
        <v>74</v>
      </c>
      <c r="AT419" t="s">
        <v>3237</v>
      </c>
      <c r="AU419">
        <v>2017</v>
      </c>
      <c r="AV419">
        <v>114</v>
      </c>
      <c r="AW419">
        <v>37</v>
      </c>
      <c r="AX419" t="s">
        <v>74</v>
      </c>
      <c r="AY419" t="s">
        <v>74</v>
      </c>
      <c r="AZ419" t="s">
        <v>74</v>
      </c>
      <c r="BA419" t="s">
        <v>74</v>
      </c>
      <c r="BB419">
        <v>9930</v>
      </c>
      <c r="BC419">
        <v>9935</v>
      </c>
      <c r="BD419" t="s">
        <v>74</v>
      </c>
      <c r="BE419" t="s">
        <v>3238</v>
      </c>
      <c r="BF419" t="str">
        <f>HYPERLINK("http://dx.doi.org/10.1073/pnas.1703375114","http://dx.doi.org/10.1073/pnas.1703375114")</f>
        <v>http://dx.doi.org/10.1073/pnas.1703375114</v>
      </c>
      <c r="BG419" t="s">
        <v>74</v>
      </c>
      <c r="BH419" t="s">
        <v>74</v>
      </c>
      <c r="BI419" t="s">
        <v>74</v>
      </c>
      <c r="BJ419" t="s">
        <v>74</v>
      </c>
      <c r="BK419" t="s">
        <v>74</v>
      </c>
      <c r="BL419" t="s">
        <v>74</v>
      </c>
      <c r="BM419" t="s">
        <v>74</v>
      </c>
      <c r="BN419">
        <v>28847969</v>
      </c>
      <c r="BO419" t="s">
        <v>74</v>
      </c>
      <c r="BP419" t="s">
        <v>74</v>
      </c>
      <c r="BQ419" t="s">
        <v>74</v>
      </c>
      <c r="BR419" t="s">
        <v>74</v>
      </c>
      <c r="BS419" t="s">
        <v>3239</v>
      </c>
      <c r="BT419" t="str">
        <f>HYPERLINK("https%3A%2F%2Fwww.webofscience.com%2Fwos%2Fwoscc%2Ffull-record%2FWOS:000410293400059","View Full Record in Web of Science")</f>
        <v>View Full Record in Web of Science</v>
      </c>
    </row>
    <row r="420" spans="1:72" x14ac:dyDescent="0.2">
      <c r="A420" t="s">
        <v>72</v>
      </c>
      <c r="B420" t="s">
        <v>3240</v>
      </c>
      <c r="C420" t="s">
        <v>74</v>
      </c>
      <c r="D420" t="s">
        <v>74</v>
      </c>
      <c r="E420" t="s">
        <v>74</v>
      </c>
      <c r="F420" t="s">
        <v>3241</v>
      </c>
      <c r="G420" t="s">
        <v>74</v>
      </c>
      <c r="H420" t="s">
        <v>74</v>
      </c>
      <c r="I420" t="s">
        <v>3242</v>
      </c>
      <c r="J420" t="s">
        <v>190</v>
      </c>
      <c r="K420" t="s">
        <v>74</v>
      </c>
      <c r="L420" t="s">
        <v>74</v>
      </c>
      <c r="M420" t="s">
        <v>74</v>
      </c>
      <c r="N420" t="s">
        <v>74</v>
      </c>
      <c r="O420" t="s">
        <v>74</v>
      </c>
      <c r="P420" t="s">
        <v>74</v>
      </c>
      <c r="Q420" t="s">
        <v>74</v>
      </c>
      <c r="R420" t="s">
        <v>74</v>
      </c>
      <c r="S420" t="s">
        <v>74</v>
      </c>
      <c r="T420" t="s">
        <v>74</v>
      </c>
      <c r="U420" t="s">
        <v>74</v>
      </c>
      <c r="V420" t="s">
        <v>74</v>
      </c>
      <c r="W420" t="s">
        <v>74</v>
      </c>
      <c r="X420" t="s">
        <v>74</v>
      </c>
      <c r="Y420" t="s">
        <v>74</v>
      </c>
      <c r="Z420" t="s">
        <v>74</v>
      </c>
      <c r="AA420" t="s">
        <v>3243</v>
      </c>
      <c r="AB420" t="s">
        <v>3244</v>
      </c>
      <c r="AC420" t="s">
        <v>74</v>
      </c>
      <c r="AD420" t="s">
        <v>74</v>
      </c>
      <c r="AE420" t="s">
        <v>74</v>
      </c>
      <c r="AF420" t="s">
        <v>74</v>
      </c>
      <c r="AG420" t="s">
        <v>74</v>
      </c>
      <c r="AH420" t="s">
        <v>74</v>
      </c>
      <c r="AI420" t="s">
        <v>74</v>
      </c>
      <c r="AJ420" t="s">
        <v>74</v>
      </c>
      <c r="AK420" t="s">
        <v>74</v>
      </c>
      <c r="AL420" t="s">
        <v>74</v>
      </c>
      <c r="AM420" t="s">
        <v>74</v>
      </c>
      <c r="AN420" t="s">
        <v>74</v>
      </c>
      <c r="AO420" t="s">
        <v>191</v>
      </c>
      <c r="AP420" t="s">
        <v>74</v>
      </c>
      <c r="AQ420" t="s">
        <v>74</v>
      </c>
      <c r="AR420" t="s">
        <v>74</v>
      </c>
      <c r="AS420" t="s">
        <v>74</v>
      </c>
      <c r="AT420" t="s">
        <v>3245</v>
      </c>
      <c r="AU420">
        <v>2017</v>
      </c>
      <c r="AV420">
        <v>8</v>
      </c>
      <c r="AW420" t="s">
        <v>74</v>
      </c>
      <c r="AX420" t="s">
        <v>74</v>
      </c>
      <c r="AY420" t="s">
        <v>74</v>
      </c>
      <c r="AZ420" t="s">
        <v>74</v>
      </c>
      <c r="BA420" t="s">
        <v>74</v>
      </c>
      <c r="BB420" t="s">
        <v>74</v>
      </c>
      <c r="BC420" t="s">
        <v>74</v>
      </c>
      <c r="BD420">
        <v>1692</v>
      </c>
      <c r="BE420" t="s">
        <v>3246</v>
      </c>
      <c r="BF420" t="str">
        <f>HYPERLINK("http://dx.doi.org/10.3389/fmicb.2017.01692","http://dx.doi.org/10.3389/fmicb.2017.01692")</f>
        <v>http://dx.doi.org/10.3389/fmicb.2017.01692</v>
      </c>
      <c r="BG420" t="s">
        <v>74</v>
      </c>
      <c r="BH420" t="s">
        <v>74</v>
      </c>
      <c r="BI420" t="s">
        <v>74</v>
      </c>
      <c r="BJ420" t="s">
        <v>74</v>
      </c>
      <c r="BK420" t="s">
        <v>74</v>
      </c>
      <c r="BL420" t="s">
        <v>74</v>
      </c>
      <c r="BM420" t="s">
        <v>74</v>
      </c>
      <c r="BN420">
        <v>28943865</v>
      </c>
      <c r="BO420" t="s">
        <v>74</v>
      </c>
      <c r="BP420" t="s">
        <v>74</v>
      </c>
      <c r="BQ420" t="s">
        <v>74</v>
      </c>
      <c r="BR420" t="s">
        <v>74</v>
      </c>
      <c r="BS420" t="s">
        <v>3247</v>
      </c>
      <c r="BT420" t="str">
        <f>HYPERLINK("https%3A%2F%2Fwww.webofscience.com%2Fwos%2Fwoscc%2Ffull-record%2FWOS:000409874500001","View Full Record in Web of Science")</f>
        <v>View Full Record in Web of Science</v>
      </c>
    </row>
    <row r="421" spans="1:72" x14ac:dyDescent="0.2">
      <c r="A421" t="s">
        <v>72</v>
      </c>
      <c r="B421" t="s">
        <v>3248</v>
      </c>
      <c r="C421" t="s">
        <v>74</v>
      </c>
      <c r="D421" t="s">
        <v>74</v>
      </c>
      <c r="E421" t="s">
        <v>74</v>
      </c>
      <c r="F421" t="s">
        <v>3249</v>
      </c>
      <c r="G421" t="s">
        <v>74</v>
      </c>
      <c r="H421" t="s">
        <v>74</v>
      </c>
      <c r="I421" t="s">
        <v>3250</v>
      </c>
      <c r="J421" t="s">
        <v>673</v>
      </c>
      <c r="K421" t="s">
        <v>74</v>
      </c>
      <c r="L421" t="s">
        <v>74</v>
      </c>
      <c r="M421" t="s">
        <v>74</v>
      </c>
      <c r="N421" t="s">
        <v>74</v>
      </c>
      <c r="O421" t="s">
        <v>74</v>
      </c>
      <c r="P421" t="s">
        <v>74</v>
      </c>
      <c r="Q421" t="s">
        <v>74</v>
      </c>
      <c r="R421" t="s">
        <v>74</v>
      </c>
      <c r="S421" t="s">
        <v>74</v>
      </c>
      <c r="T421" t="s">
        <v>74</v>
      </c>
      <c r="U421" t="s">
        <v>74</v>
      </c>
      <c r="V421" t="s">
        <v>74</v>
      </c>
      <c r="W421" t="s">
        <v>74</v>
      </c>
      <c r="X421" t="s">
        <v>74</v>
      </c>
      <c r="Y421" t="s">
        <v>74</v>
      </c>
      <c r="Z421" t="s">
        <v>74</v>
      </c>
      <c r="AA421" t="s">
        <v>3251</v>
      </c>
      <c r="AB421" t="s">
        <v>3252</v>
      </c>
      <c r="AC421" t="s">
        <v>74</v>
      </c>
      <c r="AD421" t="s">
        <v>74</v>
      </c>
      <c r="AE421" t="s">
        <v>74</v>
      </c>
      <c r="AF421" t="s">
        <v>74</v>
      </c>
      <c r="AG421" t="s">
        <v>74</v>
      </c>
      <c r="AH421" t="s">
        <v>74</v>
      </c>
      <c r="AI421" t="s">
        <v>74</v>
      </c>
      <c r="AJ421" t="s">
        <v>74</v>
      </c>
      <c r="AK421" t="s">
        <v>74</v>
      </c>
      <c r="AL421" t="s">
        <v>74</v>
      </c>
      <c r="AM421" t="s">
        <v>74</v>
      </c>
      <c r="AN421" t="s">
        <v>74</v>
      </c>
      <c r="AO421" t="s">
        <v>674</v>
      </c>
      <c r="AP421" t="s">
        <v>675</v>
      </c>
      <c r="AQ421" t="s">
        <v>74</v>
      </c>
      <c r="AR421" t="s">
        <v>74</v>
      </c>
      <c r="AS421" t="s">
        <v>74</v>
      </c>
      <c r="AT421" t="s">
        <v>451</v>
      </c>
      <c r="AU421">
        <v>2017</v>
      </c>
      <c r="AV421">
        <v>143</v>
      </c>
      <c r="AW421" t="s">
        <v>74</v>
      </c>
      <c r="AX421" t="s">
        <v>74</v>
      </c>
      <c r="AY421" t="s">
        <v>74</v>
      </c>
      <c r="AZ421" t="s">
        <v>74</v>
      </c>
      <c r="BA421" t="s">
        <v>74</v>
      </c>
      <c r="BB421">
        <v>228</v>
      </c>
      <c r="BC421">
        <v>235</v>
      </c>
      <c r="BD421" t="s">
        <v>74</v>
      </c>
      <c r="BE421" t="s">
        <v>3253</v>
      </c>
      <c r="BF421" t="str">
        <f>HYPERLINK("http://dx.doi.org/10.1016/j.ecoenv.2017.05.030","http://dx.doi.org/10.1016/j.ecoenv.2017.05.030")</f>
        <v>http://dx.doi.org/10.1016/j.ecoenv.2017.05.030</v>
      </c>
      <c r="BG421" t="s">
        <v>74</v>
      </c>
      <c r="BH421" t="s">
        <v>74</v>
      </c>
      <c r="BI421" t="s">
        <v>74</v>
      </c>
      <c r="BJ421" t="s">
        <v>74</v>
      </c>
      <c r="BK421" t="s">
        <v>74</v>
      </c>
      <c r="BL421" t="s">
        <v>74</v>
      </c>
      <c r="BM421" t="s">
        <v>74</v>
      </c>
      <c r="BN421">
        <v>28551580</v>
      </c>
      <c r="BO421" t="s">
        <v>74</v>
      </c>
      <c r="BP421" t="s">
        <v>74</v>
      </c>
      <c r="BQ421" t="s">
        <v>74</v>
      </c>
      <c r="BR421" t="s">
        <v>74</v>
      </c>
      <c r="BS421" t="s">
        <v>3254</v>
      </c>
      <c r="BT421" t="str">
        <f>HYPERLINK("https%3A%2F%2Fwww.webofscience.com%2Fwos%2Fwoscc%2Ffull-record%2FWOS:000404095100030","View Full Record in Web of Science")</f>
        <v>View Full Record in Web of Science</v>
      </c>
    </row>
    <row r="422" spans="1:72" x14ac:dyDescent="0.2">
      <c r="A422" t="s">
        <v>72</v>
      </c>
      <c r="B422" t="s">
        <v>3255</v>
      </c>
      <c r="C422" t="s">
        <v>74</v>
      </c>
      <c r="D422" t="s">
        <v>74</v>
      </c>
      <c r="E422" t="s">
        <v>74</v>
      </c>
      <c r="F422" t="s">
        <v>3256</v>
      </c>
      <c r="G422" t="s">
        <v>74</v>
      </c>
      <c r="H422" t="s">
        <v>74</v>
      </c>
      <c r="I422" t="s">
        <v>3257</v>
      </c>
      <c r="J422" t="s">
        <v>3258</v>
      </c>
      <c r="K422" t="s">
        <v>74</v>
      </c>
      <c r="L422" t="s">
        <v>74</v>
      </c>
      <c r="M422" t="s">
        <v>74</v>
      </c>
      <c r="N422" t="s">
        <v>74</v>
      </c>
      <c r="O422" t="s">
        <v>3259</v>
      </c>
      <c r="P422">
        <v>2016</v>
      </c>
      <c r="Q422" t="s">
        <v>3260</v>
      </c>
      <c r="R422" t="s">
        <v>3261</v>
      </c>
      <c r="S422" t="s">
        <v>74</v>
      </c>
      <c r="T422" t="s">
        <v>74</v>
      </c>
      <c r="U422" t="s">
        <v>74</v>
      </c>
      <c r="V422" t="s">
        <v>74</v>
      </c>
      <c r="W422" t="s">
        <v>74</v>
      </c>
      <c r="X422" t="s">
        <v>74</v>
      </c>
      <c r="Y422" t="s">
        <v>74</v>
      </c>
      <c r="Z422" t="s">
        <v>74</v>
      </c>
      <c r="AA422" t="s">
        <v>3262</v>
      </c>
      <c r="AB422" t="s">
        <v>3263</v>
      </c>
      <c r="AC422" t="s">
        <v>74</v>
      </c>
      <c r="AD422" t="s">
        <v>74</v>
      </c>
      <c r="AE422" t="s">
        <v>74</v>
      </c>
      <c r="AF422" t="s">
        <v>74</v>
      </c>
      <c r="AG422" t="s">
        <v>74</v>
      </c>
      <c r="AH422" t="s">
        <v>74</v>
      </c>
      <c r="AI422" t="s">
        <v>74</v>
      </c>
      <c r="AJ422" t="s">
        <v>74</v>
      </c>
      <c r="AK422" t="s">
        <v>74</v>
      </c>
      <c r="AL422" t="s">
        <v>74</v>
      </c>
      <c r="AM422" t="s">
        <v>74</v>
      </c>
      <c r="AN422" t="s">
        <v>74</v>
      </c>
      <c r="AO422" t="s">
        <v>3264</v>
      </c>
      <c r="AP422" t="s">
        <v>3265</v>
      </c>
      <c r="AQ422" t="s">
        <v>74</v>
      </c>
      <c r="AR422" t="s">
        <v>74</v>
      </c>
      <c r="AS422" t="s">
        <v>74</v>
      </c>
      <c r="AT422" t="s">
        <v>451</v>
      </c>
      <c r="AU422">
        <v>2017</v>
      </c>
      <c r="AV422">
        <v>105</v>
      </c>
      <c r="AW422">
        <v>3</v>
      </c>
      <c r="AX422" t="s">
        <v>74</v>
      </c>
      <c r="AY422" t="s">
        <v>74</v>
      </c>
      <c r="AZ422" t="s">
        <v>74</v>
      </c>
      <c r="BA422" t="s">
        <v>74</v>
      </c>
      <c r="BB422">
        <v>523</v>
      </c>
      <c r="BC422">
        <v>532</v>
      </c>
      <c r="BD422" t="s">
        <v>74</v>
      </c>
      <c r="BE422" t="s">
        <v>3266</v>
      </c>
      <c r="BF422" t="str">
        <f>HYPERLINK("http://dx.doi.org/10.1643/CE-16-527","http://dx.doi.org/10.1643/CE-16-527")</f>
        <v>http://dx.doi.org/10.1643/CE-16-527</v>
      </c>
      <c r="BG422" t="s">
        <v>74</v>
      </c>
      <c r="BH422" t="s">
        <v>74</v>
      </c>
      <c r="BI422" t="s">
        <v>74</v>
      </c>
      <c r="BJ422" t="s">
        <v>74</v>
      </c>
      <c r="BK422" t="s">
        <v>74</v>
      </c>
      <c r="BL422" t="s">
        <v>74</v>
      </c>
      <c r="BM422" t="s">
        <v>74</v>
      </c>
      <c r="BN422" t="s">
        <v>74</v>
      </c>
      <c r="BO422" t="s">
        <v>74</v>
      </c>
      <c r="BP422" t="s">
        <v>74</v>
      </c>
      <c r="BQ422" t="s">
        <v>74</v>
      </c>
      <c r="BR422" t="s">
        <v>74</v>
      </c>
      <c r="BS422" t="s">
        <v>3267</v>
      </c>
      <c r="BT422" t="str">
        <f>HYPERLINK("https%3A%2F%2Fwww.webofscience.com%2Fwos%2Fwoscc%2Ffull-record%2FWOS:000412751500009","View Full Record in Web of Science")</f>
        <v>View Full Record in Web of Science</v>
      </c>
    </row>
    <row r="423" spans="1:72" x14ac:dyDescent="0.2">
      <c r="A423" t="s">
        <v>72</v>
      </c>
      <c r="B423" t="s">
        <v>3268</v>
      </c>
      <c r="C423" t="s">
        <v>74</v>
      </c>
      <c r="D423" t="s">
        <v>74</v>
      </c>
      <c r="E423" t="s">
        <v>74</v>
      </c>
      <c r="F423" t="s">
        <v>3269</v>
      </c>
      <c r="G423" t="s">
        <v>74</v>
      </c>
      <c r="H423" t="s">
        <v>74</v>
      </c>
      <c r="I423" t="s">
        <v>3270</v>
      </c>
      <c r="J423" t="s">
        <v>3271</v>
      </c>
      <c r="K423" t="s">
        <v>74</v>
      </c>
      <c r="L423" t="s">
        <v>74</v>
      </c>
      <c r="M423" t="s">
        <v>74</v>
      </c>
      <c r="N423" t="s">
        <v>74</v>
      </c>
      <c r="O423" t="s">
        <v>74</v>
      </c>
      <c r="P423" t="s">
        <v>74</v>
      </c>
      <c r="Q423" t="s">
        <v>74</v>
      </c>
      <c r="R423" t="s">
        <v>74</v>
      </c>
      <c r="S423" t="s">
        <v>74</v>
      </c>
      <c r="T423" t="s">
        <v>74</v>
      </c>
      <c r="U423" t="s">
        <v>74</v>
      </c>
      <c r="V423" t="s">
        <v>74</v>
      </c>
      <c r="W423" t="s">
        <v>74</v>
      </c>
      <c r="X423" t="s">
        <v>74</v>
      </c>
      <c r="Y423" t="s">
        <v>74</v>
      </c>
      <c r="Z423" t="s">
        <v>74</v>
      </c>
      <c r="AA423" t="s">
        <v>3272</v>
      </c>
      <c r="AB423" t="s">
        <v>3273</v>
      </c>
      <c r="AC423" t="s">
        <v>74</v>
      </c>
      <c r="AD423" t="s">
        <v>74</v>
      </c>
      <c r="AE423" t="s">
        <v>74</v>
      </c>
      <c r="AF423" t="s">
        <v>74</v>
      </c>
      <c r="AG423" t="s">
        <v>74</v>
      </c>
      <c r="AH423" t="s">
        <v>74</v>
      </c>
      <c r="AI423" t="s">
        <v>74</v>
      </c>
      <c r="AJ423" t="s">
        <v>74</v>
      </c>
      <c r="AK423" t="s">
        <v>74</v>
      </c>
      <c r="AL423" t="s">
        <v>74</v>
      </c>
      <c r="AM423" t="s">
        <v>74</v>
      </c>
      <c r="AN423" t="s">
        <v>74</v>
      </c>
      <c r="AO423" t="s">
        <v>3274</v>
      </c>
      <c r="AP423" t="s">
        <v>3275</v>
      </c>
      <c r="AQ423" t="s">
        <v>74</v>
      </c>
      <c r="AR423" t="s">
        <v>74</v>
      </c>
      <c r="AS423" t="s">
        <v>74</v>
      </c>
      <c r="AT423" t="s">
        <v>451</v>
      </c>
      <c r="AU423">
        <v>2017</v>
      </c>
      <c r="AV423">
        <v>67</v>
      </c>
      <c r="AW423">
        <v>9</v>
      </c>
      <c r="AX423" t="s">
        <v>74</v>
      </c>
      <c r="AY423" t="s">
        <v>74</v>
      </c>
      <c r="AZ423" t="s">
        <v>74</v>
      </c>
      <c r="BA423" t="s">
        <v>74</v>
      </c>
      <c r="BB423">
        <v>3261</v>
      </c>
      <c r="BC423">
        <v>3267</v>
      </c>
      <c r="BD423" t="s">
        <v>74</v>
      </c>
      <c r="BE423" t="s">
        <v>3276</v>
      </c>
      <c r="BF423" t="str">
        <f>HYPERLINK("http://dx.doi.org/10.1099/ijsem.0.002096","http://dx.doi.org/10.1099/ijsem.0.002096")</f>
        <v>http://dx.doi.org/10.1099/ijsem.0.002096</v>
      </c>
      <c r="BG423" t="s">
        <v>74</v>
      </c>
      <c r="BH423" t="s">
        <v>74</v>
      </c>
      <c r="BI423" t="s">
        <v>74</v>
      </c>
      <c r="BJ423" t="s">
        <v>74</v>
      </c>
      <c r="BK423" t="s">
        <v>74</v>
      </c>
      <c r="BL423" t="s">
        <v>74</v>
      </c>
      <c r="BM423" t="s">
        <v>74</v>
      </c>
      <c r="BN423">
        <v>28829016</v>
      </c>
      <c r="BO423" t="s">
        <v>74</v>
      </c>
      <c r="BP423" t="s">
        <v>74</v>
      </c>
      <c r="BQ423" t="s">
        <v>74</v>
      </c>
      <c r="BR423" t="s">
        <v>74</v>
      </c>
      <c r="BS423" t="s">
        <v>3277</v>
      </c>
      <c r="BT423" t="str">
        <f>HYPERLINK("https%3A%2F%2Fwww.webofscience.com%2Fwos%2Fwoscc%2Ffull-record%2FWOS:000417836100021","View Full Record in Web of Science")</f>
        <v>View Full Record in Web of Science</v>
      </c>
    </row>
    <row r="424" spans="1:72" x14ac:dyDescent="0.2">
      <c r="A424" t="s">
        <v>72</v>
      </c>
      <c r="B424" t="s">
        <v>3278</v>
      </c>
      <c r="C424" t="s">
        <v>74</v>
      </c>
      <c r="D424" t="s">
        <v>74</v>
      </c>
      <c r="E424" t="s">
        <v>74</v>
      </c>
      <c r="F424" t="s">
        <v>3279</v>
      </c>
      <c r="G424" t="s">
        <v>74</v>
      </c>
      <c r="H424" t="s">
        <v>74</v>
      </c>
      <c r="I424" t="s">
        <v>3280</v>
      </c>
      <c r="J424" t="s">
        <v>124</v>
      </c>
      <c r="K424" t="s">
        <v>74</v>
      </c>
      <c r="L424" t="s">
        <v>74</v>
      </c>
      <c r="M424" t="s">
        <v>74</v>
      </c>
      <c r="N424" t="s">
        <v>74</v>
      </c>
      <c r="O424" t="s">
        <v>74</v>
      </c>
      <c r="P424" t="s">
        <v>74</v>
      </c>
      <c r="Q424" t="s">
        <v>74</v>
      </c>
      <c r="R424" t="s">
        <v>74</v>
      </c>
      <c r="S424" t="s">
        <v>74</v>
      </c>
      <c r="T424" t="s">
        <v>74</v>
      </c>
      <c r="U424" t="s">
        <v>74</v>
      </c>
      <c r="V424" t="s">
        <v>74</v>
      </c>
      <c r="W424" t="s">
        <v>74</v>
      </c>
      <c r="X424" t="s">
        <v>74</v>
      </c>
      <c r="Y424" t="s">
        <v>74</v>
      </c>
      <c r="Z424" t="s">
        <v>74</v>
      </c>
      <c r="AA424" t="s">
        <v>74</v>
      </c>
      <c r="AB424" t="s">
        <v>74</v>
      </c>
      <c r="AC424" t="s">
        <v>74</v>
      </c>
      <c r="AD424" t="s">
        <v>74</v>
      </c>
      <c r="AE424" t="s">
        <v>74</v>
      </c>
      <c r="AF424" t="s">
        <v>74</v>
      </c>
      <c r="AG424" t="s">
        <v>74</v>
      </c>
      <c r="AH424" t="s">
        <v>74</v>
      </c>
      <c r="AI424" t="s">
        <v>74</v>
      </c>
      <c r="AJ424" t="s">
        <v>74</v>
      </c>
      <c r="AK424" t="s">
        <v>74</v>
      </c>
      <c r="AL424" t="s">
        <v>74</v>
      </c>
      <c r="AM424" t="s">
        <v>74</v>
      </c>
      <c r="AN424" t="s">
        <v>74</v>
      </c>
      <c r="AO424" t="s">
        <v>127</v>
      </c>
      <c r="AP424" t="s">
        <v>128</v>
      </c>
      <c r="AQ424" t="s">
        <v>74</v>
      </c>
      <c r="AR424" t="s">
        <v>74</v>
      </c>
      <c r="AS424" t="s">
        <v>74</v>
      </c>
      <c r="AT424" t="s">
        <v>451</v>
      </c>
      <c r="AU424">
        <v>2017</v>
      </c>
      <c r="AV424">
        <v>799</v>
      </c>
      <c r="AW424">
        <v>1</v>
      </c>
      <c r="AX424" t="s">
        <v>74</v>
      </c>
      <c r="AY424" t="s">
        <v>74</v>
      </c>
      <c r="AZ424" t="s">
        <v>74</v>
      </c>
      <c r="BA424" t="s">
        <v>74</v>
      </c>
      <c r="BB424">
        <v>83</v>
      </c>
      <c r="BC424">
        <v>99</v>
      </c>
      <c r="BD424" t="s">
        <v>74</v>
      </c>
      <c r="BE424" t="s">
        <v>3281</v>
      </c>
      <c r="BF424" t="str">
        <f>HYPERLINK("http://dx.doi.org/10.1007/s10750-017-3199-y","http://dx.doi.org/10.1007/s10750-017-3199-y")</f>
        <v>http://dx.doi.org/10.1007/s10750-017-3199-y</v>
      </c>
      <c r="BG424" t="s">
        <v>74</v>
      </c>
      <c r="BH424" t="s">
        <v>74</v>
      </c>
      <c r="BI424" t="s">
        <v>74</v>
      </c>
      <c r="BJ424" t="s">
        <v>74</v>
      </c>
      <c r="BK424" t="s">
        <v>74</v>
      </c>
      <c r="BL424" t="s">
        <v>74</v>
      </c>
      <c r="BM424" t="s">
        <v>74</v>
      </c>
      <c r="BN424" t="s">
        <v>74</v>
      </c>
      <c r="BO424" t="s">
        <v>74</v>
      </c>
      <c r="BP424" t="s">
        <v>74</v>
      </c>
      <c r="BQ424" t="s">
        <v>74</v>
      </c>
      <c r="BR424" t="s">
        <v>74</v>
      </c>
      <c r="BS424" t="s">
        <v>3282</v>
      </c>
      <c r="BT424" t="str">
        <f>HYPERLINK("https%3A%2F%2Fwww.webofscience.com%2Fwos%2Fwoscc%2Ffull-record%2FWOS:000405720000006","View Full Record in Web of Science")</f>
        <v>View Full Record in Web of Science</v>
      </c>
    </row>
    <row r="425" spans="1:72" x14ac:dyDescent="0.2">
      <c r="A425" t="s">
        <v>72</v>
      </c>
      <c r="B425" t="s">
        <v>3283</v>
      </c>
      <c r="C425" t="s">
        <v>74</v>
      </c>
      <c r="D425" t="s">
        <v>74</v>
      </c>
      <c r="E425" t="s">
        <v>74</v>
      </c>
      <c r="F425" t="s">
        <v>3284</v>
      </c>
      <c r="G425" t="s">
        <v>74</v>
      </c>
      <c r="H425" t="s">
        <v>74</v>
      </c>
      <c r="I425" t="s">
        <v>3285</v>
      </c>
      <c r="J425" t="s">
        <v>3286</v>
      </c>
      <c r="K425" t="s">
        <v>74</v>
      </c>
      <c r="L425" t="s">
        <v>74</v>
      </c>
      <c r="M425" t="s">
        <v>74</v>
      </c>
      <c r="N425" t="s">
        <v>74</v>
      </c>
      <c r="O425" t="s">
        <v>74</v>
      </c>
      <c r="P425" t="s">
        <v>74</v>
      </c>
      <c r="Q425" t="s">
        <v>74</v>
      </c>
      <c r="R425" t="s">
        <v>74</v>
      </c>
      <c r="S425" t="s">
        <v>74</v>
      </c>
      <c r="T425" t="s">
        <v>74</v>
      </c>
      <c r="U425" t="s">
        <v>74</v>
      </c>
      <c r="V425" t="s">
        <v>74</v>
      </c>
      <c r="W425" t="s">
        <v>74</v>
      </c>
      <c r="X425" t="s">
        <v>74</v>
      </c>
      <c r="Y425" t="s">
        <v>74</v>
      </c>
      <c r="Z425" t="s">
        <v>74</v>
      </c>
      <c r="AA425" t="s">
        <v>3287</v>
      </c>
      <c r="AB425" t="s">
        <v>3288</v>
      </c>
      <c r="AC425" t="s">
        <v>74</v>
      </c>
      <c r="AD425" t="s">
        <v>74</v>
      </c>
      <c r="AE425" t="s">
        <v>74</v>
      </c>
      <c r="AF425" t="s">
        <v>74</v>
      </c>
      <c r="AG425" t="s">
        <v>74</v>
      </c>
      <c r="AH425" t="s">
        <v>74</v>
      </c>
      <c r="AI425" t="s">
        <v>74</v>
      </c>
      <c r="AJ425" t="s">
        <v>74</v>
      </c>
      <c r="AK425" t="s">
        <v>74</v>
      </c>
      <c r="AL425" t="s">
        <v>74</v>
      </c>
      <c r="AM425" t="s">
        <v>74</v>
      </c>
      <c r="AN425" t="s">
        <v>74</v>
      </c>
      <c r="AO425" t="s">
        <v>3289</v>
      </c>
      <c r="AP425" t="s">
        <v>3290</v>
      </c>
      <c r="AQ425" t="s">
        <v>74</v>
      </c>
      <c r="AR425" t="s">
        <v>74</v>
      </c>
      <c r="AS425" t="s">
        <v>74</v>
      </c>
      <c r="AT425" t="s">
        <v>451</v>
      </c>
      <c r="AU425">
        <v>2017</v>
      </c>
      <c r="AV425">
        <v>12</v>
      </c>
      <c r="AW425">
        <v>3</v>
      </c>
      <c r="AX425" t="s">
        <v>74</v>
      </c>
      <c r="AY425" t="s">
        <v>74</v>
      </c>
      <c r="AZ425" t="s">
        <v>632</v>
      </c>
      <c r="BA425" t="s">
        <v>74</v>
      </c>
      <c r="BB425">
        <v>385</v>
      </c>
      <c r="BC425">
        <v>395</v>
      </c>
      <c r="BD425" t="s">
        <v>74</v>
      </c>
      <c r="BE425" t="s">
        <v>3291</v>
      </c>
      <c r="BF425" t="str">
        <f>HYPERLINK("http://dx.doi.org/10.3391/ai.2017.12.3.11","http://dx.doi.org/10.3391/ai.2017.12.3.11")</f>
        <v>http://dx.doi.org/10.3391/ai.2017.12.3.11</v>
      </c>
      <c r="BG425" t="s">
        <v>74</v>
      </c>
      <c r="BH425" t="s">
        <v>74</v>
      </c>
      <c r="BI425" t="s">
        <v>74</v>
      </c>
      <c r="BJ425" t="s">
        <v>74</v>
      </c>
      <c r="BK425" t="s">
        <v>74</v>
      </c>
      <c r="BL425" t="s">
        <v>74</v>
      </c>
      <c r="BM425" t="s">
        <v>74</v>
      </c>
      <c r="BN425" t="s">
        <v>74</v>
      </c>
      <c r="BO425" t="s">
        <v>74</v>
      </c>
      <c r="BP425" t="s">
        <v>74</v>
      </c>
      <c r="BQ425" t="s">
        <v>74</v>
      </c>
      <c r="BR425" t="s">
        <v>74</v>
      </c>
      <c r="BS425" t="s">
        <v>3292</v>
      </c>
      <c r="BT425" t="str">
        <f>HYPERLINK("https%3A%2F%2Fwww.webofscience.com%2Fwos%2Fwoscc%2Ffull-record%2FWOS:000413823900011","View Full Record in Web of Science")</f>
        <v>View Full Record in Web of Science</v>
      </c>
    </row>
    <row r="426" spans="1:72" x14ac:dyDescent="0.2">
      <c r="A426" t="s">
        <v>72</v>
      </c>
      <c r="B426" t="s">
        <v>3293</v>
      </c>
      <c r="C426" t="s">
        <v>74</v>
      </c>
      <c r="D426" t="s">
        <v>74</v>
      </c>
      <c r="E426" t="s">
        <v>74</v>
      </c>
      <c r="F426" t="s">
        <v>3294</v>
      </c>
      <c r="G426" t="s">
        <v>74</v>
      </c>
      <c r="H426" t="s">
        <v>74</v>
      </c>
      <c r="I426" t="s">
        <v>3295</v>
      </c>
      <c r="J426" t="s">
        <v>97</v>
      </c>
      <c r="K426" t="s">
        <v>74</v>
      </c>
      <c r="L426" t="s">
        <v>74</v>
      </c>
      <c r="M426" t="s">
        <v>74</v>
      </c>
      <c r="N426" t="s">
        <v>74</v>
      </c>
      <c r="O426" t="s">
        <v>74</v>
      </c>
      <c r="P426" t="s">
        <v>74</v>
      </c>
      <c r="Q426" t="s">
        <v>74</v>
      </c>
      <c r="R426" t="s">
        <v>74</v>
      </c>
      <c r="S426" t="s">
        <v>74</v>
      </c>
      <c r="T426" t="s">
        <v>74</v>
      </c>
      <c r="U426" t="s">
        <v>74</v>
      </c>
      <c r="V426" t="s">
        <v>74</v>
      </c>
      <c r="W426" t="s">
        <v>74</v>
      </c>
      <c r="X426" t="s">
        <v>74</v>
      </c>
      <c r="Y426" t="s">
        <v>74</v>
      </c>
      <c r="Z426" t="s">
        <v>74</v>
      </c>
      <c r="AA426" t="s">
        <v>74</v>
      </c>
      <c r="AB426" t="s">
        <v>3296</v>
      </c>
      <c r="AC426" t="s">
        <v>74</v>
      </c>
      <c r="AD426" t="s">
        <v>74</v>
      </c>
      <c r="AE426" t="s">
        <v>74</v>
      </c>
      <c r="AF426" t="s">
        <v>74</v>
      </c>
      <c r="AG426" t="s">
        <v>74</v>
      </c>
      <c r="AH426" t="s">
        <v>74</v>
      </c>
      <c r="AI426" t="s">
        <v>74</v>
      </c>
      <c r="AJ426" t="s">
        <v>74</v>
      </c>
      <c r="AK426" t="s">
        <v>74</v>
      </c>
      <c r="AL426" t="s">
        <v>74</v>
      </c>
      <c r="AM426" t="s">
        <v>74</v>
      </c>
      <c r="AN426" t="s">
        <v>74</v>
      </c>
      <c r="AO426" t="s">
        <v>98</v>
      </c>
      <c r="AP426" t="s">
        <v>99</v>
      </c>
      <c r="AQ426" t="s">
        <v>74</v>
      </c>
      <c r="AR426" t="s">
        <v>74</v>
      </c>
      <c r="AS426" t="s">
        <v>74</v>
      </c>
      <c r="AT426" t="s">
        <v>451</v>
      </c>
      <c r="AU426">
        <v>2017</v>
      </c>
      <c r="AV426">
        <v>51</v>
      </c>
      <c r="AW426">
        <v>3</v>
      </c>
      <c r="AX426" t="s">
        <v>74</v>
      </c>
      <c r="AY426" t="s">
        <v>74</v>
      </c>
      <c r="AZ426" t="s">
        <v>74</v>
      </c>
      <c r="BA426" t="s">
        <v>74</v>
      </c>
      <c r="BB426">
        <v>449</v>
      </c>
      <c r="BC426">
        <v>461</v>
      </c>
      <c r="BD426" t="s">
        <v>74</v>
      </c>
      <c r="BE426" t="s">
        <v>3297</v>
      </c>
      <c r="BF426" t="str">
        <f>HYPERLINK("http://dx.doi.org/10.1007/s10452-017-9628-1","http://dx.doi.org/10.1007/s10452-017-9628-1")</f>
        <v>http://dx.doi.org/10.1007/s10452-017-9628-1</v>
      </c>
      <c r="BG426" t="s">
        <v>74</v>
      </c>
      <c r="BH426" t="s">
        <v>74</v>
      </c>
      <c r="BI426" t="s">
        <v>74</v>
      </c>
      <c r="BJ426" t="s">
        <v>74</v>
      </c>
      <c r="BK426" t="s">
        <v>74</v>
      </c>
      <c r="BL426" t="s">
        <v>74</v>
      </c>
      <c r="BM426" t="s">
        <v>74</v>
      </c>
      <c r="BN426" t="s">
        <v>74</v>
      </c>
      <c r="BO426" t="s">
        <v>74</v>
      </c>
      <c r="BP426" t="s">
        <v>74</v>
      </c>
      <c r="BQ426" t="s">
        <v>74</v>
      </c>
      <c r="BR426" t="s">
        <v>74</v>
      </c>
      <c r="BS426" t="s">
        <v>3298</v>
      </c>
      <c r="BT426" t="str">
        <f>HYPERLINK("https%3A%2F%2Fwww.webofscience.com%2Fwos%2Fwoscc%2Ffull-record%2FWOS:000408340600009","View Full Record in Web of Science")</f>
        <v>View Full Record in Web of Science</v>
      </c>
    </row>
    <row r="427" spans="1:72" x14ac:dyDescent="0.2">
      <c r="A427" t="s">
        <v>72</v>
      </c>
      <c r="B427" t="s">
        <v>3299</v>
      </c>
      <c r="C427" t="s">
        <v>74</v>
      </c>
      <c r="D427" t="s">
        <v>74</v>
      </c>
      <c r="E427" t="s">
        <v>74</v>
      </c>
      <c r="F427" t="s">
        <v>3300</v>
      </c>
      <c r="G427" t="s">
        <v>74</v>
      </c>
      <c r="H427" t="s">
        <v>74</v>
      </c>
      <c r="I427" t="s">
        <v>3301</v>
      </c>
      <c r="J427" t="s">
        <v>77</v>
      </c>
      <c r="K427" t="s">
        <v>74</v>
      </c>
      <c r="L427" t="s">
        <v>74</v>
      </c>
      <c r="M427" t="s">
        <v>74</v>
      </c>
      <c r="N427" t="s">
        <v>74</v>
      </c>
      <c r="O427" t="s">
        <v>74</v>
      </c>
      <c r="P427" t="s">
        <v>74</v>
      </c>
      <c r="Q427" t="s">
        <v>74</v>
      </c>
      <c r="R427" t="s">
        <v>74</v>
      </c>
      <c r="S427" t="s">
        <v>74</v>
      </c>
      <c r="T427" t="s">
        <v>74</v>
      </c>
      <c r="U427" t="s">
        <v>74</v>
      </c>
      <c r="V427" t="s">
        <v>74</v>
      </c>
      <c r="W427" t="s">
        <v>74</v>
      </c>
      <c r="X427" t="s">
        <v>74</v>
      </c>
      <c r="Y427" t="s">
        <v>74</v>
      </c>
      <c r="Z427" t="s">
        <v>74</v>
      </c>
      <c r="AA427" t="s">
        <v>7014</v>
      </c>
      <c r="AB427" t="s">
        <v>7015</v>
      </c>
      <c r="AC427" t="s">
        <v>74</v>
      </c>
      <c r="AD427" t="s">
        <v>74</v>
      </c>
      <c r="AE427" t="s">
        <v>74</v>
      </c>
      <c r="AF427" t="s">
        <v>74</v>
      </c>
      <c r="AG427" t="s">
        <v>74</v>
      </c>
      <c r="AH427" t="s">
        <v>74</v>
      </c>
      <c r="AI427" t="s">
        <v>74</v>
      </c>
      <c r="AJ427" t="s">
        <v>74</v>
      </c>
      <c r="AK427" t="s">
        <v>74</v>
      </c>
      <c r="AL427" t="s">
        <v>74</v>
      </c>
      <c r="AM427" t="s">
        <v>74</v>
      </c>
      <c r="AN427" t="s">
        <v>74</v>
      </c>
      <c r="AO427" t="s">
        <v>80</v>
      </c>
      <c r="AP427" t="s">
        <v>81</v>
      </c>
      <c r="AQ427" t="s">
        <v>74</v>
      </c>
      <c r="AR427" t="s">
        <v>74</v>
      </c>
      <c r="AS427" t="s">
        <v>74</v>
      </c>
      <c r="AT427" t="s">
        <v>520</v>
      </c>
      <c r="AU427">
        <v>2017</v>
      </c>
      <c r="AV427">
        <v>74</v>
      </c>
      <c r="AW427">
        <v>2</v>
      </c>
      <c r="AX427" t="s">
        <v>74</v>
      </c>
      <c r="AY427" t="s">
        <v>74</v>
      </c>
      <c r="AZ427" t="s">
        <v>74</v>
      </c>
      <c r="BA427" t="s">
        <v>74</v>
      </c>
      <c r="BB427">
        <v>289</v>
      </c>
      <c r="BC427">
        <v>301</v>
      </c>
      <c r="BD427" t="s">
        <v>74</v>
      </c>
      <c r="BE427" t="s">
        <v>3302</v>
      </c>
      <c r="BF427" t="str">
        <f>HYPERLINK("http://dx.doi.org/10.1007/s00248-017-0962-6","http://dx.doi.org/10.1007/s00248-017-0962-6")</f>
        <v>http://dx.doi.org/10.1007/s00248-017-0962-6</v>
      </c>
      <c r="BG427" t="s">
        <v>74</v>
      </c>
      <c r="BH427" t="s">
        <v>74</v>
      </c>
      <c r="BI427" t="s">
        <v>74</v>
      </c>
      <c r="BJ427" t="s">
        <v>74</v>
      </c>
      <c r="BK427" t="s">
        <v>74</v>
      </c>
      <c r="BL427" t="s">
        <v>74</v>
      </c>
      <c r="BM427" t="s">
        <v>74</v>
      </c>
      <c r="BN427">
        <v>28303313</v>
      </c>
      <c r="BO427" t="s">
        <v>74</v>
      </c>
      <c r="BP427" t="s">
        <v>74</v>
      </c>
      <c r="BQ427" t="s">
        <v>74</v>
      </c>
      <c r="BR427" t="s">
        <v>74</v>
      </c>
      <c r="BS427" t="s">
        <v>3303</v>
      </c>
      <c r="BT427" t="str">
        <f>HYPERLINK("https%3A%2F%2Fwww.webofscience.com%2Fwos%2Fwoscc%2Ffull-record%2FWOS:000404927500004","View Full Record in Web of Science")</f>
        <v>View Full Record in Web of Science</v>
      </c>
    </row>
    <row r="428" spans="1:72" x14ac:dyDescent="0.2">
      <c r="A428" t="s">
        <v>72</v>
      </c>
      <c r="B428" t="s">
        <v>3304</v>
      </c>
      <c r="C428" t="s">
        <v>74</v>
      </c>
      <c r="D428" t="s">
        <v>74</v>
      </c>
      <c r="E428" t="s">
        <v>74</v>
      </c>
      <c r="F428" t="s">
        <v>3305</v>
      </c>
      <c r="G428" t="s">
        <v>74</v>
      </c>
      <c r="H428" t="s">
        <v>74</v>
      </c>
      <c r="I428" t="s">
        <v>3306</v>
      </c>
      <c r="J428" t="s">
        <v>145</v>
      </c>
      <c r="K428" t="s">
        <v>74</v>
      </c>
      <c r="L428" t="s">
        <v>74</v>
      </c>
      <c r="M428" t="s">
        <v>74</v>
      </c>
      <c r="N428" t="s">
        <v>74</v>
      </c>
      <c r="O428" t="s">
        <v>74</v>
      </c>
      <c r="P428" t="s">
        <v>74</v>
      </c>
      <c r="Q428" t="s">
        <v>74</v>
      </c>
      <c r="R428" t="s">
        <v>74</v>
      </c>
      <c r="S428" t="s">
        <v>74</v>
      </c>
      <c r="T428" t="s">
        <v>74</v>
      </c>
      <c r="U428" t="s">
        <v>74</v>
      </c>
      <c r="V428" t="s">
        <v>74</v>
      </c>
      <c r="W428" t="s">
        <v>74</v>
      </c>
      <c r="X428" t="s">
        <v>74</v>
      </c>
      <c r="Y428" t="s">
        <v>74</v>
      </c>
      <c r="Z428" t="s">
        <v>74</v>
      </c>
      <c r="AA428" t="s">
        <v>3307</v>
      </c>
      <c r="AB428" t="s">
        <v>7016</v>
      </c>
      <c r="AC428" t="s">
        <v>74</v>
      </c>
      <c r="AD428" t="s">
        <v>74</v>
      </c>
      <c r="AE428" t="s">
        <v>74</v>
      </c>
      <c r="AF428" t="s">
        <v>74</v>
      </c>
      <c r="AG428" t="s">
        <v>74</v>
      </c>
      <c r="AH428" t="s">
        <v>74</v>
      </c>
      <c r="AI428" t="s">
        <v>74</v>
      </c>
      <c r="AJ428" t="s">
        <v>74</v>
      </c>
      <c r="AK428" t="s">
        <v>74</v>
      </c>
      <c r="AL428" t="s">
        <v>74</v>
      </c>
      <c r="AM428" t="s">
        <v>74</v>
      </c>
      <c r="AN428" t="s">
        <v>74</v>
      </c>
      <c r="AO428" t="s">
        <v>146</v>
      </c>
      <c r="AP428" t="s">
        <v>147</v>
      </c>
      <c r="AQ428" t="s">
        <v>74</v>
      </c>
      <c r="AR428" t="s">
        <v>74</v>
      </c>
      <c r="AS428" t="s">
        <v>74</v>
      </c>
      <c r="AT428" t="s">
        <v>1310</v>
      </c>
      <c r="AU428">
        <v>2017</v>
      </c>
      <c r="AV428">
        <v>590</v>
      </c>
      <c r="AW428" t="s">
        <v>74</v>
      </c>
      <c r="AX428" t="s">
        <v>74</v>
      </c>
      <c r="AY428" t="s">
        <v>74</v>
      </c>
      <c r="AZ428" t="s">
        <v>74</v>
      </c>
      <c r="BA428" t="s">
        <v>74</v>
      </c>
      <c r="BB428">
        <v>304</v>
      </c>
      <c r="BC428">
        <v>315</v>
      </c>
      <c r="BD428" t="s">
        <v>74</v>
      </c>
      <c r="BE428" t="s">
        <v>3308</v>
      </c>
      <c r="BF428" t="str">
        <f>HYPERLINK("http://dx.doi.org/10.1016/j.scitotenv.2017.03.007","http://dx.doi.org/10.1016/j.scitotenv.2017.03.007")</f>
        <v>http://dx.doi.org/10.1016/j.scitotenv.2017.03.007</v>
      </c>
      <c r="BG428" t="s">
        <v>74</v>
      </c>
      <c r="BH428" t="s">
        <v>74</v>
      </c>
      <c r="BI428" t="s">
        <v>74</v>
      </c>
      <c r="BJ428" t="s">
        <v>74</v>
      </c>
      <c r="BK428" t="s">
        <v>74</v>
      </c>
      <c r="BL428" t="s">
        <v>74</v>
      </c>
      <c r="BM428" t="s">
        <v>74</v>
      </c>
      <c r="BN428">
        <v>28283294</v>
      </c>
      <c r="BO428" t="s">
        <v>74</v>
      </c>
      <c r="BP428" t="s">
        <v>74</v>
      </c>
      <c r="BQ428" t="s">
        <v>74</v>
      </c>
      <c r="BR428" t="s">
        <v>74</v>
      </c>
      <c r="BS428" t="s">
        <v>3309</v>
      </c>
      <c r="BT428" t="str">
        <f>HYPERLINK("https%3A%2F%2Fwww.webofscience.com%2Fwos%2Fwoscc%2Ffull-record%2FWOS:000399511800032","View Full Record in Web of Science")</f>
        <v>View Full Record in Web of Science</v>
      </c>
    </row>
    <row r="429" spans="1:72" x14ac:dyDescent="0.2">
      <c r="A429" t="s">
        <v>72</v>
      </c>
      <c r="B429" t="s">
        <v>3310</v>
      </c>
      <c r="C429" t="s">
        <v>74</v>
      </c>
      <c r="D429" t="s">
        <v>74</v>
      </c>
      <c r="E429" t="s">
        <v>74</v>
      </c>
      <c r="F429" t="s">
        <v>3311</v>
      </c>
      <c r="G429" t="s">
        <v>74</v>
      </c>
      <c r="H429" t="s">
        <v>74</v>
      </c>
      <c r="I429" t="s">
        <v>3312</v>
      </c>
      <c r="J429" t="s">
        <v>1992</v>
      </c>
      <c r="K429" t="s">
        <v>74</v>
      </c>
      <c r="L429" t="s">
        <v>74</v>
      </c>
      <c r="M429" t="s">
        <v>74</v>
      </c>
      <c r="N429" t="s">
        <v>74</v>
      </c>
      <c r="O429" t="s">
        <v>74</v>
      </c>
      <c r="P429" t="s">
        <v>74</v>
      </c>
      <c r="Q429" t="s">
        <v>74</v>
      </c>
      <c r="R429" t="s">
        <v>74</v>
      </c>
      <c r="S429" t="s">
        <v>74</v>
      </c>
      <c r="T429" t="s">
        <v>74</v>
      </c>
      <c r="U429" t="s">
        <v>74</v>
      </c>
      <c r="V429" t="s">
        <v>74</v>
      </c>
      <c r="W429" t="s">
        <v>74</v>
      </c>
      <c r="X429" t="s">
        <v>74</v>
      </c>
      <c r="Y429" t="s">
        <v>74</v>
      </c>
      <c r="Z429" t="s">
        <v>74</v>
      </c>
      <c r="AA429" t="s">
        <v>3313</v>
      </c>
      <c r="AB429" t="s">
        <v>3314</v>
      </c>
      <c r="AC429" t="s">
        <v>74</v>
      </c>
      <c r="AD429" t="s">
        <v>74</v>
      </c>
      <c r="AE429" t="s">
        <v>74</v>
      </c>
      <c r="AF429" t="s">
        <v>74</v>
      </c>
      <c r="AG429" t="s">
        <v>74</v>
      </c>
      <c r="AH429" t="s">
        <v>74</v>
      </c>
      <c r="AI429" t="s">
        <v>74</v>
      </c>
      <c r="AJ429" t="s">
        <v>74</v>
      </c>
      <c r="AK429" t="s">
        <v>74</v>
      </c>
      <c r="AL429" t="s">
        <v>74</v>
      </c>
      <c r="AM429" t="s">
        <v>74</v>
      </c>
      <c r="AN429" t="s">
        <v>74</v>
      </c>
      <c r="AO429" t="s">
        <v>1995</v>
      </c>
      <c r="AP429" t="s">
        <v>1996</v>
      </c>
      <c r="AQ429" t="s">
        <v>74</v>
      </c>
      <c r="AR429" t="s">
        <v>74</v>
      </c>
      <c r="AS429" t="s">
        <v>74</v>
      </c>
      <c r="AT429" t="s">
        <v>3315</v>
      </c>
      <c r="AU429">
        <v>2017</v>
      </c>
      <c r="AV429">
        <v>4291</v>
      </c>
      <c r="AW429">
        <v>2</v>
      </c>
      <c r="AX429" t="s">
        <v>74</v>
      </c>
      <c r="AY429" t="s">
        <v>74</v>
      </c>
      <c r="AZ429" t="s">
        <v>74</v>
      </c>
      <c r="BA429" t="s">
        <v>74</v>
      </c>
      <c r="BB429">
        <v>295</v>
      </c>
      <c r="BC429">
        <v>323</v>
      </c>
      <c r="BD429" t="s">
        <v>74</v>
      </c>
      <c r="BE429" t="s">
        <v>3316</v>
      </c>
      <c r="BF429" t="str">
        <f>HYPERLINK("http://dx.doi.org/10.11646/zootaxa.4291.2.4","http://dx.doi.org/10.11646/zootaxa.4291.2.4")</f>
        <v>http://dx.doi.org/10.11646/zootaxa.4291.2.4</v>
      </c>
      <c r="BG429" t="s">
        <v>74</v>
      </c>
      <c r="BH429" t="s">
        <v>74</v>
      </c>
      <c r="BI429" t="s">
        <v>74</v>
      </c>
      <c r="BJ429" t="s">
        <v>74</v>
      </c>
      <c r="BK429" t="s">
        <v>74</v>
      </c>
      <c r="BL429" t="s">
        <v>74</v>
      </c>
      <c r="BM429" t="s">
        <v>74</v>
      </c>
      <c r="BN429" t="s">
        <v>74</v>
      </c>
      <c r="BO429" t="s">
        <v>74</v>
      </c>
      <c r="BP429" t="s">
        <v>74</v>
      </c>
      <c r="BQ429" t="s">
        <v>74</v>
      </c>
      <c r="BR429" t="s">
        <v>74</v>
      </c>
      <c r="BS429" t="s">
        <v>3317</v>
      </c>
      <c r="BT429" t="str">
        <f>HYPERLINK("https%3A%2F%2Fwww.webofscience.com%2Fwos%2Fwoscc%2Ffull-record%2FWOS:000405166200004","View Full Record in Web of Science")</f>
        <v>View Full Record in Web of Science</v>
      </c>
    </row>
    <row r="430" spans="1:72" x14ac:dyDescent="0.2">
      <c r="A430" t="s">
        <v>72</v>
      </c>
      <c r="B430" t="s">
        <v>3318</v>
      </c>
      <c r="C430" t="s">
        <v>74</v>
      </c>
      <c r="D430" t="s">
        <v>74</v>
      </c>
      <c r="E430" t="s">
        <v>74</v>
      </c>
      <c r="F430" t="s">
        <v>3319</v>
      </c>
      <c r="G430" t="s">
        <v>74</v>
      </c>
      <c r="H430" t="s">
        <v>74</v>
      </c>
      <c r="I430" t="s">
        <v>3320</v>
      </c>
      <c r="J430" t="s">
        <v>596</v>
      </c>
      <c r="K430" t="s">
        <v>74</v>
      </c>
      <c r="L430" t="s">
        <v>74</v>
      </c>
      <c r="M430" t="s">
        <v>74</v>
      </c>
      <c r="N430" t="s">
        <v>74</v>
      </c>
      <c r="O430" t="s">
        <v>74</v>
      </c>
      <c r="P430" t="s">
        <v>74</v>
      </c>
      <c r="Q430" t="s">
        <v>74</v>
      </c>
      <c r="R430" t="s">
        <v>74</v>
      </c>
      <c r="S430" t="s">
        <v>74</v>
      </c>
      <c r="T430" t="s">
        <v>74</v>
      </c>
      <c r="U430" t="s">
        <v>74</v>
      </c>
      <c r="V430" t="s">
        <v>74</v>
      </c>
      <c r="W430" t="s">
        <v>74</v>
      </c>
      <c r="X430" t="s">
        <v>74</v>
      </c>
      <c r="Y430" t="s">
        <v>74</v>
      </c>
      <c r="Z430" t="s">
        <v>74</v>
      </c>
      <c r="AA430" t="s">
        <v>3321</v>
      </c>
      <c r="AB430" t="s">
        <v>3322</v>
      </c>
      <c r="AC430" t="s">
        <v>74</v>
      </c>
      <c r="AD430" t="s">
        <v>74</v>
      </c>
      <c r="AE430" t="s">
        <v>74</v>
      </c>
      <c r="AF430" t="s">
        <v>74</v>
      </c>
      <c r="AG430" t="s">
        <v>74</v>
      </c>
      <c r="AH430" t="s">
        <v>74</v>
      </c>
      <c r="AI430" t="s">
        <v>74</v>
      </c>
      <c r="AJ430" t="s">
        <v>74</v>
      </c>
      <c r="AK430" t="s">
        <v>74</v>
      </c>
      <c r="AL430" t="s">
        <v>74</v>
      </c>
      <c r="AM430" t="s">
        <v>74</v>
      </c>
      <c r="AN430" t="s">
        <v>74</v>
      </c>
      <c r="AO430" t="s">
        <v>597</v>
      </c>
      <c r="AP430" t="s">
        <v>74</v>
      </c>
      <c r="AQ430" t="s">
        <v>74</v>
      </c>
      <c r="AR430" t="s">
        <v>74</v>
      </c>
      <c r="AS430" t="s">
        <v>74</v>
      </c>
      <c r="AT430" t="s">
        <v>624</v>
      </c>
      <c r="AU430">
        <v>2017</v>
      </c>
      <c r="AV430">
        <v>8</v>
      </c>
      <c r="AW430">
        <v>7</v>
      </c>
      <c r="AX430" t="s">
        <v>74</v>
      </c>
      <c r="AY430" t="s">
        <v>74</v>
      </c>
      <c r="AZ430" t="s">
        <v>74</v>
      </c>
      <c r="BA430" t="s">
        <v>74</v>
      </c>
      <c r="BB430" t="s">
        <v>74</v>
      </c>
      <c r="BC430" t="s">
        <v>74</v>
      </c>
      <c r="BD430" t="s">
        <v>3323</v>
      </c>
      <c r="BE430" t="s">
        <v>3324</v>
      </c>
      <c r="BF430" t="str">
        <f>HYPERLINK("http://dx.doi.org/10.1002/ecs2.1830","http://dx.doi.org/10.1002/ecs2.1830")</f>
        <v>http://dx.doi.org/10.1002/ecs2.1830</v>
      </c>
      <c r="BG430" t="s">
        <v>74</v>
      </c>
      <c r="BH430" t="s">
        <v>74</v>
      </c>
      <c r="BI430" t="s">
        <v>74</v>
      </c>
      <c r="BJ430" t="s">
        <v>74</v>
      </c>
      <c r="BK430" t="s">
        <v>74</v>
      </c>
      <c r="BL430" t="s">
        <v>74</v>
      </c>
      <c r="BM430" t="s">
        <v>74</v>
      </c>
      <c r="BN430" t="s">
        <v>74</v>
      </c>
      <c r="BO430" t="s">
        <v>74</v>
      </c>
      <c r="BP430" t="s">
        <v>74</v>
      </c>
      <c r="BQ430" t="s">
        <v>74</v>
      </c>
      <c r="BR430" t="s">
        <v>74</v>
      </c>
      <c r="BS430" t="s">
        <v>3325</v>
      </c>
      <c r="BT430" t="str">
        <f>HYPERLINK("https%3A%2F%2Fwww.webofscience.com%2Fwos%2Fwoscc%2Ffull-record%2FWOS:000406332400006","View Full Record in Web of Science")</f>
        <v>View Full Record in Web of Science</v>
      </c>
    </row>
    <row r="431" spans="1:72" x14ac:dyDescent="0.2">
      <c r="A431" t="s">
        <v>72</v>
      </c>
      <c r="B431" t="s">
        <v>3326</v>
      </c>
      <c r="C431" t="s">
        <v>74</v>
      </c>
      <c r="D431" t="s">
        <v>74</v>
      </c>
      <c r="E431" t="s">
        <v>74</v>
      </c>
      <c r="F431" t="s">
        <v>3327</v>
      </c>
      <c r="G431" t="s">
        <v>74</v>
      </c>
      <c r="H431" t="s">
        <v>74</v>
      </c>
      <c r="I431" t="s">
        <v>3328</v>
      </c>
      <c r="J431" t="s">
        <v>2268</v>
      </c>
      <c r="K431" t="s">
        <v>74</v>
      </c>
      <c r="L431" t="s">
        <v>74</v>
      </c>
      <c r="M431" t="s">
        <v>74</v>
      </c>
      <c r="N431" t="s">
        <v>74</v>
      </c>
      <c r="O431" t="s">
        <v>74</v>
      </c>
      <c r="P431" t="s">
        <v>74</v>
      </c>
      <c r="Q431" t="s">
        <v>74</v>
      </c>
      <c r="R431" t="s">
        <v>74</v>
      </c>
      <c r="S431" t="s">
        <v>74</v>
      </c>
      <c r="T431" t="s">
        <v>74</v>
      </c>
      <c r="U431" t="s">
        <v>74</v>
      </c>
      <c r="V431" t="s">
        <v>74</v>
      </c>
      <c r="W431" t="s">
        <v>74</v>
      </c>
      <c r="X431" t="s">
        <v>74</v>
      </c>
      <c r="Y431" t="s">
        <v>74</v>
      </c>
      <c r="Z431" t="s">
        <v>74</v>
      </c>
      <c r="AA431" t="s">
        <v>3329</v>
      </c>
      <c r="AB431" t="s">
        <v>3330</v>
      </c>
      <c r="AC431" t="s">
        <v>74</v>
      </c>
      <c r="AD431" t="s">
        <v>74</v>
      </c>
      <c r="AE431" t="s">
        <v>74</v>
      </c>
      <c r="AF431" t="s">
        <v>74</v>
      </c>
      <c r="AG431" t="s">
        <v>74</v>
      </c>
      <c r="AH431" t="s">
        <v>74</v>
      </c>
      <c r="AI431" t="s">
        <v>74</v>
      </c>
      <c r="AJ431" t="s">
        <v>74</v>
      </c>
      <c r="AK431" t="s">
        <v>74</v>
      </c>
      <c r="AL431" t="s">
        <v>74</v>
      </c>
      <c r="AM431" t="s">
        <v>74</v>
      </c>
      <c r="AN431" t="s">
        <v>74</v>
      </c>
      <c r="AO431" t="s">
        <v>2269</v>
      </c>
      <c r="AP431" t="s">
        <v>2270</v>
      </c>
      <c r="AQ431" t="s">
        <v>74</v>
      </c>
      <c r="AR431" t="s">
        <v>74</v>
      </c>
      <c r="AS431" t="s">
        <v>74</v>
      </c>
      <c r="AT431" t="s">
        <v>624</v>
      </c>
      <c r="AU431">
        <v>2017</v>
      </c>
      <c r="AV431">
        <v>190</v>
      </c>
      <c r="AW431">
        <v>1</v>
      </c>
      <c r="AX431" t="s">
        <v>74</v>
      </c>
      <c r="AY431" t="s">
        <v>74</v>
      </c>
      <c r="AZ431" t="s">
        <v>74</v>
      </c>
      <c r="BA431" t="s">
        <v>74</v>
      </c>
      <c r="BB431" t="s">
        <v>3331</v>
      </c>
      <c r="BC431" t="s">
        <v>3332</v>
      </c>
      <c r="BD431" t="s">
        <v>74</v>
      </c>
      <c r="BE431" t="s">
        <v>3333</v>
      </c>
      <c r="BF431" t="str">
        <f>HYPERLINK("http://dx.doi.org/10.1086/691779","http://dx.doi.org/10.1086/691779")</f>
        <v>http://dx.doi.org/10.1086/691779</v>
      </c>
      <c r="BG431" t="s">
        <v>74</v>
      </c>
      <c r="BH431" t="s">
        <v>74</v>
      </c>
      <c r="BI431" t="s">
        <v>74</v>
      </c>
      <c r="BJ431" t="s">
        <v>74</v>
      </c>
      <c r="BK431" t="s">
        <v>74</v>
      </c>
      <c r="BL431" t="s">
        <v>74</v>
      </c>
      <c r="BM431" t="s">
        <v>74</v>
      </c>
      <c r="BN431">
        <v>28617635</v>
      </c>
      <c r="BO431" t="s">
        <v>74</v>
      </c>
      <c r="BP431" t="s">
        <v>74</v>
      </c>
      <c r="BQ431" t="s">
        <v>74</v>
      </c>
      <c r="BR431" t="s">
        <v>74</v>
      </c>
      <c r="BS431" t="s">
        <v>3334</v>
      </c>
      <c r="BT431" t="str">
        <f>HYPERLINK("https%3A%2F%2Fwww.webofscience.com%2Fwos%2Fwoscc%2Ffull-record%2FWOS:000403565000003","View Full Record in Web of Science")</f>
        <v>View Full Record in Web of Science</v>
      </c>
    </row>
    <row r="432" spans="1:72" x14ac:dyDescent="0.2">
      <c r="A432" t="s">
        <v>72</v>
      </c>
      <c r="B432" t="s">
        <v>3335</v>
      </c>
      <c r="C432" t="s">
        <v>74</v>
      </c>
      <c r="D432" t="s">
        <v>74</v>
      </c>
      <c r="E432" t="s">
        <v>74</v>
      </c>
      <c r="F432" t="s">
        <v>3336</v>
      </c>
      <c r="G432" t="s">
        <v>74</v>
      </c>
      <c r="H432" t="s">
        <v>74</v>
      </c>
      <c r="I432" t="s">
        <v>3337</v>
      </c>
      <c r="J432" t="s">
        <v>124</v>
      </c>
      <c r="K432" t="s">
        <v>74</v>
      </c>
      <c r="L432" t="s">
        <v>74</v>
      </c>
      <c r="M432" t="s">
        <v>74</v>
      </c>
      <c r="N432" t="s">
        <v>74</v>
      </c>
      <c r="O432" t="s">
        <v>74</v>
      </c>
      <c r="P432" t="s">
        <v>74</v>
      </c>
      <c r="Q432" t="s">
        <v>74</v>
      </c>
      <c r="R432" t="s">
        <v>74</v>
      </c>
      <c r="S432" t="s">
        <v>74</v>
      </c>
      <c r="T432" t="s">
        <v>74</v>
      </c>
      <c r="U432" t="s">
        <v>74</v>
      </c>
      <c r="V432" t="s">
        <v>74</v>
      </c>
      <c r="W432" t="s">
        <v>74</v>
      </c>
      <c r="X432" t="s">
        <v>74</v>
      </c>
      <c r="Y432" t="s">
        <v>74</v>
      </c>
      <c r="Z432" t="s">
        <v>74</v>
      </c>
      <c r="AA432" t="s">
        <v>7017</v>
      </c>
      <c r="AB432" t="s">
        <v>7018</v>
      </c>
      <c r="AC432" t="s">
        <v>74</v>
      </c>
      <c r="AD432" t="s">
        <v>74</v>
      </c>
      <c r="AE432" t="s">
        <v>74</v>
      </c>
      <c r="AF432" t="s">
        <v>74</v>
      </c>
      <c r="AG432" t="s">
        <v>74</v>
      </c>
      <c r="AH432" t="s">
        <v>74</v>
      </c>
      <c r="AI432" t="s">
        <v>74</v>
      </c>
      <c r="AJ432" t="s">
        <v>74</v>
      </c>
      <c r="AK432" t="s">
        <v>74</v>
      </c>
      <c r="AL432" t="s">
        <v>74</v>
      </c>
      <c r="AM432" t="s">
        <v>74</v>
      </c>
      <c r="AN432" t="s">
        <v>74</v>
      </c>
      <c r="AO432" t="s">
        <v>127</v>
      </c>
      <c r="AP432" t="s">
        <v>128</v>
      </c>
      <c r="AQ432" t="s">
        <v>74</v>
      </c>
      <c r="AR432" t="s">
        <v>74</v>
      </c>
      <c r="AS432" t="s">
        <v>74</v>
      </c>
      <c r="AT432" t="s">
        <v>624</v>
      </c>
      <c r="AU432">
        <v>2017</v>
      </c>
      <c r="AV432">
        <v>796</v>
      </c>
      <c r="AW432">
        <v>1</v>
      </c>
      <c r="AX432" t="s">
        <v>74</v>
      </c>
      <c r="AY432" t="s">
        <v>74</v>
      </c>
      <c r="AZ432" t="s">
        <v>74</v>
      </c>
      <c r="BA432" t="s">
        <v>74</v>
      </c>
      <c r="BB432">
        <v>169</v>
      </c>
      <c r="BC432">
        <v>179</v>
      </c>
      <c r="BD432" t="s">
        <v>74</v>
      </c>
      <c r="BE432" t="s">
        <v>3338</v>
      </c>
      <c r="BF432" t="str">
        <f>HYPERLINK("http://dx.doi.org/10.1007/s10750-016-3069-z","http://dx.doi.org/10.1007/s10750-016-3069-z")</f>
        <v>http://dx.doi.org/10.1007/s10750-016-3069-z</v>
      </c>
      <c r="BG432" t="s">
        <v>74</v>
      </c>
      <c r="BH432" t="s">
        <v>74</v>
      </c>
      <c r="BI432" t="s">
        <v>74</v>
      </c>
      <c r="BJ432" t="s">
        <v>74</v>
      </c>
      <c r="BK432" t="s">
        <v>74</v>
      </c>
      <c r="BL432" t="s">
        <v>74</v>
      </c>
      <c r="BM432" t="s">
        <v>74</v>
      </c>
      <c r="BN432" t="s">
        <v>74</v>
      </c>
      <c r="BO432" t="s">
        <v>74</v>
      </c>
      <c r="BP432" t="s">
        <v>74</v>
      </c>
      <c r="BQ432" t="s">
        <v>74</v>
      </c>
      <c r="BR432" t="s">
        <v>74</v>
      </c>
      <c r="BS432" t="s">
        <v>3339</v>
      </c>
      <c r="BT432" t="str">
        <f>HYPERLINK("https%3A%2F%2Fwww.webofscience.com%2Fwos%2Fwoscc%2Ffull-record%2FWOS:000403357600014","View Full Record in Web of Science")</f>
        <v>View Full Record in Web of Science</v>
      </c>
    </row>
    <row r="433" spans="1:72" x14ac:dyDescent="0.2">
      <c r="A433" t="s">
        <v>72</v>
      </c>
      <c r="B433" t="s">
        <v>3340</v>
      </c>
      <c r="C433" t="s">
        <v>74</v>
      </c>
      <c r="D433" t="s">
        <v>74</v>
      </c>
      <c r="E433" t="s">
        <v>74</v>
      </c>
      <c r="F433" t="s">
        <v>3341</v>
      </c>
      <c r="G433" t="s">
        <v>74</v>
      </c>
      <c r="H433" t="s">
        <v>74</v>
      </c>
      <c r="I433" t="s">
        <v>3342</v>
      </c>
      <c r="J433" t="s">
        <v>124</v>
      </c>
      <c r="K433" t="s">
        <v>74</v>
      </c>
      <c r="L433" t="s">
        <v>74</v>
      </c>
      <c r="M433" t="s">
        <v>74</v>
      </c>
      <c r="N433" t="s">
        <v>74</v>
      </c>
      <c r="O433" t="s">
        <v>74</v>
      </c>
      <c r="P433" t="s">
        <v>74</v>
      </c>
      <c r="Q433" t="s">
        <v>74</v>
      </c>
      <c r="R433" t="s">
        <v>74</v>
      </c>
      <c r="S433" t="s">
        <v>74</v>
      </c>
      <c r="T433" t="s">
        <v>74</v>
      </c>
      <c r="U433" t="s">
        <v>74</v>
      </c>
      <c r="V433" t="s">
        <v>74</v>
      </c>
      <c r="W433" t="s">
        <v>74</v>
      </c>
      <c r="X433" t="s">
        <v>74</v>
      </c>
      <c r="Y433" t="s">
        <v>74</v>
      </c>
      <c r="Z433" t="s">
        <v>74</v>
      </c>
      <c r="AA433" t="s">
        <v>7019</v>
      </c>
      <c r="AB433" t="s">
        <v>7020</v>
      </c>
      <c r="AC433" t="s">
        <v>74</v>
      </c>
      <c r="AD433" t="s">
        <v>74</v>
      </c>
      <c r="AE433" t="s">
        <v>74</v>
      </c>
      <c r="AF433" t="s">
        <v>74</v>
      </c>
      <c r="AG433" t="s">
        <v>74</v>
      </c>
      <c r="AH433" t="s">
        <v>74</v>
      </c>
      <c r="AI433" t="s">
        <v>74</v>
      </c>
      <c r="AJ433" t="s">
        <v>74</v>
      </c>
      <c r="AK433" t="s">
        <v>74</v>
      </c>
      <c r="AL433" t="s">
        <v>74</v>
      </c>
      <c r="AM433" t="s">
        <v>74</v>
      </c>
      <c r="AN433" t="s">
        <v>74</v>
      </c>
      <c r="AO433" t="s">
        <v>127</v>
      </c>
      <c r="AP433" t="s">
        <v>128</v>
      </c>
      <c r="AQ433" t="s">
        <v>74</v>
      </c>
      <c r="AR433" t="s">
        <v>74</v>
      </c>
      <c r="AS433" t="s">
        <v>74</v>
      </c>
      <c r="AT433" t="s">
        <v>624</v>
      </c>
      <c r="AU433">
        <v>2017</v>
      </c>
      <c r="AV433">
        <v>796</v>
      </c>
      <c r="AW433">
        <v>1</v>
      </c>
      <c r="AX433" t="s">
        <v>74</v>
      </c>
      <c r="AY433" t="s">
        <v>74</v>
      </c>
      <c r="AZ433" t="s">
        <v>74</v>
      </c>
      <c r="BA433" t="s">
        <v>74</v>
      </c>
      <c r="BB433">
        <v>287</v>
      </c>
      <c r="BC433">
        <v>307</v>
      </c>
      <c r="BD433" t="s">
        <v>74</v>
      </c>
      <c r="BE433" t="s">
        <v>3343</v>
      </c>
      <c r="BF433" t="str">
        <f>HYPERLINK("http://dx.doi.org/10.1007/s10750-016-2923-3","http://dx.doi.org/10.1007/s10750-016-2923-3")</f>
        <v>http://dx.doi.org/10.1007/s10750-016-2923-3</v>
      </c>
      <c r="BG433" t="s">
        <v>74</v>
      </c>
      <c r="BH433" t="s">
        <v>74</v>
      </c>
      <c r="BI433" t="s">
        <v>74</v>
      </c>
      <c r="BJ433" t="s">
        <v>74</v>
      </c>
      <c r="BK433" t="s">
        <v>74</v>
      </c>
      <c r="BL433" t="s">
        <v>74</v>
      </c>
      <c r="BM433" t="s">
        <v>74</v>
      </c>
      <c r="BN433" t="s">
        <v>74</v>
      </c>
      <c r="BO433" t="s">
        <v>74</v>
      </c>
      <c r="BP433" t="s">
        <v>74</v>
      </c>
      <c r="BQ433" t="s">
        <v>74</v>
      </c>
      <c r="BR433" t="s">
        <v>74</v>
      </c>
      <c r="BS433" t="s">
        <v>3344</v>
      </c>
      <c r="BT433" t="str">
        <f>HYPERLINK("https%3A%2F%2Fwww.webofscience.com%2Fwos%2Fwoscc%2Ffull-record%2FWOS:000403357600024","View Full Record in Web of Science")</f>
        <v>View Full Record in Web of Science</v>
      </c>
    </row>
    <row r="434" spans="1:72" x14ac:dyDescent="0.2">
      <c r="A434" t="s">
        <v>72</v>
      </c>
      <c r="B434" t="s">
        <v>3345</v>
      </c>
      <c r="C434" t="s">
        <v>74</v>
      </c>
      <c r="D434" t="s">
        <v>74</v>
      </c>
      <c r="E434" t="s">
        <v>74</v>
      </c>
      <c r="F434" t="s">
        <v>3346</v>
      </c>
      <c r="G434" t="s">
        <v>74</v>
      </c>
      <c r="H434" t="s">
        <v>74</v>
      </c>
      <c r="I434" t="s">
        <v>3347</v>
      </c>
      <c r="J434" t="s">
        <v>3075</v>
      </c>
      <c r="K434" t="s">
        <v>74</v>
      </c>
      <c r="L434" t="s">
        <v>74</v>
      </c>
      <c r="M434" t="s">
        <v>74</v>
      </c>
      <c r="N434" t="s">
        <v>74</v>
      </c>
      <c r="O434" t="s">
        <v>74</v>
      </c>
      <c r="P434" t="s">
        <v>74</v>
      </c>
      <c r="Q434" t="s">
        <v>74</v>
      </c>
      <c r="R434" t="s">
        <v>74</v>
      </c>
      <c r="S434" t="s">
        <v>74</v>
      </c>
      <c r="T434" t="s">
        <v>74</v>
      </c>
      <c r="U434" t="s">
        <v>74</v>
      </c>
      <c r="V434" t="s">
        <v>74</v>
      </c>
      <c r="W434" t="s">
        <v>74</v>
      </c>
      <c r="X434" t="s">
        <v>74</v>
      </c>
      <c r="Y434" t="s">
        <v>74</v>
      </c>
      <c r="Z434" t="s">
        <v>74</v>
      </c>
      <c r="AA434" t="s">
        <v>3348</v>
      </c>
      <c r="AB434" t="s">
        <v>7021</v>
      </c>
      <c r="AC434" t="s">
        <v>74</v>
      </c>
      <c r="AD434" t="s">
        <v>74</v>
      </c>
      <c r="AE434" t="s">
        <v>74</v>
      </c>
      <c r="AF434" t="s">
        <v>74</v>
      </c>
      <c r="AG434" t="s">
        <v>74</v>
      </c>
      <c r="AH434" t="s">
        <v>74</v>
      </c>
      <c r="AI434" t="s">
        <v>74</v>
      </c>
      <c r="AJ434" t="s">
        <v>74</v>
      </c>
      <c r="AK434" t="s">
        <v>74</v>
      </c>
      <c r="AL434" t="s">
        <v>74</v>
      </c>
      <c r="AM434" t="s">
        <v>74</v>
      </c>
      <c r="AN434" t="s">
        <v>74</v>
      </c>
      <c r="AO434" t="s">
        <v>3078</v>
      </c>
      <c r="AP434" t="s">
        <v>3079</v>
      </c>
      <c r="AQ434" t="s">
        <v>74</v>
      </c>
      <c r="AR434" t="s">
        <v>74</v>
      </c>
      <c r="AS434" t="s">
        <v>74</v>
      </c>
      <c r="AT434" t="s">
        <v>624</v>
      </c>
      <c r="AU434">
        <v>2017</v>
      </c>
      <c r="AV434">
        <v>125</v>
      </c>
      <c r="AW434" t="s">
        <v>74</v>
      </c>
      <c r="AX434" t="s">
        <v>74</v>
      </c>
      <c r="AY434" t="s">
        <v>74</v>
      </c>
      <c r="AZ434" t="s">
        <v>74</v>
      </c>
      <c r="BA434" t="s">
        <v>74</v>
      </c>
      <c r="BB434">
        <v>18</v>
      </c>
      <c r="BC434">
        <v>25</v>
      </c>
      <c r="BD434" t="s">
        <v>74</v>
      </c>
      <c r="BE434" t="s">
        <v>3349</v>
      </c>
      <c r="BF434" t="str">
        <f>HYPERLINK("http://dx.doi.org/10.1016/j.seares.2017.05.007","http://dx.doi.org/10.1016/j.seares.2017.05.007")</f>
        <v>http://dx.doi.org/10.1016/j.seares.2017.05.007</v>
      </c>
      <c r="BG434" t="s">
        <v>74</v>
      </c>
      <c r="BH434" t="s">
        <v>74</v>
      </c>
      <c r="BI434" t="s">
        <v>74</v>
      </c>
      <c r="BJ434" t="s">
        <v>74</v>
      </c>
      <c r="BK434" t="s">
        <v>74</v>
      </c>
      <c r="BL434" t="s">
        <v>74</v>
      </c>
      <c r="BM434" t="s">
        <v>74</v>
      </c>
      <c r="BN434" t="s">
        <v>74</v>
      </c>
      <c r="BO434" t="s">
        <v>74</v>
      </c>
      <c r="BP434" t="s">
        <v>74</v>
      </c>
      <c r="BQ434" t="s">
        <v>74</v>
      </c>
      <c r="BR434" t="s">
        <v>74</v>
      </c>
      <c r="BS434" t="s">
        <v>3350</v>
      </c>
      <c r="BT434" t="str">
        <f>HYPERLINK("https%3A%2F%2Fwww.webofscience.com%2Fwos%2Fwoscc%2Ffull-record%2FWOS:000404703600002","View Full Record in Web of Science")</f>
        <v>View Full Record in Web of Science</v>
      </c>
    </row>
    <row r="435" spans="1:72" x14ac:dyDescent="0.2">
      <c r="A435" t="s">
        <v>72</v>
      </c>
      <c r="B435" t="s">
        <v>3351</v>
      </c>
      <c r="C435" t="s">
        <v>74</v>
      </c>
      <c r="D435" t="s">
        <v>74</v>
      </c>
      <c r="E435" t="s">
        <v>74</v>
      </c>
      <c r="F435" t="s">
        <v>3352</v>
      </c>
      <c r="G435" t="s">
        <v>74</v>
      </c>
      <c r="H435" t="s">
        <v>74</v>
      </c>
      <c r="I435" t="s">
        <v>3353</v>
      </c>
      <c r="J435" t="s">
        <v>190</v>
      </c>
      <c r="K435" t="s">
        <v>74</v>
      </c>
      <c r="L435" t="s">
        <v>74</v>
      </c>
      <c r="M435" t="s">
        <v>74</v>
      </c>
      <c r="N435" t="s">
        <v>74</v>
      </c>
      <c r="O435" t="s">
        <v>74</v>
      </c>
      <c r="P435" t="s">
        <v>74</v>
      </c>
      <c r="Q435" t="s">
        <v>74</v>
      </c>
      <c r="R435" t="s">
        <v>74</v>
      </c>
      <c r="S435" t="s">
        <v>74</v>
      </c>
      <c r="T435" t="s">
        <v>74</v>
      </c>
      <c r="U435" t="s">
        <v>74</v>
      </c>
      <c r="V435" t="s">
        <v>74</v>
      </c>
      <c r="W435" t="s">
        <v>74</v>
      </c>
      <c r="X435" t="s">
        <v>74</v>
      </c>
      <c r="Y435" t="s">
        <v>74</v>
      </c>
      <c r="Z435" t="s">
        <v>74</v>
      </c>
      <c r="AA435" t="s">
        <v>7022</v>
      </c>
      <c r="AB435" t="s">
        <v>7023</v>
      </c>
      <c r="AC435" t="s">
        <v>74</v>
      </c>
      <c r="AD435" t="s">
        <v>74</v>
      </c>
      <c r="AE435" t="s">
        <v>74</v>
      </c>
      <c r="AF435" t="s">
        <v>74</v>
      </c>
      <c r="AG435" t="s">
        <v>74</v>
      </c>
      <c r="AH435" t="s">
        <v>74</v>
      </c>
      <c r="AI435" t="s">
        <v>74</v>
      </c>
      <c r="AJ435" t="s">
        <v>74</v>
      </c>
      <c r="AK435" t="s">
        <v>74</v>
      </c>
      <c r="AL435" t="s">
        <v>74</v>
      </c>
      <c r="AM435" t="s">
        <v>74</v>
      </c>
      <c r="AN435" t="s">
        <v>74</v>
      </c>
      <c r="AO435" t="s">
        <v>191</v>
      </c>
      <c r="AP435" t="s">
        <v>74</v>
      </c>
      <c r="AQ435" t="s">
        <v>74</v>
      </c>
      <c r="AR435" t="s">
        <v>74</v>
      </c>
      <c r="AS435" t="s">
        <v>74</v>
      </c>
      <c r="AT435" t="s">
        <v>3354</v>
      </c>
      <c r="AU435">
        <v>2017</v>
      </c>
      <c r="AV435">
        <v>8</v>
      </c>
      <c r="AW435" t="s">
        <v>74</v>
      </c>
      <c r="AX435" t="s">
        <v>74</v>
      </c>
      <c r="AY435" t="s">
        <v>74</v>
      </c>
      <c r="AZ435" t="s">
        <v>74</v>
      </c>
      <c r="BA435" t="s">
        <v>74</v>
      </c>
      <c r="BB435" t="s">
        <v>74</v>
      </c>
      <c r="BC435" t="s">
        <v>74</v>
      </c>
      <c r="BD435">
        <v>1015</v>
      </c>
      <c r="BE435" t="s">
        <v>3355</v>
      </c>
      <c r="BF435" t="str">
        <f>HYPERLINK("http://dx.doi.org/10.3389/fmicb.2017.01015","http://dx.doi.org/10.3389/fmicb.2017.01015")</f>
        <v>http://dx.doi.org/10.3389/fmicb.2017.01015</v>
      </c>
      <c r="BG435" t="s">
        <v>74</v>
      </c>
      <c r="BH435" t="s">
        <v>74</v>
      </c>
      <c r="BI435" t="s">
        <v>74</v>
      </c>
      <c r="BJ435" t="s">
        <v>74</v>
      </c>
      <c r="BK435" t="s">
        <v>74</v>
      </c>
      <c r="BL435" t="s">
        <v>74</v>
      </c>
      <c r="BM435" t="s">
        <v>74</v>
      </c>
      <c r="BN435">
        <v>28634476</v>
      </c>
      <c r="BO435" t="s">
        <v>74</v>
      </c>
      <c r="BP435" t="s">
        <v>74</v>
      </c>
      <c r="BQ435" t="s">
        <v>74</v>
      </c>
      <c r="BR435" t="s">
        <v>74</v>
      </c>
      <c r="BS435" t="s">
        <v>3356</v>
      </c>
      <c r="BT435" t="str">
        <f>HYPERLINK("https%3A%2F%2Fwww.webofscience.com%2Fwos%2Fwoscc%2Ffull-record%2FWOS:000402699800001","View Full Record in Web of Science")</f>
        <v>View Full Record in Web of Science</v>
      </c>
    </row>
    <row r="436" spans="1:72" x14ac:dyDescent="0.2">
      <c r="A436" t="s">
        <v>72</v>
      </c>
      <c r="B436" t="s">
        <v>3357</v>
      </c>
      <c r="C436" t="s">
        <v>74</v>
      </c>
      <c r="D436" t="s">
        <v>74</v>
      </c>
      <c r="E436" t="s">
        <v>74</v>
      </c>
      <c r="F436" t="s">
        <v>3358</v>
      </c>
      <c r="G436" t="s">
        <v>74</v>
      </c>
      <c r="H436" t="s">
        <v>74</v>
      </c>
      <c r="I436" t="s">
        <v>3359</v>
      </c>
      <c r="J436" t="s">
        <v>3360</v>
      </c>
      <c r="K436" t="s">
        <v>74</v>
      </c>
      <c r="L436" t="s">
        <v>74</v>
      </c>
      <c r="M436" t="s">
        <v>74</v>
      </c>
      <c r="N436" t="s">
        <v>74</v>
      </c>
      <c r="O436" t="s">
        <v>74</v>
      </c>
      <c r="P436" t="s">
        <v>74</v>
      </c>
      <c r="Q436" t="s">
        <v>74</v>
      </c>
      <c r="R436" t="s">
        <v>74</v>
      </c>
      <c r="S436" t="s">
        <v>74</v>
      </c>
      <c r="T436" t="s">
        <v>74</v>
      </c>
      <c r="U436" t="s">
        <v>74</v>
      </c>
      <c r="V436" t="s">
        <v>74</v>
      </c>
      <c r="W436" t="s">
        <v>74</v>
      </c>
      <c r="X436" t="s">
        <v>74</v>
      </c>
      <c r="Y436" t="s">
        <v>74</v>
      </c>
      <c r="Z436" t="s">
        <v>74</v>
      </c>
      <c r="AA436" t="s">
        <v>3361</v>
      </c>
      <c r="AB436" t="s">
        <v>3362</v>
      </c>
      <c r="AC436" t="s">
        <v>74</v>
      </c>
      <c r="AD436" t="s">
        <v>74</v>
      </c>
      <c r="AE436" t="s">
        <v>74</v>
      </c>
      <c r="AF436" t="s">
        <v>74</v>
      </c>
      <c r="AG436" t="s">
        <v>74</v>
      </c>
      <c r="AH436" t="s">
        <v>74</v>
      </c>
      <c r="AI436" t="s">
        <v>74</v>
      </c>
      <c r="AJ436" t="s">
        <v>74</v>
      </c>
      <c r="AK436" t="s">
        <v>74</v>
      </c>
      <c r="AL436" t="s">
        <v>74</v>
      </c>
      <c r="AM436" t="s">
        <v>74</v>
      </c>
      <c r="AN436" t="s">
        <v>74</v>
      </c>
      <c r="AO436" t="s">
        <v>3363</v>
      </c>
      <c r="AP436" t="s">
        <v>3364</v>
      </c>
      <c r="AQ436" t="s">
        <v>74</v>
      </c>
      <c r="AR436" t="s">
        <v>74</v>
      </c>
      <c r="AS436" t="s">
        <v>74</v>
      </c>
      <c r="AT436" t="s">
        <v>569</v>
      </c>
      <c r="AU436">
        <v>2017</v>
      </c>
      <c r="AV436">
        <v>164</v>
      </c>
      <c r="AW436">
        <v>6</v>
      </c>
      <c r="AX436" t="s">
        <v>74</v>
      </c>
      <c r="AY436" t="s">
        <v>74</v>
      </c>
      <c r="AZ436" t="s">
        <v>74</v>
      </c>
      <c r="BA436" t="s">
        <v>74</v>
      </c>
      <c r="BB436" t="s">
        <v>74</v>
      </c>
      <c r="BC436" t="s">
        <v>74</v>
      </c>
      <c r="BD436">
        <v>136</v>
      </c>
      <c r="BE436" t="s">
        <v>3365</v>
      </c>
      <c r="BF436" t="str">
        <f>HYPERLINK("http://dx.doi.org/10.1007/s00227-017-3165-2","http://dx.doi.org/10.1007/s00227-017-3165-2")</f>
        <v>http://dx.doi.org/10.1007/s00227-017-3165-2</v>
      </c>
      <c r="BG436" t="s">
        <v>74</v>
      </c>
      <c r="BH436" t="s">
        <v>74</v>
      </c>
      <c r="BI436" t="s">
        <v>74</v>
      </c>
      <c r="BJ436" t="s">
        <v>74</v>
      </c>
      <c r="BK436" t="s">
        <v>74</v>
      </c>
      <c r="BL436" t="s">
        <v>74</v>
      </c>
      <c r="BM436" t="s">
        <v>74</v>
      </c>
      <c r="BN436" t="s">
        <v>74</v>
      </c>
      <c r="BO436" t="s">
        <v>74</v>
      </c>
      <c r="BP436" t="s">
        <v>74</v>
      </c>
      <c r="BQ436" t="s">
        <v>74</v>
      </c>
      <c r="BR436" t="s">
        <v>74</v>
      </c>
      <c r="BS436" t="s">
        <v>3366</v>
      </c>
      <c r="BT436" t="str">
        <f>HYPERLINK("https%3A%2F%2Fwww.webofscience.com%2Fwos%2Fwoscc%2Ffull-record%2FWOS:000403083000016","View Full Record in Web of Science")</f>
        <v>View Full Record in Web of Science</v>
      </c>
    </row>
    <row r="437" spans="1:72" x14ac:dyDescent="0.2">
      <c r="A437" t="s">
        <v>72</v>
      </c>
      <c r="B437" t="s">
        <v>3367</v>
      </c>
      <c r="C437" t="s">
        <v>74</v>
      </c>
      <c r="D437" t="s">
        <v>74</v>
      </c>
      <c r="E437" t="s">
        <v>74</v>
      </c>
      <c r="F437" t="s">
        <v>3368</v>
      </c>
      <c r="G437" t="s">
        <v>74</v>
      </c>
      <c r="H437" t="s">
        <v>74</v>
      </c>
      <c r="I437" t="s">
        <v>3369</v>
      </c>
      <c r="J437" t="s">
        <v>3370</v>
      </c>
      <c r="K437" t="s">
        <v>74</v>
      </c>
      <c r="L437" t="s">
        <v>74</v>
      </c>
      <c r="M437" t="s">
        <v>74</v>
      </c>
      <c r="N437" t="s">
        <v>74</v>
      </c>
      <c r="O437" t="s">
        <v>74</v>
      </c>
      <c r="P437" t="s">
        <v>74</v>
      </c>
      <c r="Q437" t="s">
        <v>74</v>
      </c>
      <c r="R437" t="s">
        <v>74</v>
      </c>
      <c r="S437" t="s">
        <v>74</v>
      </c>
      <c r="T437" t="s">
        <v>74</v>
      </c>
      <c r="U437" t="s">
        <v>74</v>
      </c>
      <c r="V437" t="s">
        <v>74</v>
      </c>
      <c r="W437" t="s">
        <v>74</v>
      </c>
      <c r="X437" t="s">
        <v>74</v>
      </c>
      <c r="Y437" t="s">
        <v>74</v>
      </c>
      <c r="Z437" t="s">
        <v>74</v>
      </c>
      <c r="AA437" t="s">
        <v>74</v>
      </c>
      <c r="AB437" t="s">
        <v>3371</v>
      </c>
      <c r="AC437" t="s">
        <v>74</v>
      </c>
      <c r="AD437" t="s">
        <v>74</v>
      </c>
      <c r="AE437" t="s">
        <v>74</v>
      </c>
      <c r="AF437" t="s">
        <v>74</v>
      </c>
      <c r="AG437" t="s">
        <v>74</v>
      </c>
      <c r="AH437" t="s">
        <v>74</v>
      </c>
      <c r="AI437" t="s">
        <v>74</v>
      </c>
      <c r="AJ437" t="s">
        <v>74</v>
      </c>
      <c r="AK437" t="s">
        <v>74</v>
      </c>
      <c r="AL437" t="s">
        <v>74</v>
      </c>
      <c r="AM437" t="s">
        <v>74</v>
      </c>
      <c r="AN437" t="s">
        <v>74</v>
      </c>
      <c r="AO437" t="s">
        <v>3372</v>
      </c>
      <c r="AP437" t="s">
        <v>3373</v>
      </c>
      <c r="AQ437" t="s">
        <v>74</v>
      </c>
      <c r="AR437" t="s">
        <v>74</v>
      </c>
      <c r="AS437" t="s">
        <v>74</v>
      </c>
      <c r="AT437" t="s">
        <v>569</v>
      </c>
      <c r="AU437">
        <v>2017</v>
      </c>
      <c r="AV437">
        <v>52</v>
      </c>
      <c r="AW437" t="s">
        <v>74</v>
      </c>
      <c r="AX437" t="s">
        <v>74</v>
      </c>
      <c r="AY437" t="s">
        <v>74</v>
      </c>
      <c r="AZ437" t="s">
        <v>74</v>
      </c>
      <c r="BA437" t="s">
        <v>74</v>
      </c>
      <c r="BB437">
        <v>170</v>
      </c>
      <c r="BC437">
        <v>176</v>
      </c>
      <c r="BD437" t="s">
        <v>74</v>
      </c>
      <c r="BE437" t="s">
        <v>3374</v>
      </c>
      <c r="BF437" t="str">
        <f>HYPERLINK("http://dx.doi.org/10.1016/j.etap.2017.04.006","http://dx.doi.org/10.1016/j.etap.2017.04.006")</f>
        <v>http://dx.doi.org/10.1016/j.etap.2017.04.006</v>
      </c>
      <c r="BG437" t="s">
        <v>74</v>
      </c>
      <c r="BH437" t="s">
        <v>74</v>
      </c>
      <c r="BI437" t="s">
        <v>74</v>
      </c>
      <c r="BJ437" t="s">
        <v>74</v>
      </c>
      <c r="BK437" t="s">
        <v>74</v>
      </c>
      <c r="BL437" t="s">
        <v>74</v>
      </c>
      <c r="BM437" t="s">
        <v>74</v>
      </c>
      <c r="BN437">
        <v>28432996</v>
      </c>
      <c r="BO437" t="s">
        <v>74</v>
      </c>
      <c r="BP437" t="s">
        <v>74</v>
      </c>
      <c r="BQ437" t="s">
        <v>74</v>
      </c>
      <c r="BR437" t="s">
        <v>74</v>
      </c>
      <c r="BS437" t="s">
        <v>3375</v>
      </c>
      <c r="BT437" t="str">
        <f>HYPERLINK("https%3A%2F%2Fwww.webofscience.com%2Fwos%2Fwoscc%2Ffull-record%2FWOS:000403735400022","View Full Record in Web of Science")</f>
        <v>View Full Record in Web of Science</v>
      </c>
    </row>
    <row r="438" spans="1:72" x14ac:dyDescent="0.2">
      <c r="A438" t="s">
        <v>72</v>
      </c>
      <c r="B438" t="s">
        <v>3376</v>
      </c>
      <c r="C438" t="s">
        <v>74</v>
      </c>
      <c r="D438" t="s">
        <v>74</v>
      </c>
      <c r="E438" t="s">
        <v>74</v>
      </c>
      <c r="F438" t="s">
        <v>3377</v>
      </c>
      <c r="G438" t="s">
        <v>74</v>
      </c>
      <c r="H438" t="s">
        <v>74</v>
      </c>
      <c r="I438" t="s">
        <v>3378</v>
      </c>
      <c r="J438" t="s">
        <v>1824</v>
      </c>
      <c r="K438" t="s">
        <v>74</v>
      </c>
      <c r="L438" t="s">
        <v>74</v>
      </c>
      <c r="M438" t="s">
        <v>74</v>
      </c>
      <c r="N438" t="s">
        <v>74</v>
      </c>
      <c r="O438" t="s">
        <v>74</v>
      </c>
      <c r="P438" t="s">
        <v>74</v>
      </c>
      <c r="Q438" t="s">
        <v>74</v>
      </c>
      <c r="R438" t="s">
        <v>74</v>
      </c>
      <c r="S438" t="s">
        <v>74</v>
      </c>
      <c r="T438" t="s">
        <v>74</v>
      </c>
      <c r="U438" t="s">
        <v>74</v>
      </c>
      <c r="V438" t="s">
        <v>74</v>
      </c>
      <c r="W438" t="s">
        <v>74</v>
      </c>
      <c r="X438" t="s">
        <v>74</v>
      </c>
      <c r="Y438" t="s">
        <v>74</v>
      </c>
      <c r="Z438" t="s">
        <v>74</v>
      </c>
      <c r="AA438" t="s">
        <v>7024</v>
      </c>
      <c r="AB438" t="s">
        <v>7025</v>
      </c>
      <c r="AC438" t="s">
        <v>74</v>
      </c>
      <c r="AD438" t="s">
        <v>74</v>
      </c>
      <c r="AE438" t="s">
        <v>74</v>
      </c>
      <c r="AF438" t="s">
        <v>74</v>
      </c>
      <c r="AG438" t="s">
        <v>74</v>
      </c>
      <c r="AH438" t="s">
        <v>74</v>
      </c>
      <c r="AI438" t="s">
        <v>74</v>
      </c>
      <c r="AJ438" t="s">
        <v>74</v>
      </c>
      <c r="AK438" t="s">
        <v>74</v>
      </c>
      <c r="AL438" t="s">
        <v>74</v>
      </c>
      <c r="AM438" t="s">
        <v>74</v>
      </c>
      <c r="AN438" t="s">
        <v>74</v>
      </c>
      <c r="AO438" t="s">
        <v>1825</v>
      </c>
      <c r="AP438" t="s">
        <v>1826</v>
      </c>
      <c r="AQ438" t="s">
        <v>74</v>
      </c>
      <c r="AR438" t="s">
        <v>74</v>
      </c>
      <c r="AS438" t="s">
        <v>74</v>
      </c>
      <c r="AT438" t="s">
        <v>569</v>
      </c>
      <c r="AU438">
        <v>2017</v>
      </c>
      <c r="AV438">
        <v>40</v>
      </c>
      <c r="AW438">
        <v>6</v>
      </c>
      <c r="AX438" t="s">
        <v>74</v>
      </c>
      <c r="AY438" t="s">
        <v>74</v>
      </c>
      <c r="AZ438" t="s">
        <v>74</v>
      </c>
      <c r="BA438" t="s">
        <v>74</v>
      </c>
      <c r="BB438">
        <v>742</v>
      </c>
      <c r="BC438">
        <v>752</v>
      </c>
      <c r="BD438" t="s">
        <v>74</v>
      </c>
      <c r="BE438" t="s">
        <v>3379</v>
      </c>
      <c r="BF438" t="str">
        <f>HYPERLINK("http://dx.doi.org/10.1111/ecog.02263","http://dx.doi.org/10.1111/ecog.02263")</f>
        <v>http://dx.doi.org/10.1111/ecog.02263</v>
      </c>
      <c r="BG438" t="s">
        <v>74</v>
      </c>
      <c r="BH438" t="s">
        <v>74</v>
      </c>
      <c r="BI438" t="s">
        <v>74</v>
      </c>
      <c r="BJ438" t="s">
        <v>74</v>
      </c>
      <c r="BK438" t="s">
        <v>74</v>
      </c>
      <c r="BL438" t="s">
        <v>74</v>
      </c>
      <c r="BM438" t="s">
        <v>74</v>
      </c>
      <c r="BN438" t="s">
        <v>74</v>
      </c>
      <c r="BO438" t="s">
        <v>74</v>
      </c>
      <c r="BP438" t="s">
        <v>74</v>
      </c>
      <c r="BQ438" t="s">
        <v>74</v>
      </c>
      <c r="BR438" t="s">
        <v>74</v>
      </c>
      <c r="BS438" t="s">
        <v>3380</v>
      </c>
      <c r="BT438" t="str">
        <f>HYPERLINK("https%3A%2F%2Fwww.webofscience.com%2Fwos%2Fwoscc%2Ffull-record%2FWOS:000403075500007","View Full Record in Web of Science")</f>
        <v>View Full Record in Web of Science</v>
      </c>
    </row>
    <row r="439" spans="1:72" x14ac:dyDescent="0.2">
      <c r="A439" t="s">
        <v>72</v>
      </c>
      <c r="B439" t="s">
        <v>3381</v>
      </c>
      <c r="C439" t="s">
        <v>74</v>
      </c>
      <c r="D439" t="s">
        <v>74</v>
      </c>
      <c r="E439" t="s">
        <v>74</v>
      </c>
      <c r="F439" t="s">
        <v>3382</v>
      </c>
      <c r="G439" t="s">
        <v>74</v>
      </c>
      <c r="H439" t="s">
        <v>74</v>
      </c>
      <c r="I439" t="s">
        <v>3383</v>
      </c>
      <c r="J439" t="s">
        <v>423</v>
      </c>
      <c r="K439" t="s">
        <v>74</v>
      </c>
      <c r="L439" t="s">
        <v>74</v>
      </c>
      <c r="M439" t="s">
        <v>74</v>
      </c>
      <c r="N439" t="s">
        <v>74</v>
      </c>
      <c r="O439" t="s">
        <v>74</v>
      </c>
      <c r="P439" t="s">
        <v>74</v>
      </c>
      <c r="Q439" t="s">
        <v>74</v>
      </c>
      <c r="R439" t="s">
        <v>74</v>
      </c>
      <c r="S439" t="s">
        <v>74</v>
      </c>
      <c r="T439" t="s">
        <v>74</v>
      </c>
      <c r="U439" t="s">
        <v>74</v>
      </c>
      <c r="V439" t="s">
        <v>74</v>
      </c>
      <c r="W439" t="s">
        <v>74</v>
      </c>
      <c r="X439" t="s">
        <v>74</v>
      </c>
      <c r="Y439" t="s">
        <v>74</v>
      </c>
      <c r="Z439" t="s">
        <v>74</v>
      </c>
      <c r="AA439" t="s">
        <v>3384</v>
      </c>
      <c r="AB439" t="s">
        <v>7026</v>
      </c>
      <c r="AC439" t="s">
        <v>74</v>
      </c>
      <c r="AD439" t="s">
        <v>74</v>
      </c>
      <c r="AE439" t="s">
        <v>74</v>
      </c>
      <c r="AF439" t="s">
        <v>74</v>
      </c>
      <c r="AG439" t="s">
        <v>74</v>
      </c>
      <c r="AH439" t="s">
        <v>74</v>
      </c>
      <c r="AI439" t="s">
        <v>74</v>
      </c>
      <c r="AJ439" t="s">
        <v>74</v>
      </c>
      <c r="AK439" t="s">
        <v>74</v>
      </c>
      <c r="AL439" t="s">
        <v>74</v>
      </c>
      <c r="AM439" t="s">
        <v>74</v>
      </c>
      <c r="AN439" t="s">
        <v>74</v>
      </c>
      <c r="AO439" t="s">
        <v>425</v>
      </c>
      <c r="AP439" t="s">
        <v>426</v>
      </c>
      <c r="AQ439" t="s">
        <v>74</v>
      </c>
      <c r="AR439" t="s">
        <v>74</v>
      </c>
      <c r="AS439" t="s">
        <v>74</v>
      </c>
      <c r="AT439" t="s">
        <v>569</v>
      </c>
      <c r="AU439">
        <v>2017</v>
      </c>
      <c r="AV439">
        <v>62</v>
      </c>
      <c r="AW439">
        <v>6</v>
      </c>
      <c r="AX439" t="s">
        <v>74</v>
      </c>
      <c r="AY439" t="s">
        <v>74</v>
      </c>
      <c r="AZ439" t="s">
        <v>74</v>
      </c>
      <c r="BA439" t="s">
        <v>74</v>
      </c>
      <c r="BB439">
        <v>990</v>
      </c>
      <c r="BC439">
        <v>1003</v>
      </c>
      <c r="BD439" t="s">
        <v>74</v>
      </c>
      <c r="BE439" t="s">
        <v>3385</v>
      </c>
      <c r="BF439" t="str">
        <f>HYPERLINK("http://dx.doi.org/10.1111/fwb.12919","http://dx.doi.org/10.1111/fwb.12919")</f>
        <v>http://dx.doi.org/10.1111/fwb.12919</v>
      </c>
      <c r="BG439" t="s">
        <v>74</v>
      </c>
      <c r="BH439" t="s">
        <v>74</v>
      </c>
      <c r="BI439" t="s">
        <v>74</v>
      </c>
      <c r="BJ439" t="s">
        <v>74</v>
      </c>
      <c r="BK439" t="s">
        <v>74</v>
      </c>
      <c r="BL439" t="s">
        <v>74</v>
      </c>
      <c r="BM439" t="s">
        <v>74</v>
      </c>
      <c r="BN439" t="s">
        <v>74</v>
      </c>
      <c r="BO439" t="s">
        <v>74</v>
      </c>
      <c r="BP439" t="s">
        <v>74</v>
      </c>
      <c r="BQ439" t="s">
        <v>74</v>
      </c>
      <c r="BR439" t="s">
        <v>74</v>
      </c>
      <c r="BS439" t="s">
        <v>3386</v>
      </c>
      <c r="BT439" t="str">
        <f>HYPERLINK("https%3A%2F%2Fwww.webofscience.com%2Fwos%2Fwoscc%2Ffull-record%2FWOS:000400571200003","View Full Record in Web of Science")</f>
        <v>View Full Record in Web of Science</v>
      </c>
    </row>
    <row r="440" spans="1:72" x14ac:dyDescent="0.2">
      <c r="A440" t="s">
        <v>72</v>
      </c>
      <c r="B440" t="s">
        <v>3387</v>
      </c>
      <c r="C440" t="s">
        <v>74</v>
      </c>
      <c r="D440" t="s">
        <v>74</v>
      </c>
      <c r="E440" t="s">
        <v>74</v>
      </c>
      <c r="F440" t="s">
        <v>3388</v>
      </c>
      <c r="G440" t="s">
        <v>74</v>
      </c>
      <c r="H440" t="s">
        <v>74</v>
      </c>
      <c r="I440" t="s">
        <v>3389</v>
      </c>
      <c r="J440" t="s">
        <v>124</v>
      </c>
      <c r="K440" t="s">
        <v>74</v>
      </c>
      <c r="L440" t="s">
        <v>74</v>
      </c>
      <c r="M440" t="s">
        <v>74</v>
      </c>
      <c r="N440" t="s">
        <v>74</v>
      </c>
      <c r="O440" t="s">
        <v>74</v>
      </c>
      <c r="P440" t="s">
        <v>74</v>
      </c>
      <c r="Q440" t="s">
        <v>74</v>
      </c>
      <c r="R440" t="s">
        <v>74</v>
      </c>
      <c r="S440" t="s">
        <v>74</v>
      </c>
      <c r="T440" t="s">
        <v>74</v>
      </c>
      <c r="U440" t="s">
        <v>74</v>
      </c>
      <c r="V440" t="s">
        <v>74</v>
      </c>
      <c r="W440" t="s">
        <v>74</v>
      </c>
      <c r="X440" t="s">
        <v>74</v>
      </c>
      <c r="Y440" t="s">
        <v>74</v>
      </c>
      <c r="Z440" t="s">
        <v>74</v>
      </c>
      <c r="AA440" t="s">
        <v>7027</v>
      </c>
      <c r="AB440" t="s">
        <v>3390</v>
      </c>
      <c r="AC440" t="s">
        <v>74</v>
      </c>
      <c r="AD440" t="s">
        <v>74</v>
      </c>
      <c r="AE440" t="s">
        <v>74</v>
      </c>
      <c r="AF440" t="s">
        <v>74</v>
      </c>
      <c r="AG440" t="s">
        <v>74</v>
      </c>
      <c r="AH440" t="s">
        <v>74</v>
      </c>
      <c r="AI440" t="s">
        <v>74</v>
      </c>
      <c r="AJ440" t="s">
        <v>74</v>
      </c>
      <c r="AK440" t="s">
        <v>74</v>
      </c>
      <c r="AL440" t="s">
        <v>74</v>
      </c>
      <c r="AM440" t="s">
        <v>74</v>
      </c>
      <c r="AN440" t="s">
        <v>74</v>
      </c>
      <c r="AO440" t="s">
        <v>127</v>
      </c>
      <c r="AP440" t="s">
        <v>128</v>
      </c>
      <c r="AQ440" t="s">
        <v>74</v>
      </c>
      <c r="AR440" t="s">
        <v>74</v>
      </c>
      <c r="AS440" t="s">
        <v>74</v>
      </c>
      <c r="AT440" t="s">
        <v>569</v>
      </c>
      <c r="AU440">
        <v>2017</v>
      </c>
      <c r="AV440">
        <v>794</v>
      </c>
      <c r="AW440">
        <v>1</v>
      </c>
      <c r="AX440" t="s">
        <v>74</v>
      </c>
      <c r="AY440" t="s">
        <v>74</v>
      </c>
      <c r="AZ440" t="s">
        <v>74</v>
      </c>
      <c r="BA440" t="s">
        <v>74</v>
      </c>
      <c r="BB440">
        <v>317</v>
      </c>
      <c r="BC440">
        <v>332</v>
      </c>
      <c r="BD440" t="s">
        <v>74</v>
      </c>
      <c r="BE440" t="s">
        <v>3391</v>
      </c>
      <c r="BF440" t="str">
        <f>HYPERLINK("http://dx.doi.org/10.1007/s10750-017-3137-z","http://dx.doi.org/10.1007/s10750-017-3137-z")</f>
        <v>http://dx.doi.org/10.1007/s10750-017-3137-z</v>
      </c>
      <c r="BG440" t="s">
        <v>74</v>
      </c>
      <c r="BH440" t="s">
        <v>74</v>
      </c>
      <c r="BI440" t="s">
        <v>74</v>
      </c>
      <c r="BJ440" t="s">
        <v>74</v>
      </c>
      <c r="BK440" t="s">
        <v>74</v>
      </c>
      <c r="BL440" t="s">
        <v>74</v>
      </c>
      <c r="BM440" t="s">
        <v>74</v>
      </c>
      <c r="BN440" t="s">
        <v>74</v>
      </c>
      <c r="BO440" t="s">
        <v>74</v>
      </c>
      <c r="BP440" t="s">
        <v>74</v>
      </c>
      <c r="BQ440" t="s">
        <v>74</v>
      </c>
      <c r="BR440" t="s">
        <v>74</v>
      </c>
      <c r="BS440" t="s">
        <v>3392</v>
      </c>
      <c r="BT440" t="str">
        <f>HYPERLINK("https%3A%2F%2Fwww.webofscience.com%2Fwos%2Fwoscc%2Ffull-record%2FWOS:000401474400021","View Full Record in Web of Science")</f>
        <v>View Full Record in Web of Science</v>
      </c>
    </row>
    <row r="441" spans="1:72" x14ac:dyDescent="0.2">
      <c r="A441" t="s">
        <v>72</v>
      </c>
      <c r="B441" t="s">
        <v>3393</v>
      </c>
      <c r="C441" t="s">
        <v>74</v>
      </c>
      <c r="D441" t="s">
        <v>74</v>
      </c>
      <c r="E441" t="s">
        <v>74</v>
      </c>
      <c r="F441" t="s">
        <v>3394</v>
      </c>
      <c r="G441" t="s">
        <v>74</v>
      </c>
      <c r="H441" t="s">
        <v>74</v>
      </c>
      <c r="I441" t="s">
        <v>3395</v>
      </c>
      <c r="J441" t="s">
        <v>322</v>
      </c>
      <c r="K441" t="s">
        <v>74</v>
      </c>
      <c r="L441" t="s">
        <v>74</v>
      </c>
      <c r="M441" t="s">
        <v>74</v>
      </c>
      <c r="N441" t="s">
        <v>74</v>
      </c>
      <c r="O441" t="s">
        <v>74</v>
      </c>
      <c r="P441" t="s">
        <v>74</v>
      </c>
      <c r="Q441" t="s">
        <v>74</v>
      </c>
      <c r="R441" t="s">
        <v>74</v>
      </c>
      <c r="S441" t="s">
        <v>74</v>
      </c>
      <c r="T441" t="s">
        <v>74</v>
      </c>
      <c r="U441" t="s">
        <v>74</v>
      </c>
      <c r="V441" t="s">
        <v>74</v>
      </c>
      <c r="W441" t="s">
        <v>74</v>
      </c>
      <c r="X441" t="s">
        <v>74</v>
      </c>
      <c r="Y441" t="s">
        <v>74</v>
      </c>
      <c r="Z441" t="s">
        <v>74</v>
      </c>
      <c r="AA441" t="s">
        <v>3396</v>
      </c>
      <c r="AB441" t="s">
        <v>3397</v>
      </c>
      <c r="AC441" t="s">
        <v>74</v>
      </c>
      <c r="AD441" t="s">
        <v>74</v>
      </c>
      <c r="AE441" t="s">
        <v>74</v>
      </c>
      <c r="AF441" t="s">
        <v>74</v>
      </c>
      <c r="AG441" t="s">
        <v>74</v>
      </c>
      <c r="AH441" t="s">
        <v>74</v>
      </c>
      <c r="AI441" t="s">
        <v>74</v>
      </c>
      <c r="AJ441" t="s">
        <v>74</v>
      </c>
      <c r="AK441" t="s">
        <v>74</v>
      </c>
      <c r="AL441" t="s">
        <v>74</v>
      </c>
      <c r="AM441" t="s">
        <v>74</v>
      </c>
      <c r="AN441" t="s">
        <v>74</v>
      </c>
      <c r="AO441" t="s">
        <v>324</v>
      </c>
      <c r="AP441" t="s">
        <v>325</v>
      </c>
      <c r="AQ441" t="s">
        <v>74</v>
      </c>
      <c r="AR441" t="s">
        <v>74</v>
      </c>
      <c r="AS441" t="s">
        <v>74</v>
      </c>
      <c r="AT441" t="s">
        <v>569</v>
      </c>
      <c r="AU441">
        <v>2017</v>
      </c>
      <c r="AV441">
        <v>19</v>
      </c>
      <c r="AW441">
        <v>6</v>
      </c>
      <c r="AX441" t="s">
        <v>74</v>
      </c>
      <c r="AY441" t="s">
        <v>74</v>
      </c>
      <c r="AZ441" t="s">
        <v>632</v>
      </c>
      <c r="BA441" t="s">
        <v>74</v>
      </c>
      <c r="BB441">
        <v>2133</v>
      </c>
      <c r="BC441">
        <v>2150</v>
      </c>
      <c r="BD441" t="s">
        <v>74</v>
      </c>
      <c r="BE441" t="s">
        <v>3398</v>
      </c>
      <c r="BF441" t="str">
        <f>HYPERLINK("http://dx.doi.org/10.1111/1462-2920.13742","http://dx.doi.org/10.1111/1462-2920.13742")</f>
        <v>http://dx.doi.org/10.1111/1462-2920.13742</v>
      </c>
      <c r="BG441" t="s">
        <v>74</v>
      </c>
      <c r="BH441" t="s">
        <v>74</v>
      </c>
      <c r="BI441" t="s">
        <v>74</v>
      </c>
      <c r="BJ441" t="s">
        <v>74</v>
      </c>
      <c r="BK441" t="s">
        <v>74</v>
      </c>
      <c r="BL441" t="s">
        <v>74</v>
      </c>
      <c r="BM441" t="s">
        <v>74</v>
      </c>
      <c r="BN441">
        <v>28370850</v>
      </c>
      <c r="BO441" t="s">
        <v>74</v>
      </c>
      <c r="BP441" t="s">
        <v>74</v>
      </c>
      <c r="BQ441" t="s">
        <v>74</v>
      </c>
      <c r="BR441" t="s">
        <v>74</v>
      </c>
      <c r="BS441" t="s">
        <v>3399</v>
      </c>
      <c r="BT441" t="str">
        <f>HYPERLINK("https%3A%2F%2Fwww.webofscience.com%2Fwos%2Fwoscc%2Ffull-record%2FWOS:000404007700007","View Full Record in Web of Science")</f>
        <v>View Full Record in Web of Science</v>
      </c>
    </row>
    <row r="442" spans="1:72" x14ac:dyDescent="0.2">
      <c r="A442" t="s">
        <v>72</v>
      </c>
      <c r="B442" t="s">
        <v>3400</v>
      </c>
      <c r="C442" t="s">
        <v>74</v>
      </c>
      <c r="D442" t="s">
        <v>74</v>
      </c>
      <c r="E442" t="s">
        <v>74</v>
      </c>
      <c r="F442" t="s">
        <v>3401</v>
      </c>
      <c r="G442" t="s">
        <v>74</v>
      </c>
      <c r="H442" t="s">
        <v>74</v>
      </c>
      <c r="I442" t="s">
        <v>3402</v>
      </c>
      <c r="J442" t="s">
        <v>218</v>
      </c>
      <c r="K442" t="s">
        <v>74</v>
      </c>
      <c r="L442" t="s">
        <v>74</v>
      </c>
      <c r="M442" t="s">
        <v>74</v>
      </c>
      <c r="N442" t="s">
        <v>74</v>
      </c>
      <c r="O442" t="s">
        <v>74</v>
      </c>
      <c r="P442" t="s">
        <v>74</v>
      </c>
      <c r="Q442" t="s">
        <v>74</v>
      </c>
      <c r="R442" t="s">
        <v>74</v>
      </c>
      <c r="S442" t="s">
        <v>74</v>
      </c>
      <c r="T442" t="s">
        <v>74</v>
      </c>
      <c r="U442" t="s">
        <v>74</v>
      </c>
      <c r="V442" t="s">
        <v>74</v>
      </c>
      <c r="W442" t="s">
        <v>74</v>
      </c>
      <c r="X442" t="s">
        <v>74</v>
      </c>
      <c r="Y442" t="s">
        <v>74</v>
      </c>
      <c r="Z442" t="s">
        <v>74</v>
      </c>
      <c r="AA442" t="s">
        <v>3403</v>
      </c>
      <c r="AB442" t="s">
        <v>3404</v>
      </c>
      <c r="AC442" t="s">
        <v>74</v>
      </c>
      <c r="AD442" t="s">
        <v>74</v>
      </c>
      <c r="AE442" t="s">
        <v>74</v>
      </c>
      <c r="AF442" t="s">
        <v>74</v>
      </c>
      <c r="AG442" t="s">
        <v>74</v>
      </c>
      <c r="AH442" t="s">
        <v>74</v>
      </c>
      <c r="AI442" t="s">
        <v>74</v>
      </c>
      <c r="AJ442" t="s">
        <v>74</v>
      </c>
      <c r="AK442" t="s">
        <v>74</v>
      </c>
      <c r="AL442" t="s">
        <v>74</v>
      </c>
      <c r="AM442" t="s">
        <v>74</v>
      </c>
      <c r="AN442" t="s">
        <v>74</v>
      </c>
      <c r="AO442" t="s">
        <v>220</v>
      </c>
      <c r="AP442" t="s">
        <v>74</v>
      </c>
      <c r="AQ442" t="s">
        <v>74</v>
      </c>
      <c r="AR442" t="s">
        <v>74</v>
      </c>
      <c r="AS442" t="s">
        <v>74</v>
      </c>
      <c r="AT442" t="s">
        <v>3405</v>
      </c>
      <c r="AU442">
        <v>2017</v>
      </c>
      <c r="AV442">
        <v>7</v>
      </c>
      <c r="AW442" t="s">
        <v>74</v>
      </c>
      <c r="AX442" t="s">
        <v>74</v>
      </c>
      <c r="AY442" t="s">
        <v>74</v>
      </c>
      <c r="AZ442" t="s">
        <v>74</v>
      </c>
      <c r="BA442" t="s">
        <v>74</v>
      </c>
      <c r="BB442" t="s">
        <v>74</v>
      </c>
      <c r="BC442" t="s">
        <v>74</v>
      </c>
      <c r="BD442">
        <v>1773</v>
      </c>
      <c r="BE442" t="s">
        <v>3406</v>
      </c>
      <c r="BF442" t="str">
        <f>HYPERLINK("http://dx.doi.org/10.1038/s41598-017-01808-y","http://dx.doi.org/10.1038/s41598-017-01808-y")</f>
        <v>http://dx.doi.org/10.1038/s41598-017-01808-y</v>
      </c>
      <c r="BG442" t="s">
        <v>74</v>
      </c>
      <c r="BH442" t="s">
        <v>74</v>
      </c>
      <c r="BI442" t="s">
        <v>74</v>
      </c>
      <c r="BJ442" t="s">
        <v>74</v>
      </c>
      <c r="BK442" t="s">
        <v>74</v>
      </c>
      <c r="BL442" t="s">
        <v>74</v>
      </c>
      <c r="BM442" t="s">
        <v>74</v>
      </c>
      <c r="BN442">
        <v>28496194</v>
      </c>
      <c r="BO442" t="s">
        <v>74</v>
      </c>
      <c r="BP442" t="s">
        <v>74</v>
      </c>
      <c r="BQ442" t="s">
        <v>74</v>
      </c>
      <c r="BR442" t="s">
        <v>74</v>
      </c>
      <c r="BS442" t="s">
        <v>3407</v>
      </c>
      <c r="BT442" t="str">
        <f>HYPERLINK("https%3A%2F%2Fwww.webofscience.com%2Fwos%2Fwoscc%2Ffull-record%2FWOS:000400959000040","View Full Record in Web of Science")</f>
        <v>View Full Record in Web of Science</v>
      </c>
    </row>
    <row r="443" spans="1:72" x14ac:dyDescent="0.2">
      <c r="A443" t="s">
        <v>72</v>
      </c>
      <c r="B443" t="s">
        <v>3408</v>
      </c>
      <c r="C443" t="s">
        <v>74</v>
      </c>
      <c r="D443" t="s">
        <v>74</v>
      </c>
      <c r="E443" t="s">
        <v>74</v>
      </c>
      <c r="F443" t="s">
        <v>3409</v>
      </c>
      <c r="G443" t="s">
        <v>74</v>
      </c>
      <c r="H443" t="s">
        <v>74</v>
      </c>
      <c r="I443" t="s">
        <v>3410</v>
      </c>
      <c r="J443" t="s">
        <v>1377</v>
      </c>
      <c r="K443" t="s">
        <v>74</v>
      </c>
      <c r="L443" t="s">
        <v>74</v>
      </c>
      <c r="M443" t="s">
        <v>74</v>
      </c>
      <c r="N443" t="s">
        <v>74</v>
      </c>
      <c r="O443" t="s">
        <v>74</v>
      </c>
      <c r="P443" t="s">
        <v>74</v>
      </c>
      <c r="Q443" t="s">
        <v>74</v>
      </c>
      <c r="R443" t="s">
        <v>74</v>
      </c>
      <c r="S443" t="s">
        <v>74</v>
      </c>
      <c r="T443" t="s">
        <v>74</v>
      </c>
      <c r="U443" t="s">
        <v>74</v>
      </c>
      <c r="V443" t="s">
        <v>74</v>
      </c>
      <c r="W443" t="s">
        <v>74</v>
      </c>
      <c r="X443" t="s">
        <v>74</v>
      </c>
      <c r="Y443" t="s">
        <v>74</v>
      </c>
      <c r="Z443" t="s">
        <v>74</v>
      </c>
      <c r="AA443" t="s">
        <v>7028</v>
      </c>
      <c r="AB443" t="s">
        <v>3411</v>
      </c>
      <c r="AC443" t="s">
        <v>74</v>
      </c>
      <c r="AD443" t="s">
        <v>74</v>
      </c>
      <c r="AE443" t="s">
        <v>74</v>
      </c>
      <c r="AF443" t="s">
        <v>74</v>
      </c>
      <c r="AG443" t="s">
        <v>74</v>
      </c>
      <c r="AH443" t="s">
        <v>74</v>
      </c>
      <c r="AI443" t="s">
        <v>74</v>
      </c>
      <c r="AJ443" t="s">
        <v>74</v>
      </c>
      <c r="AK443" t="s">
        <v>74</v>
      </c>
      <c r="AL443" t="s">
        <v>74</v>
      </c>
      <c r="AM443" t="s">
        <v>74</v>
      </c>
      <c r="AN443" t="s">
        <v>74</v>
      </c>
      <c r="AO443" t="s">
        <v>1380</v>
      </c>
      <c r="AP443" t="s">
        <v>1381</v>
      </c>
      <c r="AQ443" t="s">
        <v>74</v>
      </c>
      <c r="AR443" t="s">
        <v>74</v>
      </c>
      <c r="AS443" t="s">
        <v>74</v>
      </c>
      <c r="AT443" t="s">
        <v>575</v>
      </c>
      <c r="AU443">
        <v>2017</v>
      </c>
      <c r="AV443">
        <v>105</v>
      </c>
      <c r="AW443">
        <v>3</v>
      </c>
      <c r="AX443" t="s">
        <v>74</v>
      </c>
      <c r="AY443" t="s">
        <v>74</v>
      </c>
      <c r="AZ443" t="s">
        <v>632</v>
      </c>
      <c r="BA443" t="s">
        <v>74</v>
      </c>
      <c r="BB443">
        <v>580</v>
      </c>
      <c r="BC443">
        <v>591</v>
      </c>
      <c r="BD443" t="s">
        <v>74</v>
      </c>
      <c r="BE443" t="s">
        <v>3412</v>
      </c>
      <c r="BF443" t="str">
        <f>HYPERLINK("http://dx.doi.org/10.1111/1365-2745.12759","http://dx.doi.org/10.1111/1365-2745.12759")</f>
        <v>http://dx.doi.org/10.1111/1365-2745.12759</v>
      </c>
      <c r="BG443" t="s">
        <v>74</v>
      </c>
      <c r="BH443" t="s">
        <v>74</v>
      </c>
      <c r="BI443" t="s">
        <v>74</v>
      </c>
      <c r="BJ443" t="s">
        <v>74</v>
      </c>
      <c r="BK443" t="s">
        <v>74</v>
      </c>
      <c r="BL443" t="s">
        <v>74</v>
      </c>
      <c r="BM443" t="s">
        <v>74</v>
      </c>
      <c r="BN443" t="s">
        <v>74</v>
      </c>
      <c r="BO443" t="s">
        <v>74</v>
      </c>
      <c r="BP443" t="s">
        <v>74</v>
      </c>
      <c r="BQ443" t="s">
        <v>74</v>
      </c>
      <c r="BR443" t="s">
        <v>74</v>
      </c>
      <c r="BS443" t="s">
        <v>3413</v>
      </c>
      <c r="BT443" t="str">
        <f>HYPERLINK("https%3A%2F%2Fwww.webofscience.com%2Fwos%2Fwoscc%2Ffull-record%2FWOS:000400594500003","View Full Record in Web of Science")</f>
        <v>View Full Record in Web of Science</v>
      </c>
    </row>
    <row r="444" spans="1:72" x14ac:dyDescent="0.2">
      <c r="A444" t="s">
        <v>72</v>
      </c>
      <c r="B444" t="s">
        <v>3414</v>
      </c>
      <c r="C444" t="s">
        <v>74</v>
      </c>
      <c r="D444" t="s">
        <v>74</v>
      </c>
      <c r="E444" t="s">
        <v>74</v>
      </c>
      <c r="F444" t="s">
        <v>3415</v>
      </c>
      <c r="G444" t="s">
        <v>74</v>
      </c>
      <c r="H444" t="s">
        <v>74</v>
      </c>
      <c r="I444" t="s">
        <v>3416</v>
      </c>
      <c r="J444" t="s">
        <v>106</v>
      </c>
      <c r="K444" t="s">
        <v>74</v>
      </c>
      <c r="L444" t="s">
        <v>74</v>
      </c>
      <c r="M444" t="s">
        <v>74</v>
      </c>
      <c r="N444" t="s">
        <v>74</v>
      </c>
      <c r="O444" t="s">
        <v>74</v>
      </c>
      <c r="P444" t="s">
        <v>74</v>
      </c>
      <c r="Q444" t="s">
        <v>74</v>
      </c>
      <c r="R444" t="s">
        <v>74</v>
      </c>
      <c r="S444" t="s">
        <v>74</v>
      </c>
      <c r="T444" t="s">
        <v>74</v>
      </c>
      <c r="U444" t="s">
        <v>74</v>
      </c>
      <c r="V444" t="s">
        <v>74</v>
      </c>
      <c r="W444" t="s">
        <v>74</v>
      </c>
      <c r="X444" t="s">
        <v>74</v>
      </c>
      <c r="Y444" t="s">
        <v>74</v>
      </c>
      <c r="Z444" t="s">
        <v>74</v>
      </c>
      <c r="AA444" t="s">
        <v>74</v>
      </c>
      <c r="AB444" t="s">
        <v>74</v>
      </c>
      <c r="AC444" t="s">
        <v>74</v>
      </c>
      <c r="AD444" t="s">
        <v>74</v>
      </c>
      <c r="AE444" t="s">
        <v>74</v>
      </c>
      <c r="AF444" t="s">
        <v>74</v>
      </c>
      <c r="AG444" t="s">
        <v>74</v>
      </c>
      <c r="AH444" t="s">
        <v>74</v>
      </c>
      <c r="AI444" t="s">
        <v>74</v>
      </c>
      <c r="AJ444" t="s">
        <v>74</v>
      </c>
      <c r="AK444" t="s">
        <v>74</v>
      </c>
      <c r="AL444" t="s">
        <v>74</v>
      </c>
      <c r="AM444" t="s">
        <v>74</v>
      </c>
      <c r="AN444" t="s">
        <v>74</v>
      </c>
      <c r="AO444" t="s">
        <v>107</v>
      </c>
      <c r="AP444" t="s">
        <v>108</v>
      </c>
      <c r="AQ444" t="s">
        <v>74</v>
      </c>
      <c r="AR444" t="s">
        <v>74</v>
      </c>
      <c r="AS444" t="s">
        <v>74</v>
      </c>
      <c r="AT444" t="s">
        <v>2624</v>
      </c>
      <c r="AU444">
        <v>2017</v>
      </c>
      <c r="AV444">
        <v>39</v>
      </c>
      <c r="AW444">
        <v>3</v>
      </c>
      <c r="AX444" t="s">
        <v>74</v>
      </c>
      <c r="AY444" t="s">
        <v>74</v>
      </c>
      <c r="AZ444" t="s">
        <v>74</v>
      </c>
      <c r="BA444" t="s">
        <v>74</v>
      </c>
      <c r="BB444">
        <v>550</v>
      </c>
      <c r="BC444">
        <v>563</v>
      </c>
      <c r="BD444" t="s">
        <v>74</v>
      </c>
      <c r="BE444" t="s">
        <v>3417</v>
      </c>
      <c r="BF444" t="str">
        <f>HYPERLINK("http://dx.doi.org/10.1093/plankt/fbx011","http://dx.doi.org/10.1093/plankt/fbx011")</f>
        <v>http://dx.doi.org/10.1093/plankt/fbx011</v>
      </c>
      <c r="BG444" t="s">
        <v>74</v>
      </c>
      <c r="BH444" t="s">
        <v>74</v>
      </c>
      <c r="BI444" t="s">
        <v>74</v>
      </c>
      <c r="BJ444" t="s">
        <v>74</v>
      </c>
      <c r="BK444" t="s">
        <v>74</v>
      </c>
      <c r="BL444" t="s">
        <v>74</v>
      </c>
      <c r="BM444" t="s">
        <v>74</v>
      </c>
      <c r="BN444" t="s">
        <v>74</v>
      </c>
      <c r="BO444" t="s">
        <v>74</v>
      </c>
      <c r="BP444" t="s">
        <v>74</v>
      </c>
      <c r="BQ444" t="s">
        <v>74</v>
      </c>
      <c r="BR444" t="s">
        <v>74</v>
      </c>
      <c r="BS444" t="s">
        <v>3418</v>
      </c>
      <c r="BT444" t="str">
        <f>HYPERLINK("https%3A%2F%2Fwww.webofscience.com%2Fwos%2Fwoscc%2Ffull-record%2FWOS:000402613800015","View Full Record in Web of Science")</f>
        <v>View Full Record in Web of Science</v>
      </c>
    </row>
    <row r="445" spans="1:72" x14ac:dyDescent="0.2">
      <c r="A445" t="s">
        <v>72</v>
      </c>
      <c r="B445" t="s">
        <v>3419</v>
      </c>
      <c r="C445" t="s">
        <v>74</v>
      </c>
      <c r="D445" t="s">
        <v>74</v>
      </c>
      <c r="E445" t="s">
        <v>74</v>
      </c>
      <c r="F445" t="s">
        <v>3420</v>
      </c>
      <c r="G445" t="s">
        <v>74</v>
      </c>
      <c r="H445" t="s">
        <v>74</v>
      </c>
      <c r="I445" t="s">
        <v>3421</v>
      </c>
      <c r="J445" t="s">
        <v>2199</v>
      </c>
      <c r="K445" t="s">
        <v>74</v>
      </c>
      <c r="L445" t="s">
        <v>74</v>
      </c>
      <c r="M445" t="s">
        <v>74</v>
      </c>
      <c r="N445" t="s">
        <v>74</v>
      </c>
      <c r="O445" t="s">
        <v>74</v>
      </c>
      <c r="P445" t="s">
        <v>74</v>
      </c>
      <c r="Q445" t="s">
        <v>74</v>
      </c>
      <c r="R445" t="s">
        <v>74</v>
      </c>
      <c r="S445" t="s">
        <v>74</v>
      </c>
      <c r="T445" t="s">
        <v>74</v>
      </c>
      <c r="U445" t="s">
        <v>74</v>
      </c>
      <c r="V445" t="s">
        <v>74</v>
      </c>
      <c r="W445" t="s">
        <v>74</v>
      </c>
      <c r="X445" t="s">
        <v>74</v>
      </c>
      <c r="Y445" t="s">
        <v>74</v>
      </c>
      <c r="Z445" t="s">
        <v>74</v>
      </c>
      <c r="AA445" t="s">
        <v>74</v>
      </c>
      <c r="AB445" t="s">
        <v>3422</v>
      </c>
      <c r="AC445" t="s">
        <v>74</v>
      </c>
      <c r="AD445" t="s">
        <v>74</v>
      </c>
      <c r="AE445" t="s">
        <v>74</v>
      </c>
      <c r="AF445" t="s">
        <v>74</v>
      </c>
      <c r="AG445" t="s">
        <v>74</v>
      </c>
      <c r="AH445" t="s">
        <v>74</v>
      </c>
      <c r="AI445" t="s">
        <v>74</v>
      </c>
      <c r="AJ445" t="s">
        <v>74</v>
      </c>
      <c r="AK445" t="s">
        <v>74</v>
      </c>
      <c r="AL445" t="s">
        <v>74</v>
      </c>
      <c r="AM445" t="s">
        <v>74</v>
      </c>
      <c r="AN445" t="s">
        <v>74</v>
      </c>
      <c r="AO445" t="s">
        <v>2200</v>
      </c>
      <c r="AP445" t="s">
        <v>2201</v>
      </c>
      <c r="AQ445" t="s">
        <v>74</v>
      </c>
      <c r="AR445" t="s">
        <v>74</v>
      </c>
      <c r="AS445" t="s">
        <v>74</v>
      </c>
      <c r="AT445" t="s">
        <v>203</v>
      </c>
      <c r="AU445">
        <v>2017</v>
      </c>
      <c r="AV445">
        <v>26</v>
      </c>
      <c r="AW445">
        <v>3</v>
      </c>
      <c r="AX445" t="s">
        <v>74</v>
      </c>
      <c r="AY445" t="s">
        <v>74</v>
      </c>
      <c r="AZ445" t="s">
        <v>74</v>
      </c>
      <c r="BA445" t="s">
        <v>74</v>
      </c>
      <c r="BB445">
        <v>329</v>
      </c>
      <c r="BC445">
        <v>339</v>
      </c>
      <c r="BD445" t="s">
        <v>74</v>
      </c>
      <c r="BE445" t="s">
        <v>3423</v>
      </c>
      <c r="BF445" t="str">
        <f>HYPERLINK("http://dx.doi.org/10.1007/s10646-017-1766-7","http://dx.doi.org/10.1007/s10646-017-1766-7")</f>
        <v>http://dx.doi.org/10.1007/s10646-017-1766-7</v>
      </c>
      <c r="BG445" t="s">
        <v>74</v>
      </c>
      <c r="BH445" t="s">
        <v>74</v>
      </c>
      <c r="BI445" t="s">
        <v>74</v>
      </c>
      <c r="BJ445" t="s">
        <v>74</v>
      </c>
      <c r="BK445" t="s">
        <v>74</v>
      </c>
      <c r="BL445" t="s">
        <v>74</v>
      </c>
      <c r="BM445" t="s">
        <v>74</v>
      </c>
      <c r="BN445">
        <v>28105571</v>
      </c>
      <c r="BO445" t="s">
        <v>74</v>
      </c>
      <c r="BP445" t="s">
        <v>74</v>
      </c>
      <c r="BQ445" t="s">
        <v>74</v>
      </c>
      <c r="BR445" t="s">
        <v>74</v>
      </c>
      <c r="BS445" t="s">
        <v>3424</v>
      </c>
      <c r="BT445" t="str">
        <f>HYPERLINK("https%3A%2F%2Fwww.webofscience.com%2Fwos%2Fwoscc%2Ffull-record%2FWOS:000399817400005","View Full Record in Web of Science")</f>
        <v>View Full Record in Web of Science</v>
      </c>
    </row>
    <row r="446" spans="1:72" x14ac:dyDescent="0.2">
      <c r="A446" t="s">
        <v>72</v>
      </c>
      <c r="B446" t="s">
        <v>3425</v>
      </c>
      <c r="C446" t="s">
        <v>74</v>
      </c>
      <c r="D446" t="s">
        <v>74</v>
      </c>
      <c r="E446" t="s">
        <v>74</v>
      </c>
      <c r="F446" t="s">
        <v>3426</v>
      </c>
      <c r="G446" t="s">
        <v>74</v>
      </c>
      <c r="H446" t="s">
        <v>74</v>
      </c>
      <c r="I446" t="s">
        <v>3427</v>
      </c>
      <c r="J446" t="s">
        <v>457</v>
      </c>
      <c r="K446" t="s">
        <v>74</v>
      </c>
      <c r="L446" t="s">
        <v>74</v>
      </c>
      <c r="M446" t="s">
        <v>74</v>
      </c>
      <c r="N446" t="s">
        <v>74</v>
      </c>
      <c r="O446" t="s">
        <v>74</v>
      </c>
      <c r="P446" t="s">
        <v>74</v>
      </c>
      <c r="Q446" t="s">
        <v>74</v>
      </c>
      <c r="R446" t="s">
        <v>74</v>
      </c>
      <c r="S446" t="s">
        <v>74</v>
      </c>
      <c r="T446" t="s">
        <v>74</v>
      </c>
      <c r="U446" t="s">
        <v>74</v>
      </c>
      <c r="V446" t="s">
        <v>74</v>
      </c>
      <c r="W446" t="s">
        <v>74</v>
      </c>
      <c r="X446" t="s">
        <v>74</v>
      </c>
      <c r="Y446" t="s">
        <v>74</v>
      </c>
      <c r="Z446" t="s">
        <v>74</v>
      </c>
      <c r="AA446" t="s">
        <v>7029</v>
      </c>
      <c r="AB446" t="s">
        <v>7030</v>
      </c>
      <c r="AC446" t="s">
        <v>74</v>
      </c>
      <c r="AD446" t="s">
        <v>74</v>
      </c>
      <c r="AE446" t="s">
        <v>74</v>
      </c>
      <c r="AF446" t="s">
        <v>74</v>
      </c>
      <c r="AG446" t="s">
        <v>74</v>
      </c>
      <c r="AH446" t="s">
        <v>74</v>
      </c>
      <c r="AI446" t="s">
        <v>74</v>
      </c>
      <c r="AJ446" t="s">
        <v>74</v>
      </c>
      <c r="AK446" t="s">
        <v>74</v>
      </c>
      <c r="AL446" t="s">
        <v>74</v>
      </c>
      <c r="AM446" t="s">
        <v>74</v>
      </c>
      <c r="AN446" t="s">
        <v>74</v>
      </c>
      <c r="AO446" t="s">
        <v>458</v>
      </c>
      <c r="AP446" t="s">
        <v>74</v>
      </c>
      <c r="AQ446" t="s">
        <v>74</v>
      </c>
      <c r="AR446" t="s">
        <v>74</v>
      </c>
      <c r="AS446" t="s">
        <v>74</v>
      </c>
      <c r="AT446" t="s">
        <v>203</v>
      </c>
      <c r="AU446">
        <v>2017</v>
      </c>
      <c r="AV446">
        <v>7</v>
      </c>
      <c r="AW446">
        <v>8</v>
      </c>
      <c r="AX446" t="s">
        <v>74</v>
      </c>
      <c r="AY446" t="s">
        <v>74</v>
      </c>
      <c r="AZ446" t="s">
        <v>74</v>
      </c>
      <c r="BA446" t="s">
        <v>74</v>
      </c>
      <c r="BB446">
        <v>2626</v>
      </c>
      <c r="BC446">
        <v>2635</v>
      </c>
      <c r="BD446" t="s">
        <v>74</v>
      </c>
      <c r="BE446" t="s">
        <v>3428</v>
      </c>
      <c r="BF446" t="str">
        <f>HYPERLINK("http://dx.doi.org/10.1002/ece3.2805","http://dx.doi.org/10.1002/ece3.2805")</f>
        <v>http://dx.doi.org/10.1002/ece3.2805</v>
      </c>
      <c r="BG446" t="s">
        <v>74</v>
      </c>
      <c r="BH446" t="s">
        <v>74</v>
      </c>
      <c r="BI446" t="s">
        <v>74</v>
      </c>
      <c r="BJ446" t="s">
        <v>74</v>
      </c>
      <c r="BK446" t="s">
        <v>74</v>
      </c>
      <c r="BL446" t="s">
        <v>74</v>
      </c>
      <c r="BM446" t="s">
        <v>74</v>
      </c>
      <c r="BN446">
        <v>28428853</v>
      </c>
      <c r="BO446" t="s">
        <v>74</v>
      </c>
      <c r="BP446" t="s">
        <v>74</v>
      </c>
      <c r="BQ446" t="s">
        <v>74</v>
      </c>
      <c r="BR446" t="s">
        <v>74</v>
      </c>
      <c r="BS446" t="s">
        <v>3429</v>
      </c>
      <c r="BT446" t="str">
        <f>HYPERLINK("https%3A%2F%2Fwww.webofscience.com%2Fwos%2Fwoscc%2Ffull-record%2FWOS:000399737500015","View Full Record in Web of Science")</f>
        <v>View Full Record in Web of Science</v>
      </c>
    </row>
    <row r="447" spans="1:72" x14ac:dyDescent="0.2">
      <c r="A447" t="s">
        <v>72</v>
      </c>
      <c r="B447" t="s">
        <v>3430</v>
      </c>
      <c r="C447" t="s">
        <v>74</v>
      </c>
      <c r="D447" t="s">
        <v>74</v>
      </c>
      <c r="E447" t="s">
        <v>74</v>
      </c>
      <c r="F447" t="s">
        <v>3431</v>
      </c>
      <c r="G447" t="s">
        <v>74</v>
      </c>
      <c r="H447" t="s">
        <v>74</v>
      </c>
      <c r="I447" t="s">
        <v>3432</v>
      </c>
      <c r="J447" t="s">
        <v>3433</v>
      </c>
      <c r="K447" t="s">
        <v>74</v>
      </c>
      <c r="L447" t="s">
        <v>74</v>
      </c>
      <c r="M447" t="s">
        <v>74</v>
      </c>
      <c r="N447" t="s">
        <v>74</v>
      </c>
      <c r="O447" t="s">
        <v>74</v>
      </c>
      <c r="P447" t="s">
        <v>74</v>
      </c>
      <c r="Q447" t="s">
        <v>74</v>
      </c>
      <c r="R447" t="s">
        <v>74</v>
      </c>
      <c r="S447" t="s">
        <v>74</v>
      </c>
      <c r="T447" t="s">
        <v>74</v>
      </c>
      <c r="U447" t="s">
        <v>74</v>
      </c>
      <c r="V447" t="s">
        <v>74</v>
      </c>
      <c r="W447" t="s">
        <v>74</v>
      </c>
      <c r="X447" t="s">
        <v>74</v>
      </c>
      <c r="Y447" t="s">
        <v>74</v>
      </c>
      <c r="Z447" t="s">
        <v>74</v>
      </c>
      <c r="AA447" t="s">
        <v>3434</v>
      </c>
      <c r="AB447" t="s">
        <v>3435</v>
      </c>
      <c r="AC447" t="s">
        <v>74</v>
      </c>
      <c r="AD447" t="s">
        <v>74</v>
      </c>
      <c r="AE447" t="s">
        <v>74</v>
      </c>
      <c r="AF447" t="s">
        <v>74</v>
      </c>
      <c r="AG447" t="s">
        <v>74</v>
      </c>
      <c r="AH447" t="s">
        <v>74</v>
      </c>
      <c r="AI447" t="s">
        <v>74</v>
      </c>
      <c r="AJ447" t="s">
        <v>74</v>
      </c>
      <c r="AK447" t="s">
        <v>74</v>
      </c>
      <c r="AL447" t="s">
        <v>74</v>
      </c>
      <c r="AM447" t="s">
        <v>74</v>
      </c>
      <c r="AN447" t="s">
        <v>74</v>
      </c>
      <c r="AO447" t="s">
        <v>3436</v>
      </c>
      <c r="AP447" t="s">
        <v>3437</v>
      </c>
      <c r="AQ447" t="s">
        <v>74</v>
      </c>
      <c r="AR447" t="s">
        <v>74</v>
      </c>
      <c r="AS447" t="s">
        <v>74</v>
      </c>
      <c r="AT447" t="s">
        <v>1846</v>
      </c>
      <c r="AU447">
        <v>2017</v>
      </c>
      <c r="AV447">
        <v>191</v>
      </c>
      <c r="AW447" t="s">
        <v>74</v>
      </c>
      <c r="AX447" t="s">
        <v>74</v>
      </c>
      <c r="AY447" t="s">
        <v>74</v>
      </c>
      <c r="AZ447" t="s">
        <v>74</v>
      </c>
      <c r="BA447" t="s">
        <v>74</v>
      </c>
      <c r="BB447">
        <v>273</v>
      </c>
      <c r="BC447">
        <v>285</v>
      </c>
      <c r="BD447" t="s">
        <v>74</v>
      </c>
      <c r="BE447" t="s">
        <v>3438</v>
      </c>
      <c r="BF447" t="str">
        <f>HYPERLINK("http://dx.doi.org/10.1016/j.rse.2016.12.013","http://dx.doi.org/10.1016/j.rse.2016.12.013")</f>
        <v>http://dx.doi.org/10.1016/j.rse.2016.12.013</v>
      </c>
      <c r="BG447" t="s">
        <v>74</v>
      </c>
      <c r="BH447" t="s">
        <v>74</v>
      </c>
      <c r="BI447" t="s">
        <v>74</v>
      </c>
      <c r="BJ447" t="s">
        <v>74</v>
      </c>
      <c r="BK447" t="s">
        <v>74</v>
      </c>
      <c r="BL447" t="s">
        <v>74</v>
      </c>
      <c r="BM447" t="s">
        <v>74</v>
      </c>
      <c r="BN447" t="s">
        <v>74</v>
      </c>
      <c r="BO447" t="s">
        <v>74</v>
      </c>
      <c r="BP447" t="s">
        <v>74</v>
      </c>
      <c r="BQ447" t="s">
        <v>74</v>
      </c>
      <c r="BR447" t="s">
        <v>74</v>
      </c>
      <c r="BS447" t="s">
        <v>3439</v>
      </c>
      <c r="BT447" t="str">
        <f>HYPERLINK("https%3A%2F%2Fwww.webofscience.com%2Fwos%2Fwoscc%2Ffull-record%2FWOS:000397360500021","View Full Record in Web of Science")</f>
        <v>View Full Record in Web of Science</v>
      </c>
    </row>
    <row r="448" spans="1:72" x14ac:dyDescent="0.2">
      <c r="A448" t="s">
        <v>72</v>
      </c>
      <c r="B448" t="s">
        <v>3440</v>
      </c>
      <c r="C448" t="s">
        <v>74</v>
      </c>
      <c r="D448" t="s">
        <v>74</v>
      </c>
      <c r="E448" t="s">
        <v>74</v>
      </c>
      <c r="F448" t="s">
        <v>3441</v>
      </c>
      <c r="G448" t="s">
        <v>74</v>
      </c>
      <c r="H448" t="s">
        <v>74</v>
      </c>
      <c r="I448" t="s">
        <v>3442</v>
      </c>
      <c r="J448" t="s">
        <v>3443</v>
      </c>
      <c r="K448" t="s">
        <v>74</v>
      </c>
      <c r="L448" t="s">
        <v>74</v>
      </c>
      <c r="M448" t="s">
        <v>74</v>
      </c>
      <c r="N448" t="s">
        <v>74</v>
      </c>
      <c r="O448" t="s">
        <v>74</v>
      </c>
      <c r="P448" t="s">
        <v>74</v>
      </c>
      <c r="Q448" t="s">
        <v>74</v>
      </c>
      <c r="R448" t="s">
        <v>74</v>
      </c>
      <c r="S448" t="s">
        <v>74</v>
      </c>
      <c r="T448" t="s">
        <v>74</v>
      </c>
      <c r="U448" t="s">
        <v>74</v>
      </c>
      <c r="V448" t="s">
        <v>74</v>
      </c>
      <c r="W448" t="s">
        <v>74</v>
      </c>
      <c r="X448" t="s">
        <v>74</v>
      </c>
      <c r="Y448" t="s">
        <v>74</v>
      </c>
      <c r="Z448" t="s">
        <v>74</v>
      </c>
      <c r="AA448" t="s">
        <v>74</v>
      </c>
      <c r="AB448" t="s">
        <v>3444</v>
      </c>
      <c r="AC448" t="s">
        <v>74</v>
      </c>
      <c r="AD448" t="s">
        <v>74</v>
      </c>
      <c r="AE448" t="s">
        <v>74</v>
      </c>
      <c r="AF448" t="s">
        <v>74</v>
      </c>
      <c r="AG448" t="s">
        <v>74</v>
      </c>
      <c r="AH448" t="s">
        <v>74</v>
      </c>
      <c r="AI448" t="s">
        <v>74</v>
      </c>
      <c r="AJ448" t="s">
        <v>74</v>
      </c>
      <c r="AK448" t="s">
        <v>74</v>
      </c>
      <c r="AL448" t="s">
        <v>74</v>
      </c>
      <c r="AM448" t="s">
        <v>74</v>
      </c>
      <c r="AN448" t="s">
        <v>74</v>
      </c>
      <c r="AO448" t="s">
        <v>3445</v>
      </c>
      <c r="AP448" t="s">
        <v>74</v>
      </c>
      <c r="AQ448" t="s">
        <v>74</v>
      </c>
      <c r="AR448" t="s">
        <v>74</v>
      </c>
      <c r="AS448" t="s">
        <v>74</v>
      </c>
      <c r="AT448" t="s">
        <v>3446</v>
      </c>
      <c r="AU448">
        <v>2017</v>
      </c>
      <c r="AV448">
        <v>12</v>
      </c>
      <c r="AW448">
        <v>3</v>
      </c>
      <c r="AX448" t="s">
        <v>74</v>
      </c>
      <c r="AY448" t="s">
        <v>74</v>
      </c>
      <c r="AZ448" t="s">
        <v>74</v>
      </c>
      <c r="BA448" t="s">
        <v>74</v>
      </c>
      <c r="BB448" t="s">
        <v>74</v>
      </c>
      <c r="BC448" t="s">
        <v>74</v>
      </c>
      <c r="BD448" t="s">
        <v>3447</v>
      </c>
      <c r="BE448" t="s">
        <v>3448</v>
      </c>
      <c r="BF448" t="str">
        <f>HYPERLINK("http://dx.doi.org/10.1371/journal.pone.0173419","http://dx.doi.org/10.1371/journal.pone.0173419")</f>
        <v>http://dx.doi.org/10.1371/journal.pone.0173419</v>
      </c>
      <c r="BG448" t="s">
        <v>74</v>
      </c>
      <c r="BH448" t="s">
        <v>74</v>
      </c>
      <c r="BI448" t="s">
        <v>74</v>
      </c>
      <c r="BJ448" t="s">
        <v>74</v>
      </c>
      <c r="BK448" t="s">
        <v>74</v>
      </c>
      <c r="BL448" t="s">
        <v>74</v>
      </c>
      <c r="BM448" t="s">
        <v>74</v>
      </c>
      <c r="BN448">
        <v>28267810</v>
      </c>
      <c r="BO448" t="s">
        <v>74</v>
      </c>
      <c r="BP448" t="s">
        <v>74</v>
      </c>
      <c r="BQ448" t="s">
        <v>74</v>
      </c>
      <c r="BR448" t="s">
        <v>74</v>
      </c>
      <c r="BS448" t="s">
        <v>3449</v>
      </c>
      <c r="BT448" t="str">
        <f>HYPERLINK("https%3A%2F%2Fwww.webofscience.com%2Fwos%2Fwoscc%2Ffull-record%2FWOS:000396060600030","View Full Record in Web of Science")</f>
        <v>View Full Record in Web of Science</v>
      </c>
    </row>
    <row r="449" spans="1:72" x14ac:dyDescent="0.2">
      <c r="A449" t="s">
        <v>72</v>
      </c>
      <c r="B449" t="s">
        <v>3450</v>
      </c>
      <c r="C449" t="s">
        <v>74</v>
      </c>
      <c r="D449" t="s">
        <v>74</v>
      </c>
      <c r="E449" t="s">
        <v>74</v>
      </c>
      <c r="F449" t="s">
        <v>3451</v>
      </c>
      <c r="G449" t="s">
        <v>74</v>
      </c>
      <c r="H449" t="s">
        <v>74</v>
      </c>
      <c r="I449" t="s">
        <v>3452</v>
      </c>
      <c r="J449" t="s">
        <v>106</v>
      </c>
      <c r="K449" t="s">
        <v>74</v>
      </c>
      <c r="L449" t="s">
        <v>74</v>
      </c>
      <c r="M449" t="s">
        <v>74</v>
      </c>
      <c r="N449" t="s">
        <v>74</v>
      </c>
      <c r="O449" t="s">
        <v>74</v>
      </c>
      <c r="P449" t="s">
        <v>74</v>
      </c>
      <c r="Q449" t="s">
        <v>74</v>
      </c>
      <c r="R449" t="s">
        <v>74</v>
      </c>
      <c r="S449" t="s">
        <v>74</v>
      </c>
      <c r="T449" t="s">
        <v>74</v>
      </c>
      <c r="U449" t="s">
        <v>74</v>
      </c>
      <c r="V449" t="s">
        <v>74</v>
      </c>
      <c r="W449" t="s">
        <v>74</v>
      </c>
      <c r="X449" t="s">
        <v>74</v>
      </c>
      <c r="Y449" t="s">
        <v>74</v>
      </c>
      <c r="Z449" t="s">
        <v>74</v>
      </c>
      <c r="AA449" t="s">
        <v>74</v>
      </c>
      <c r="AB449" t="s">
        <v>3453</v>
      </c>
      <c r="AC449" t="s">
        <v>74</v>
      </c>
      <c r="AD449" t="s">
        <v>74</v>
      </c>
      <c r="AE449" t="s">
        <v>74</v>
      </c>
      <c r="AF449" t="s">
        <v>74</v>
      </c>
      <c r="AG449" t="s">
        <v>74</v>
      </c>
      <c r="AH449" t="s">
        <v>74</v>
      </c>
      <c r="AI449" t="s">
        <v>74</v>
      </c>
      <c r="AJ449" t="s">
        <v>74</v>
      </c>
      <c r="AK449" t="s">
        <v>74</v>
      </c>
      <c r="AL449" t="s">
        <v>74</v>
      </c>
      <c r="AM449" t="s">
        <v>74</v>
      </c>
      <c r="AN449" t="s">
        <v>74</v>
      </c>
      <c r="AO449" t="s">
        <v>107</v>
      </c>
      <c r="AP449" t="s">
        <v>108</v>
      </c>
      <c r="AQ449" t="s">
        <v>74</v>
      </c>
      <c r="AR449" t="s">
        <v>74</v>
      </c>
      <c r="AS449" t="s">
        <v>74</v>
      </c>
      <c r="AT449" t="s">
        <v>3094</v>
      </c>
      <c r="AU449">
        <v>2017</v>
      </c>
      <c r="AV449">
        <v>39</v>
      </c>
      <c r="AW449">
        <v>2</v>
      </c>
      <c r="AX449" t="s">
        <v>74</v>
      </c>
      <c r="AY449" t="s">
        <v>74</v>
      </c>
      <c r="AZ449" t="s">
        <v>74</v>
      </c>
      <c r="BA449" t="s">
        <v>74</v>
      </c>
      <c r="BB449">
        <v>199</v>
      </c>
      <c r="BC449">
        <v>210</v>
      </c>
      <c r="BD449" t="s">
        <v>74</v>
      </c>
      <c r="BE449" t="s">
        <v>3454</v>
      </c>
      <c r="BF449" t="str">
        <f>HYPERLINK("http://dx.doi.org/10.1093/plankt/fbx009","http://dx.doi.org/10.1093/plankt/fbx009")</f>
        <v>http://dx.doi.org/10.1093/plankt/fbx009</v>
      </c>
      <c r="BG449" t="s">
        <v>74</v>
      </c>
      <c r="BH449" t="s">
        <v>74</v>
      </c>
      <c r="BI449" t="s">
        <v>74</v>
      </c>
      <c r="BJ449" t="s">
        <v>74</v>
      </c>
      <c r="BK449" t="s">
        <v>74</v>
      </c>
      <c r="BL449" t="s">
        <v>74</v>
      </c>
      <c r="BM449" t="s">
        <v>74</v>
      </c>
      <c r="BN449" t="s">
        <v>74</v>
      </c>
      <c r="BO449" t="s">
        <v>74</v>
      </c>
      <c r="BP449" t="s">
        <v>74</v>
      </c>
      <c r="BQ449" t="s">
        <v>74</v>
      </c>
      <c r="BR449" t="s">
        <v>74</v>
      </c>
      <c r="BS449" t="s">
        <v>3455</v>
      </c>
      <c r="BT449" t="str">
        <f>HYPERLINK("https%3A%2F%2Fwww.webofscience.com%2Fwos%2Fwoscc%2Ffull-record%2FWOS:000397979400004","View Full Record in Web of Science")</f>
        <v>View Full Record in Web of Science</v>
      </c>
    </row>
    <row r="450" spans="1:72" x14ac:dyDescent="0.2">
      <c r="A450" t="s">
        <v>72</v>
      </c>
      <c r="B450" t="s">
        <v>3456</v>
      </c>
      <c r="C450" t="s">
        <v>74</v>
      </c>
      <c r="D450" t="s">
        <v>74</v>
      </c>
      <c r="E450" t="s">
        <v>74</v>
      </c>
      <c r="F450" t="s">
        <v>3457</v>
      </c>
      <c r="G450" t="s">
        <v>74</v>
      </c>
      <c r="H450" t="s">
        <v>74</v>
      </c>
      <c r="I450" t="s">
        <v>3458</v>
      </c>
      <c r="J450" t="s">
        <v>1569</v>
      </c>
      <c r="K450" t="s">
        <v>74</v>
      </c>
      <c r="L450" t="s">
        <v>74</v>
      </c>
      <c r="M450" t="s">
        <v>74</v>
      </c>
      <c r="N450" t="s">
        <v>74</v>
      </c>
      <c r="O450" t="s">
        <v>74</v>
      </c>
      <c r="P450" t="s">
        <v>74</v>
      </c>
      <c r="Q450" t="s">
        <v>74</v>
      </c>
      <c r="R450" t="s">
        <v>74</v>
      </c>
      <c r="S450" t="s">
        <v>74</v>
      </c>
      <c r="T450" t="s">
        <v>74</v>
      </c>
      <c r="U450" t="s">
        <v>74</v>
      </c>
      <c r="V450" t="s">
        <v>74</v>
      </c>
      <c r="W450" t="s">
        <v>74</v>
      </c>
      <c r="X450" t="s">
        <v>74</v>
      </c>
      <c r="Y450" t="s">
        <v>74</v>
      </c>
      <c r="Z450" t="s">
        <v>74</v>
      </c>
      <c r="AA450" t="s">
        <v>7031</v>
      </c>
      <c r="AB450" t="s">
        <v>7032</v>
      </c>
      <c r="AC450" t="s">
        <v>74</v>
      </c>
      <c r="AD450" t="s">
        <v>74</v>
      </c>
      <c r="AE450" t="s">
        <v>74</v>
      </c>
      <c r="AF450" t="s">
        <v>74</v>
      </c>
      <c r="AG450" t="s">
        <v>74</v>
      </c>
      <c r="AH450" t="s">
        <v>74</v>
      </c>
      <c r="AI450" t="s">
        <v>74</v>
      </c>
      <c r="AJ450" t="s">
        <v>74</v>
      </c>
      <c r="AK450" t="s">
        <v>74</v>
      </c>
      <c r="AL450" t="s">
        <v>74</v>
      </c>
      <c r="AM450" t="s">
        <v>74</v>
      </c>
      <c r="AN450" t="s">
        <v>74</v>
      </c>
      <c r="AO450" t="s">
        <v>1571</v>
      </c>
      <c r="AP450" t="s">
        <v>1572</v>
      </c>
      <c r="AQ450" t="s">
        <v>74</v>
      </c>
      <c r="AR450" t="s">
        <v>74</v>
      </c>
      <c r="AS450" t="s">
        <v>74</v>
      </c>
      <c r="AT450" t="s">
        <v>157</v>
      </c>
      <c r="AU450">
        <v>2017</v>
      </c>
      <c r="AV450">
        <v>36</v>
      </c>
      <c r="AW450">
        <v>1</v>
      </c>
      <c r="AX450" t="s">
        <v>74</v>
      </c>
      <c r="AY450" t="s">
        <v>74</v>
      </c>
      <c r="AZ450" t="s">
        <v>74</v>
      </c>
      <c r="BA450" t="s">
        <v>74</v>
      </c>
      <c r="BB450">
        <v>124</v>
      </c>
      <c r="BC450">
        <v>137</v>
      </c>
      <c r="BD450" t="s">
        <v>74</v>
      </c>
      <c r="BE450" t="s">
        <v>3459</v>
      </c>
      <c r="BF450" t="str">
        <f>HYPERLINK("http://dx.doi.org/10.1086/690675","http://dx.doi.org/10.1086/690675")</f>
        <v>http://dx.doi.org/10.1086/690675</v>
      </c>
      <c r="BG450" t="s">
        <v>74</v>
      </c>
      <c r="BH450" t="s">
        <v>74</v>
      </c>
      <c r="BI450" t="s">
        <v>74</v>
      </c>
      <c r="BJ450" t="s">
        <v>74</v>
      </c>
      <c r="BK450" t="s">
        <v>74</v>
      </c>
      <c r="BL450" t="s">
        <v>74</v>
      </c>
      <c r="BM450" t="s">
        <v>74</v>
      </c>
      <c r="BN450" t="s">
        <v>74</v>
      </c>
      <c r="BO450" t="s">
        <v>74</v>
      </c>
      <c r="BP450" t="s">
        <v>74</v>
      </c>
      <c r="BQ450" t="s">
        <v>74</v>
      </c>
      <c r="BR450" t="s">
        <v>74</v>
      </c>
      <c r="BS450" t="s">
        <v>3460</v>
      </c>
      <c r="BT450" t="str">
        <f>HYPERLINK("https%3A%2F%2Fwww.webofscience.com%2Fwos%2Fwoscc%2Ffull-record%2FWOS:000394633500011","View Full Record in Web of Science")</f>
        <v>View Full Record in Web of Science</v>
      </c>
    </row>
    <row r="451" spans="1:72" x14ac:dyDescent="0.2">
      <c r="A451" t="s">
        <v>72</v>
      </c>
      <c r="B451" t="s">
        <v>3461</v>
      </c>
      <c r="C451" t="s">
        <v>74</v>
      </c>
      <c r="D451" t="s">
        <v>74</v>
      </c>
      <c r="E451" t="s">
        <v>74</v>
      </c>
      <c r="F451" t="s">
        <v>3462</v>
      </c>
      <c r="G451" t="s">
        <v>74</v>
      </c>
      <c r="H451" t="s">
        <v>74</v>
      </c>
      <c r="I451" t="s">
        <v>3463</v>
      </c>
      <c r="J451" t="s">
        <v>3464</v>
      </c>
      <c r="K451" t="s">
        <v>74</v>
      </c>
      <c r="L451" t="s">
        <v>74</v>
      </c>
      <c r="M451" t="s">
        <v>74</v>
      </c>
      <c r="N451" t="s">
        <v>74</v>
      </c>
      <c r="O451" t="s">
        <v>74</v>
      </c>
      <c r="P451" t="s">
        <v>74</v>
      </c>
      <c r="Q451" t="s">
        <v>74</v>
      </c>
      <c r="R451" t="s">
        <v>74</v>
      </c>
      <c r="S451" t="s">
        <v>74</v>
      </c>
      <c r="T451" t="s">
        <v>74</v>
      </c>
      <c r="U451" t="s">
        <v>74</v>
      </c>
      <c r="V451" t="s">
        <v>74</v>
      </c>
      <c r="W451" t="s">
        <v>74</v>
      </c>
      <c r="X451" t="s">
        <v>74</v>
      </c>
      <c r="Y451" t="s">
        <v>74</v>
      </c>
      <c r="Z451" t="s">
        <v>74</v>
      </c>
      <c r="AA451" t="s">
        <v>3465</v>
      </c>
      <c r="AB451" t="s">
        <v>3466</v>
      </c>
      <c r="AC451" t="s">
        <v>74</v>
      </c>
      <c r="AD451" t="s">
        <v>74</v>
      </c>
      <c r="AE451" t="s">
        <v>74</v>
      </c>
      <c r="AF451" t="s">
        <v>74</v>
      </c>
      <c r="AG451" t="s">
        <v>74</v>
      </c>
      <c r="AH451" t="s">
        <v>74</v>
      </c>
      <c r="AI451" t="s">
        <v>74</v>
      </c>
      <c r="AJ451" t="s">
        <v>74</v>
      </c>
      <c r="AK451" t="s">
        <v>74</v>
      </c>
      <c r="AL451" t="s">
        <v>74</v>
      </c>
      <c r="AM451" t="s">
        <v>74</v>
      </c>
      <c r="AN451" t="s">
        <v>74</v>
      </c>
      <c r="AO451" t="s">
        <v>3467</v>
      </c>
      <c r="AP451" t="s">
        <v>74</v>
      </c>
      <c r="AQ451" t="s">
        <v>74</v>
      </c>
      <c r="AR451" t="s">
        <v>74</v>
      </c>
      <c r="AS451" t="s">
        <v>74</v>
      </c>
      <c r="AT451" t="s">
        <v>3468</v>
      </c>
      <c r="AU451">
        <v>2017</v>
      </c>
      <c r="AV451">
        <v>17</v>
      </c>
      <c r="AW451" t="s">
        <v>74</v>
      </c>
      <c r="AX451" t="s">
        <v>74</v>
      </c>
      <c r="AY451" t="s">
        <v>74</v>
      </c>
      <c r="AZ451" t="s">
        <v>74</v>
      </c>
      <c r="BA451" t="s">
        <v>74</v>
      </c>
      <c r="BB451" t="s">
        <v>74</v>
      </c>
      <c r="BC451" t="s">
        <v>74</v>
      </c>
      <c r="BD451">
        <v>58</v>
      </c>
      <c r="BE451" t="s">
        <v>3469</v>
      </c>
      <c r="BF451" t="str">
        <f>HYPERLINK("http://dx.doi.org/10.1186/s12862-017-0912-4","http://dx.doi.org/10.1186/s12862-017-0912-4")</f>
        <v>http://dx.doi.org/10.1186/s12862-017-0912-4</v>
      </c>
      <c r="BG451" t="s">
        <v>74</v>
      </c>
      <c r="BH451" t="s">
        <v>74</v>
      </c>
      <c r="BI451" t="s">
        <v>74</v>
      </c>
      <c r="BJ451" t="s">
        <v>74</v>
      </c>
      <c r="BK451" t="s">
        <v>74</v>
      </c>
      <c r="BL451" t="s">
        <v>74</v>
      </c>
      <c r="BM451" t="s">
        <v>74</v>
      </c>
      <c r="BN451">
        <v>28241737</v>
      </c>
      <c r="BO451" t="s">
        <v>74</v>
      </c>
      <c r="BP451" t="s">
        <v>74</v>
      </c>
      <c r="BQ451" t="s">
        <v>74</v>
      </c>
      <c r="BR451" t="s">
        <v>74</v>
      </c>
      <c r="BS451" t="s">
        <v>3470</v>
      </c>
      <c r="BT451" t="str">
        <f>HYPERLINK("https%3A%2F%2Fwww.webofscience.com%2Fwos%2Fwoscc%2Ffull-record%2FWOS:000397335900001","View Full Record in Web of Science")</f>
        <v>View Full Record in Web of Science</v>
      </c>
    </row>
    <row r="452" spans="1:72" x14ac:dyDescent="0.2">
      <c r="A452" t="s">
        <v>72</v>
      </c>
      <c r="B452" t="s">
        <v>3471</v>
      </c>
      <c r="C452" t="s">
        <v>74</v>
      </c>
      <c r="D452" t="s">
        <v>74</v>
      </c>
      <c r="E452" t="s">
        <v>74</v>
      </c>
      <c r="F452" t="s">
        <v>3472</v>
      </c>
      <c r="G452" t="s">
        <v>74</v>
      </c>
      <c r="H452" t="s">
        <v>74</v>
      </c>
      <c r="I452" t="s">
        <v>3473</v>
      </c>
      <c r="J452" t="s">
        <v>3443</v>
      </c>
      <c r="K452" t="s">
        <v>74</v>
      </c>
      <c r="L452" t="s">
        <v>74</v>
      </c>
      <c r="M452" t="s">
        <v>74</v>
      </c>
      <c r="N452" t="s">
        <v>74</v>
      </c>
      <c r="O452" t="s">
        <v>74</v>
      </c>
      <c r="P452" t="s">
        <v>74</v>
      </c>
      <c r="Q452" t="s">
        <v>74</v>
      </c>
      <c r="R452" t="s">
        <v>74</v>
      </c>
      <c r="S452" t="s">
        <v>74</v>
      </c>
      <c r="T452" t="s">
        <v>74</v>
      </c>
      <c r="U452" t="s">
        <v>74</v>
      </c>
      <c r="V452" t="s">
        <v>74</v>
      </c>
      <c r="W452" t="s">
        <v>74</v>
      </c>
      <c r="X452" t="s">
        <v>74</v>
      </c>
      <c r="Y452" t="s">
        <v>74</v>
      </c>
      <c r="Z452" t="s">
        <v>74</v>
      </c>
      <c r="AA452" t="s">
        <v>3474</v>
      </c>
      <c r="AB452" t="s">
        <v>3475</v>
      </c>
      <c r="AC452" t="s">
        <v>74</v>
      </c>
      <c r="AD452" t="s">
        <v>74</v>
      </c>
      <c r="AE452" t="s">
        <v>74</v>
      </c>
      <c r="AF452" t="s">
        <v>74</v>
      </c>
      <c r="AG452" t="s">
        <v>74</v>
      </c>
      <c r="AH452" t="s">
        <v>74</v>
      </c>
      <c r="AI452" t="s">
        <v>74</v>
      </c>
      <c r="AJ452" t="s">
        <v>74</v>
      </c>
      <c r="AK452" t="s">
        <v>74</v>
      </c>
      <c r="AL452" t="s">
        <v>74</v>
      </c>
      <c r="AM452" t="s">
        <v>74</v>
      </c>
      <c r="AN452" t="s">
        <v>74</v>
      </c>
      <c r="AO452" t="s">
        <v>3445</v>
      </c>
      <c r="AP452" t="s">
        <v>74</v>
      </c>
      <c r="AQ452" t="s">
        <v>74</v>
      </c>
      <c r="AR452" t="s">
        <v>74</v>
      </c>
      <c r="AS452" t="s">
        <v>74</v>
      </c>
      <c r="AT452" t="s">
        <v>212</v>
      </c>
      <c r="AU452">
        <v>2017</v>
      </c>
      <c r="AV452">
        <v>12</v>
      </c>
      <c r="AW452">
        <v>2</v>
      </c>
      <c r="AX452" t="s">
        <v>74</v>
      </c>
      <c r="AY452" t="s">
        <v>74</v>
      </c>
      <c r="AZ452" t="s">
        <v>74</v>
      </c>
      <c r="BA452" t="s">
        <v>74</v>
      </c>
      <c r="BB452" t="s">
        <v>74</v>
      </c>
      <c r="BC452" t="s">
        <v>74</v>
      </c>
      <c r="BD452" t="s">
        <v>3476</v>
      </c>
      <c r="BE452" t="s">
        <v>3477</v>
      </c>
      <c r="BF452" t="str">
        <f>HYPERLINK("http://dx.doi.org/10.1371/journal.pone.0171705","http://dx.doi.org/10.1371/journal.pone.0171705")</f>
        <v>http://dx.doi.org/10.1371/journal.pone.0171705</v>
      </c>
      <c r="BG452" t="s">
        <v>74</v>
      </c>
      <c r="BH452" t="s">
        <v>74</v>
      </c>
      <c r="BI452" t="s">
        <v>74</v>
      </c>
      <c r="BJ452" t="s">
        <v>74</v>
      </c>
      <c r="BK452" t="s">
        <v>74</v>
      </c>
      <c r="BL452" t="s">
        <v>74</v>
      </c>
      <c r="BM452" t="s">
        <v>74</v>
      </c>
      <c r="BN452">
        <v>28178322</v>
      </c>
      <c r="BO452" t="s">
        <v>74</v>
      </c>
      <c r="BP452" t="s">
        <v>74</v>
      </c>
      <c r="BQ452" t="s">
        <v>74</v>
      </c>
      <c r="BR452" t="s">
        <v>74</v>
      </c>
      <c r="BS452" t="s">
        <v>3478</v>
      </c>
      <c r="BT452" t="str">
        <f>HYPERLINK("https%3A%2F%2Fwww.webofscience.com%2Fwos%2Fwoscc%2Ffull-record%2FWOS:000393712500061","View Full Record in Web of Science")</f>
        <v>View Full Record in Web of Science</v>
      </c>
    </row>
    <row r="453" spans="1:72" x14ac:dyDescent="0.2">
      <c r="A453" t="s">
        <v>72</v>
      </c>
      <c r="B453" t="s">
        <v>3479</v>
      </c>
      <c r="C453" t="s">
        <v>74</v>
      </c>
      <c r="D453" t="s">
        <v>74</v>
      </c>
      <c r="E453" t="s">
        <v>74</v>
      </c>
      <c r="F453" t="s">
        <v>3480</v>
      </c>
      <c r="G453" t="s">
        <v>74</v>
      </c>
      <c r="H453" t="s">
        <v>74</v>
      </c>
      <c r="I453" t="s">
        <v>3481</v>
      </c>
      <c r="J453" t="s">
        <v>3482</v>
      </c>
      <c r="K453" t="s">
        <v>74</v>
      </c>
      <c r="L453" t="s">
        <v>74</v>
      </c>
      <c r="M453" t="s">
        <v>74</v>
      </c>
      <c r="N453" t="s">
        <v>74</v>
      </c>
      <c r="O453" t="s">
        <v>74</v>
      </c>
      <c r="P453" t="s">
        <v>74</v>
      </c>
      <c r="Q453" t="s">
        <v>74</v>
      </c>
      <c r="R453" t="s">
        <v>74</v>
      </c>
      <c r="S453" t="s">
        <v>74</v>
      </c>
      <c r="T453" t="s">
        <v>74</v>
      </c>
      <c r="U453" t="s">
        <v>74</v>
      </c>
      <c r="V453" t="s">
        <v>74</v>
      </c>
      <c r="W453" t="s">
        <v>74</v>
      </c>
      <c r="X453" t="s">
        <v>74</v>
      </c>
      <c r="Y453" t="s">
        <v>74</v>
      </c>
      <c r="Z453" t="s">
        <v>74</v>
      </c>
      <c r="AA453" t="s">
        <v>3483</v>
      </c>
      <c r="AB453" t="s">
        <v>7033</v>
      </c>
      <c r="AC453" t="s">
        <v>74</v>
      </c>
      <c r="AD453" t="s">
        <v>74</v>
      </c>
      <c r="AE453" t="s">
        <v>74</v>
      </c>
      <c r="AF453" t="s">
        <v>74</v>
      </c>
      <c r="AG453" t="s">
        <v>74</v>
      </c>
      <c r="AH453" t="s">
        <v>74</v>
      </c>
      <c r="AI453" t="s">
        <v>74</v>
      </c>
      <c r="AJ453" t="s">
        <v>74</v>
      </c>
      <c r="AK453" t="s">
        <v>74</v>
      </c>
      <c r="AL453" t="s">
        <v>74</v>
      </c>
      <c r="AM453" t="s">
        <v>74</v>
      </c>
      <c r="AN453" t="s">
        <v>74</v>
      </c>
      <c r="AO453" t="s">
        <v>3484</v>
      </c>
      <c r="AP453" t="s">
        <v>3485</v>
      </c>
      <c r="AQ453" t="s">
        <v>74</v>
      </c>
      <c r="AR453" t="s">
        <v>74</v>
      </c>
      <c r="AS453" t="s">
        <v>74</v>
      </c>
      <c r="AT453" t="s">
        <v>416</v>
      </c>
      <c r="AU453">
        <v>2017</v>
      </c>
      <c r="AV453">
        <v>21</v>
      </c>
      <c r="AW453">
        <v>2</v>
      </c>
      <c r="AX453" t="s">
        <v>74</v>
      </c>
      <c r="AY453" t="s">
        <v>74</v>
      </c>
      <c r="AZ453" t="s">
        <v>74</v>
      </c>
      <c r="BA453" t="s">
        <v>74</v>
      </c>
      <c r="BB453">
        <v>133</v>
      </c>
      <c r="BC453">
        <v>140</v>
      </c>
      <c r="BD453" t="s">
        <v>74</v>
      </c>
      <c r="BE453" t="s">
        <v>3486</v>
      </c>
      <c r="BF453" t="str">
        <f>HYPERLINK("http://dx.doi.org/10.1080/19768354.2017.1292952","http://dx.doi.org/10.1080/19768354.2017.1292952")</f>
        <v>http://dx.doi.org/10.1080/19768354.2017.1292952</v>
      </c>
      <c r="BG453" t="s">
        <v>74</v>
      </c>
      <c r="BH453" t="s">
        <v>74</v>
      </c>
      <c r="BI453" t="s">
        <v>74</v>
      </c>
      <c r="BJ453" t="s">
        <v>74</v>
      </c>
      <c r="BK453" t="s">
        <v>74</v>
      </c>
      <c r="BL453" t="s">
        <v>74</v>
      </c>
      <c r="BM453" t="s">
        <v>74</v>
      </c>
      <c r="BN453">
        <v>30460061</v>
      </c>
      <c r="BO453" t="s">
        <v>74</v>
      </c>
      <c r="BP453" t="s">
        <v>74</v>
      </c>
      <c r="BQ453" t="s">
        <v>74</v>
      </c>
      <c r="BR453" t="s">
        <v>74</v>
      </c>
      <c r="BS453" t="s">
        <v>3487</v>
      </c>
      <c r="BT453" t="str">
        <f>HYPERLINK("https%3A%2F%2Fwww.webofscience.com%2Fwos%2Fwoscc%2Ffull-record%2FWOS:000399657000008","View Full Record in Web of Science")</f>
        <v>View Full Record in Web of Science</v>
      </c>
    </row>
    <row r="454" spans="1:72" x14ac:dyDescent="0.2">
      <c r="A454" t="s">
        <v>72</v>
      </c>
      <c r="B454" t="s">
        <v>3488</v>
      </c>
      <c r="C454" t="s">
        <v>74</v>
      </c>
      <c r="D454" t="s">
        <v>74</v>
      </c>
      <c r="E454" t="s">
        <v>74</v>
      </c>
      <c r="F454" t="s">
        <v>3489</v>
      </c>
      <c r="G454" t="s">
        <v>74</v>
      </c>
      <c r="H454" t="s">
        <v>74</v>
      </c>
      <c r="I454" t="s">
        <v>3490</v>
      </c>
      <c r="J454" t="s">
        <v>124</v>
      </c>
      <c r="K454" t="s">
        <v>74</v>
      </c>
      <c r="L454" t="s">
        <v>74</v>
      </c>
      <c r="M454" t="s">
        <v>74</v>
      </c>
      <c r="N454" t="s">
        <v>74</v>
      </c>
      <c r="O454" t="s">
        <v>74</v>
      </c>
      <c r="P454" t="s">
        <v>74</v>
      </c>
      <c r="Q454" t="s">
        <v>74</v>
      </c>
      <c r="R454" t="s">
        <v>74</v>
      </c>
      <c r="S454" t="s">
        <v>74</v>
      </c>
      <c r="T454" t="s">
        <v>74</v>
      </c>
      <c r="U454" t="s">
        <v>74</v>
      </c>
      <c r="V454" t="s">
        <v>74</v>
      </c>
      <c r="W454" t="s">
        <v>74</v>
      </c>
      <c r="X454" t="s">
        <v>74</v>
      </c>
      <c r="Y454" t="s">
        <v>74</v>
      </c>
      <c r="Z454" t="s">
        <v>74</v>
      </c>
      <c r="AA454" t="s">
        <v>74</v>
      </c>
      <c r="AB454" t="s">
        <v>3491</v>
      </c>
      <c r="AC454" t="s">
        <v>74</v>
      </c>
      <c r="AD454" t="s">
        <v>74</v>
      </c>
      <c r="AE454" t="s">
        <v>74</v>
      </c>
      <c r="AF454" t="s">
        <v>74</v>
      </c>
      <c r="AG454" t="s">
        <v>74</v>
      </c>
      <c r="AH454" t="s">
        <v>74</v>
      </c>
      <c r="AI454" t="s">
        <v>74</v>
      </c>
      <c r="AJ454" t="s">
        <v>74</v>
      </c>
      <c r="AK454" t="s">
        <v>74</v>
      </c>
      <c r="AL454" t="s">
        <v>74</v>
      </c>
      <c r="AM454" t="s">
        <v>74</v>
      </c>
      <c r="AN454" t="s">
        <v>74</v>
      </c>
      <c r="AO454" t="s">
        <v>127</v>
      </c>
      <c r="AP454" t="s">
        <v>128</v>
      </c>
      <c r="AQ454" t="s">
        <v>74</v>
      </c>
      <c r="AR454" t="s">
        <v>74</v>
      </c>
      <c r="AS454" t="s">
        <v>74</v>
      </c>
      <c r="AT454" t="s">
        <v>315</v>
      </c>
      <c r="AU454">
        <v>2017</v>
      </c>
      <c r="AV454">
        <v>784</v>
      </c>
      <c r="AW454">
        <v>1</v>
      </c>
      <c r="AX454" t="s">
        <v>74</v>
      </c>
      <c r="AY454" t="s">
        <v>74</v>
      </c>
      <c r="AZ454" t="s">
        <v>74</v>
      </c>
      <c r="BA454" t="s">
        <v>74</v>
      </c>
      <c r="BB454">
        <v>51</v>
      </c>
      <c r="BC454">
        <v>63</v>
      </c>
      <c r="BD454" t="s">
        <v>74</v>
      </c>
      <c r="BE454" t="s">
        <v>3492</v>
      </c>
      <c r="BF454" t="str">
        <f>HYPERLINK("http://dx.doi.org/10.1007/s10750-016-2851-2","http://dx.doi.org/10.1007/s10750-016-2851-2")</f>
        <v>http://dx.doi.org/10.1007/s10750-016-2851-2</v>
      </c>
      <c r="BG454" t="s">
        <v>74</v>
      </c>
      <c r="BH454" t="s">
        <v>74</v>
      </c>
      <c r="BI454" t="s">
        <v>74</v>
      </c>
      <c r="BJ454" t="s">
        <v>74</v>
      </c>
      <c r="BK454" t="s">
        <v>74</v>
      </c>
      <c r="BL454" t="s">
        <v>74</v>
      </c>
      <c r="BM454" t="s">
        <v>74</v>
      </c>
      <c r="BN454" t="s">
        <v>74</v>
      </c>
      <c r="BO454" t="s">
        <v>74</v>
      </c>
      <c r="BP454" t="s">
        <v>74</v>
      </c>
      <c r="BQ454" t="s">
        <v>74</v>
      </c>
      <c r="BR454" t="s">
        <v>74</v>
      </c>
      <c r="BS454" t="s">
        <v>3493</v>
      </c>
      <c r="BT454" t="str">
        <f>HYPERLINK("https%3A%2F%2Fwww.webofscience.com%2Fwos%2Fwoscc%2Ffull-record%2FWOS:000387484100005","View Full Record in Web of Science")</f>
        <v>View Full Record in Web of Science</v>
      </c>
    </row>
    <row r="455" spans="1:72" x14ac:dyDescent="0.2">
      <c r="A455" t="s">
        <v>72</v>
      </c>
      <c r="B455" t="s">
        <v>3494</v>
      </c>
      <c r="C455" t="s">
        <v>74</v>
      </c>
      <c r="D455" t="s">
        <v>74</v>
      </c>
      <c r="E455" t="s">
        <v>74</v>
      </c>
      <c r="F455" t="s">
        <v>3495</v>
      </c>
      <c r="G455" t="s">
        <v>74</v>
      </c>
      <c r="H455" t="s">
        <v>74</v>
      </c>
      <c r="I455" t="s">
        <v>3496</v>
      </c>
      <c r="J455" t="s">
        <v>2990</v>
      </c>
      <c r="K455" t="s">
        <v>74</v>
      </c>
      <c r="L455" t="s">
        <v>74</v>
      </c>
      <c r="M455" t="s">
        <v>74</v>
      </c>
      <c r="N455" t="s">
        <v>74</v>
      </c>
      <c r="O455" t="s">
        <v>74</v>
      </c>
      <c r="P455" t="s">
        <v>74</v>
      </c>
      <c r="Q455" t="s">
        <v>74</v>
      </c>
      <c r="R455" t="s">
        <v>74</v>
      </c>
      <c r="S455" t="s">
        <v>74</v>
      </c>
      <c r="T455" t="s">
        <v>74</v>
      </c>
      <c r="U455" t="s">
        <v>74</v>
      </c>
      <c r="V455" t="s">
        <v>74</v>
      </c>
      <c r="W455" t="s">
        <v>74</v>
      </c>
      <c r="X455" t="s">
        <v>74</v>
      </c>
      <c r="Y455" t="s">
        <v>74</v>
      </c>
      <c r="Z455" t="s">
        <v>74</v>
      </c>
      <c r="AA455" t="s">
        <v>7034</v>
      </c>
      <c r="AB455" t="s">
        <v>7035</v>
      </c>
      <c r="AC455" t="s">
        <v>74</v>
      </c>
      <c r="AD455" t="s">
        <v>74</v>
      </c>
      <c r="AE455" t="s">
        <v>74</v>
      </c>
      <c r="AF455" t="s">
        <v>74</v>
      </c>
      <c r="AG455" t="s">
        <v>74</v>
      </c>
      <c r="AH455" t="s">
        <v>74</v>
      </c>
      <c r="AI455" t="s">
        <v>74</v>
      </c>
      <c r="AJ455" t="s">
        <v>74</v>
      </c>
      <c r="AK455" t="s">
        <v>74</v>
      </c>
      <c r="AL455" t="s">
        <v>74</v>
      </c>
      <c r="AM455" t="s">
        <v>74</v>
      </c>
      <c r="AN455" t="s">
        <v>74</v>
      </c>
      <c r="AO455" t="s">
        <v>2993</v>
      </c>
      <c r="AP455" t="s">
        <v>2994</v>
      </c>
      <c r="AQ455" t="s">
        <v>74</v>
      </c>
      <c r="AR455" t="s">
        <v>74</v>
      </c>
      <c r="AS455" t="s">
        <v>74</v>
      </c>
      <c r="AT455" t="s">
        <v>315</v>
      </c>
      <c r="AU455">
        <v>2017</v>
      </c>
      <c r="AV455">
        <v>20</v>
      </c>
      <c r="AW455">
        <v>1</v>
      </c>
      <c r="AX455" t="s">
        <v>74</v>
      </c>
      <c r="AY455" t="s">
        <v>74</v>
      </c>
      <c r="AZ455" t="s">
        <v>74</v>
      </c>
      <c r="BA455" t="s">
        <v>74</v>
      </c>
      <c r="BB455">
        <v>98</v>
      </c>
      <c r="BC455">
        <v>111</v>
      </c>
      <c r="BD455" t="s">
        <v>74</v>
      </c>
      <c r="BE455" t="s">
        <v>3497</v>
      </c>
      <c r="BF455" t="str">
        <f>HYPERLINK("http://dx.doi.org/10.1111/ele.12699","http://dx.doi.org/10.1111/ele.12699")</f>
        <v>http://dx.doi.org/10.1111/ele.12699</v>
      </c>
      <c r="BG455" t="s">
        <v>74</v>
      </c>
      <c r="BH455" t="s">
        <v>74</v>
      </c>
      <c r="BI455" t="s">
        <v>74</v>
      </c>
      <c r="BJ455" t="s">
        <v>74</v>
      </c>
      <c r="BK455" t="s">
        <v>74</v>
      </c>
      <c r="BL455" t="s">
        <v>74</v>
      </c>
      <c r="BM455" t="s">
        <v>74</v>
      </c>
      <c r="BN455">
        <v>27889953</v>
      </c>
      <c r="BO455" t="s">
        <v>74</v>
      </c>
      <c r="BP455" t="s">
        <v>74</v>
      </c>
      <c r="BQ455" t="s">
        <v>74</v>
      </c>
      <c r="BR455" t="s">
        <v>74</v>
      </c>
      <c r="BS455" t="s">
        <v>3498</v>
      </c>
      <c r="BT455" t="str">
        <f>HYPERLINK("https%3A%2F%2Fwww.webofscience.com%2Fwos%2Fwoscc%2Ffull-record%2FWOS:000390026200010","View Full Record in Web of Science")</f>
        <v>View Full Record in Web of Science</v>
      </c>
    </row>
    <row r="456" spans="1:72" x14ac:dyDescent="0.2">
      <c r="A456" t="s">
        <v>72</v>
      </c>
      <c r="B456" t="s">
        <v>3499</v>
      </c>
      <c r="C456" t="s">
        <v>74</v>
      </c>
      <c r="D456" t="s">
        <v>74</v>
      </c>
      <c r="E456" t="s">
        <v>74</v>
      </c>
      <c r="F456" t="s">
        <v>3500</v>
      </c>
      <c r="G456" t="s">
        <v>74</v>
      </c>
      <c r="H456" t="s">
        <v>74</v>
      </c>
      <c r="I456" t="s">
        <v>3501</v>
      </c>
      <c r="J456" t="s">
        <v>949</v>
      </c>
      <c r="K456" t="s">
        <v>74</v>
      </c>
      <c r="L456" t="s">
        <v>74</v>
      </c>
      <c r="M456" t="s">
        <v>74</v>
      </c>
      <c r="N456" t="s">
        <v>74</v>
      </c>
      <c r="O456" t="s">
        <v>74</v>
      </c>
      <c r="P456" t="s">
        <v>74</v>
      </c>
      <c r="Q456" t="s">
        <v>74</v>
      </c>
      <c r="R456" t="s">
        <v>74</v>
      </c>
      <c r="S456" t="s">
        <v>74</v>
      </c>
      <c r="T456" t="s">
        <v>74</v>
      </c>
      <c r="U456" t="s">
        <v>74</v>
      </c>
      <c r="V456" t="s">
        <v>74</v>
      </c>
      <c r="W456" t="s">
        <v>74</v>
      </c>
      <c r="X456" t="s">
        <v>74</v>
      </c>
      <c r="Y456" t="s">
        <v>74</v>
      </c>
      <c r="Z456" t="s">
        <v>74</v>
      </c>
      <c r="AA456" t="s">
        <v>7036</v>
      </c>
      <c r="AB456" t="s">
        <v>7037</v>
      </c>
      <c r="AC456" t="s">
        <v>74</v>
      </c>
      <c r="AD456" t="s">
        <v>74</v>
      </c>
      <c r="AE456" t="s">
        <v>74</v>
      </c>
      <c r="AF456" t="s">
        <v>74</v>
      </c>
      <c r="AG456" t="s">
        <v>74</v>
      </c>
      <c r="AH456" t="s">
        <v>74</v>
      </c>
      <c r="AI456" t="s">
        <v>74</v>
      </c>
      <c r="AJ456" t="s">
        <v>74</v>
      </c>
      <c r="AK456" t="s">
        <v>74</v>
      </c>
      <c r="AL456" t="s">
        <v>74</v>
      </c>
      <c r="AM456" t="s">
        <v>74</v>
      </c>
      <c r="AN456" t="s">
        <v>74</v>
      </c>
      <c r="AO456" t="s">
        <v>74</v>
      </c>
      <c r="AP456" t="s">
        <v>951</v>
      </c>
      <c r="AQ456" t="s">
        <v>74</v>
      </c>
      <c r="AR456" t="s">
        <v>74</v>
      </c>
      <c r="AS456" t="s">
        <v>74</v>
      </c>
      <c r="AT456" t="s">
        <v>74</v>
      </c>
      <c r="AU456">
        <v>2017</v>
      </c>
      <c r="AV456">
        <v>4</v>
      </c>
      <c r="AW456" t="s">
        <v>74</v>
      </c>
      <c r="AX456" t="s">
        <v>74</v>
      </c>
      <c r="AY456" t="s">
        <v>74</v>
      </c>
      <c r="AZ456" t="s">
        <v>74</v>
      </c>
      <c r="BA456" t="s">
        <v>74</v>
      </c>
      <c r="BB456" t="s">
        <v>74</v>
      </c>
      <c r="BC456" t="s">
        <v>74</v>
      </c>
      <c r="BD456">
        <v>45</v>
      </c>
      <c r="BE456" t="s">
        <v>3502</v>
      </c>
      <c r="BF456" t="str">
        <f>HYPERLINK("http://dx.doi.org/10.3389/fmars.2017.00045","http://dx.doi.org/10.3389/fmars.2017.00045")</f>
        <v>http://dx.doi.org/10.3389/fmars.2017.00045</v>
      </c>
      <c r="BG456" t="s">
        <v>74</v>
      </c>
      <c r="BH456" t="s">
        <v>74</v>
      </c>
      <c r="BI456" t="s">
        <v>74</v>
      </c>
      <c r="BJ456" t="s">
        <v>74</v>
      </c>
      <c r="BK456" t="s">
        <v>74</v>
      </c>
      <c r="BL456" t="s">
        <v>74</v>
      </c>
      <c r="BM456" t="s">
        <v>74</v>
      </c>
      <c r="BN456" t="s">
        <v>74</v>
      </c>
      <c r="BO456" t="s">
        <v>74</v>
      </c>
      <c r="BP456" t="s">
        <v>74</v>
      </c>
      <c r="BQ456" t="s">
        <v>74</v>
      </c>
      <c r="BR456" t="s">
        <v>74</v>
      </c>
      <c r="BS456" t="s">
        <v>3503</v>
      </c>
      <c r="BT456" t="str">
        <f>HYPERLINK("https%3A%2F%2Fwww.webofscience.com%2Fwos%2Fwoscc%2Ffull-record%2FWOS:000457690600045","View Full Record in Web of Science")</f>
        <v>View Full Record in Web of Science</v>
      </c>
    </row>
    <row r="457" spans="1:72" x14ac:dyDescent="0.2">
      <c r="A457" t="s">
        <v>72</v>
      </c>
      <c r="B457" t="s">
        <v>3504</v>
      </c>
      <c r="C457" t="s">
        <v>74</v>
      </c>
      <c r="D457" t="s">
        <v>74</v>
      </c>
      <c r="E457" t="s">
        <v>74</v>
      </c>
      <c r="F457" t="s">
        <v>3505</v>
      </c>
      <c r="G457" t="s">
        <v>74</v>
      </c>
      <c r="H457" t="s">
        <v>74</v>
      </c>
      <c r="I457" t="s">
        <v>3506</v>
      </c>
      <c r="J457" t="s">
        <v>3507</v>
      </c>
      <c r="K457" t="s">
        <v>74</v>
      </c>
      <c r="L457" t="s">
        <v>74</v>
      </c>
      <c r="M457" t="s">
        <v>74</v>
      </c>
      <c r="N457" t="s">
        <v>74</v>
      </c>
      <c r="O457" t="s">
        <v>74</v>
      </c>
      <c r="P457" t="s">
        <v>74</v>
      </c>
      <c r="Q457" t="s">
        <v>74</v>
      </c>
      <c r="R457" t="s">
        <v>74</v>
      </c>
      <c r="S457" t="s">
        <v>74</v>
      </c>
      <c r="T457" t="s">
        <v>74</v>
      </c>
      <c r="U457" t="s">
        <v>74</v>
      </c>
      <c r="V457" t="s">
        <v>74</v>
      </c>
      <c r="W457" t="s">
        <v>74</v>
      </c>
      <c r="X457" t="s">
        <v>74</v>
      </c>
      <c r="Y457" t="s">
        <v>74</v>
      </c>
      <c r="Z457" t="s">
        <v>74</v>
      </c>
      <c r="AA457" t="s">
        <v>7038</v>
      </c>
      <c r="AB457" t="s">
        <v>7039</v>
      </c>
      <c r="AC457" t="s">
        <v>74</v>
      </c>
      <c r="AD457" t="s">
        <v>74</v>
      </c>
      <c r="AE457" t="s">
        <v>74</v>
      </c>
      <c r="AF457" t="s">
        <v>74</v>
      </c>
      <c r="AG457" t="s">
        <v>74</v>
      </c>
      <c r="AH457" t="s">
        <v>74</v>
      </c>
      <c r="AI457" t="s">
        <v>74</v>
      </c>
      <c r="AJ457" t="s">
        <v>74</v>
      </c>
      <c r="AK457" t="s">
        <v>74</v>
      </c>
      <c r="AL457" t="s">
        <v>74</v>
      </c>
      <c r="AM457" t="s">
        <v>74</v>
      </c>
      <c r="AN457" t="s">
        <v>74</v>
      </c>
      <c r="AO457" t="s">
        <v>3508</v>
      </c>
      <c r="AP457" t="s">
        <v>74</v>
      </c>
      <c r="AQ457" t="s">
        <v>74</v>
      </c>
      <c r="AR457" t="s">
        <v>74</v>
      </c>
      <c r="AS457" t="s">
        <v>74</v>
      </c>
      <c r="AT457" t="s">
        <v>74</v>
      </c>
      <c r="AU457">
        <v>2017</v>
      </c>
      <c r="AV457" t="s">
        <v>74</v>
      </c>
      <c r="AW457">
        <v>418</v>
      </c>
      <c r="AX457" t="s">
        <v>74</v>
      </c>
      <c r="AY457" t="s">
        <v>74</v>
      </c>
      <c r="AZ457" t="s">
        <v>74</v>
      </c>
      <c r="BA457" t="s">
        <v>74</v>
      </c>
      <c r="BB457" t="s">
        <v>74</v>
      </c>
      <c r="BC457" t="s">
        <v>74</v>
      </c>
      <c r="BD457">
        <v>15</v>
      </c>
      <c r="BE457" t="s">
        <v>3509</v>
      </c>
      <c r="BF457" t="str">
        <f>HYPERLINK("http://dx.doi.org/10.1051/kmae/2017006","http://dx.doi.org/10.1051/kmae/2017006")</f>
        <v>http://dx.doi.org/10.1051/kmae/2017006</v>
      </c>
      <c r="BG457" t="s">
        <v>74</v>
      </c>
      <c r="BH457" t="s">
        <v>74</v>
      </c>
      <c r="BI457" t="s">
        <v>74</v>
      </c>
      <c r="BJ457" t="s">
        <v>74</v>
      </c>
      <c r="BK457" t="s">
        <v>74</v>
      </c>
      <c r="BL457" t="s">
        <v>74</v>
      </c>
      <c r="BM457" t="s">
        <v>74</v>
      </c>
      <c r="BN457" t="s">
        <v>74</v>
      </c>
      <c r="BO457" t="s">
        <v>74</v>
      </c>
      <c r="BP457" t="s">
        <v>74</v>
      </c>
      <c r="BQ457" t="s">
        <v>74</v>
      </c>
      <c r="BR457" t="s">
        <v>74</v>
      </c>
      <c r="BS457" t="s">
        <v>3510</v>
      </c>
      <c r="BT457" t="str">
        <f>HYPERLINK("https%3A%2F%2Fwww.webofscience.com%2Fwos%2Fwoscc%2Ffull-record%2FWOS:000399051100015","View Full Record in Web of Science")</f>
        <v>View Full Record in Web of Science</v>
      </c>
    </row>
    <row r="458" spans="1:72" x14ac:dyDescent="0.2">
      <c r="A458" t="s">
        <v>72</v>
      </c>
      <c r="B458" t="s">
        <v>3511</v>
      </c>
      <c r="C458" t="s">
        <v>74</v>
      </c>
      <c r="D458" t="s">
        <v>74</v>
      </c>
      <c r="E458" t="s">
        <v>74</v>
      </c>
      <c r="F458" t="s">
        <v>3512</v>
      </c>
      <c r="G458" t="s">
        <v>74</v>
      </c>
      <c r="H458" t="s">
        <v>74</v>
      </c>
      <c r="I458" t="s">
        <v>3513</v>
      </c>
      <c r="J458" t="s">
        <v>3514</v>
      </c>
      <c r="K458" t="s">
        <v>74</v>
      </c>
      <c r="L458" t="s">
        <v>74</v>
      </c>
      <c r="M458" t="s">
        <v>74</v>
      </c>
      <c r="N458" t="s">
        <v>74</v>
      </c>
      <c r="O458" t="s">
        <v>74</v>
      </c>
      <c r="P458" t="s">
        <v>74</v>
      </c>
      <c r="Q458" t="s">
        <v>74</v>
      </c>
      <c r="R458" t="s">
        <v>74</v>
      </c>
      <c r="S458" t="s">
        <v>74</v>
      </c>
      <c r="T458" t="s">
        <v>74</v>
      </c>
      <c r="U458" t="s">
        <v>74</v>
      </c>
      <c r="V458" t="s">
        <v>74</v>
      </c>
      <c r="W458" t="s">
        <v>74</v>
      </c>
      <c r="X458" t="s">
        <v>74</v>
      </c>
      <c r="Y458" t="s">
        <v>74</v>
      </c>
      <c r="Z458" t="s">
        <v>74</v>
      </c>
      <c r="AA458" t="s">
        <v>7040</v>
      </c>
      <c r="AB458" t="s">
        <v>7041</v>
      </c>
      <c r="AC458" t="s">
        <v>74</v>
      </c>
      <c r="AD458" t="s">
        <v>74</v>
      </c>
      <c r="AE458" t="s">
        <v>74</v>
      </c>
      <c r="AF458" t="s">
        <v>74</v>
      </c>
      <c r="AG458" t="s">
        <v>74</v>
      </c>
      <c r="AH458" t="s">
        <v>74</v>
      </c>
      <c r="AI458" t="s">
        <v>74</v>
      </c>
      <c r="AJ458" t="s">
        <v>74</v>
      </c>
      <c r="AK458" t="s">
        <v>74</v>
      </c>
      <c r="AL458" t="s">
        <v>74</v>
      </c>
      <c r="AM458" t="s">
        <v>74</v>
      </c>
      <c r="AN458" t="s">
        <v>74</v>
      </c>
      <c r="AO458" t="s">
        <v>3515</v>
      </c>
      <c r="AP458" t="s">
        <v>3516</v>
      </c>
      <c r="AQ458" t="s">
        <v>74</v>
      </c>
      <c r="AR458" t="s">
        <v>74</v>
      </c>
      <c r="AS458" t="s">
        <v>74</v>
      </c>
      <c r="AT458" t="s">
        <v>74</v>
      </c>
      <c r="AU458">
        <v>2017</v>
      </c>
      <c r="AV458">
        <v>50</v>
      </c>
      <c r="AW458" t="s">
        <v>1537</v>
      </c>
      <c r="AX458" t="s">
        <v>74</v>
      </c>
      <c r="AY458" t="s">
        <v>74</v>
      </c>
      <c r="AZ458" t="s">
        <v>74</v>
      </c>
      <c r="BA458" t="s">
        <v>74</v>
      </c>
      <c r="BB458">
        <v>313</v>
      </c>
      <c r="BC458">
        <v>328</v>
      </c>
      <c r="BD458" t="s">
        <v>74</v>
      </c>
      <c r="BE458" t="s">
        <v>3517</v>
      </c>
      <c r="BF458" t="str">
        <f>HYPERLINK("http://dx.doi.org/10.1080/10236244.2017.1404429","http://dx.doi.org/10.1080/10236244.2017.1404429")</f>
        <v>http://dx.doi.org/10.1080/10236244.2017.1404429</v>
      </c>
      <c r="BG458" t="s">
        <v>74</v>
      </c>
      <c r="BH458" t="s">
        <v>74</v>
      </c>
      <c r="BI458" t="s">
        <v>74</v>
      </c>
      <c r="BJ458" t="s">
        <v>74</v>
      </c>
      <c r="BK458" t="s">
        <v>74</v>
      </c>
      <c r="BL458" t="s">
        <v>74</v>
      </c>
      <c r="BM458" t="s">
        <v>74</v>
      </c>
      <c r="BN458" t="s">
        <v>74</v>
      </c>
      <c r="BO458" t="s">
        <v>74</v>
      </c>
      <c r="BP458" t="s">
        <v>74</v>
      </c>
      <c r="BQ458" t="s">
        <v>74</v>
      </c>
      <c r="BR458" t="s">
        <v>74</v>
      </c>
      <c r="BS458" t="s">
        <v>3518</v>
      </c>
      <c r="BT458" t="str">
        <f>HYPERLINK("https%3A%2F%2Fwww.webofscience.com%2Fwos%2Fwoscc%2Ffull-record%2FWOS:000424491000001","View Full Record in Web of Science")</f>
        <v>View Full Record in Web of Science</v>
      </c>
    </row>
    <row r="459" spans="1:72" x14ac:dyDescent="0.2">
      <c r="A459" t="s">
        <v>72</v>
      </c>
      <c r="B459" t="s">
        <v>3519</v>
      </c>
      <c r="C459" t="s">
        <v>74</v>
      </c>
      <c r="D459" t="s">
        <v>74</v>
      </c>
      <c r="E459" t="s">
        <v>74</v>
      </c>
      <c r="F459" t="s">
        <v>3520</v>
      </c>
      <c r="G459" t="s">
        <v>74</v>
      </c>
      <c r="H459" t="s">
        <v>74</v>
      </c>
      <c r="I459" t="s">
        <v>3521</v>
      </c>
      <c r="J459" t="s">
        <v>3522</v>
      </c>
      <c r="K459" t="s">
        <v>74</v>
      </c>
      <c r="L459" t="s">
        <v>74</v>
      </c>
      <c r="M459" t="s">
        <v>74</v>
      </c>
      <c r="N459" t="s">
        <v>74</v>
      </c>
      <c r="O459" t="s">
        <v>74</v>
      </c>
      <c r="P459" t="s">
        <v>74</v>
      </c>
      <c r="Q459" t="s">
        <v>74</v>
      </c>
      <c r="R459" t="s">
        <v>74</v>
      </c>
      <c r="S459" t="s">
        <v>74</v>
      </c>
      <c r="T459" t="s">
        <v>74</v>
      </c>
      <c r="U459" t="s">
        <v>74</v>
      </c>
      <c r="V459" t="s">
        <v>74</v>
      </c>
      <c r="W459" t="s">
        <v>74</v>
      </c>
      <c r="X459" t="s">
        <v>74</v>
      </c>
      <c r="Y459" t="s">
        <v>74</v>
      </c>
      <c r="Z459" t="s">
        <v>74</v>
      </c>
      <c r="AA459" t="s">
        <v>3523</v>
      </c>
      <c r="AB459" t="s">
        <v>3524</v>
      </c>
      <c r="AC459" t="s">
        <v>74</v>
      </c>
      <c r="AD459" t="s">
        <v>74</v>
      </c>
      <c r="AE459" t="s">
        <v>74</v>
      </c>
      <c r="AF459" t="s">
        <v>74</v>
      </c>
      <c r="AG459" t="s">
        <v>74</v>
      </c>
      <c r="AH459" t="s">
        <v>74</v>
      </c>
      <c r="AI459" t="s">
        <v>74</v>
      </c>
      <c r="AJ459" t="s">
        <v>74</v>
      </c>
      <c r="AK459" t="s">
        <v>74</v>
      </c>
      <c r="AL459" t="s">
        <v>74</v>
      </c>
      <c r="AM459" t="s">
        <v>74</v>
      </c>
      <c r="AN459" t="s">
        <v>74</v>
      </c>
      <c r="AO459" t="s">
        <v>3525</v>
      </c>
      <c r="AP459" t="s">
        <v>74</v>
      </c>
      <c r="AQ459" t="s">
        <v>74</v>
      </c>
      <c r="AR459" t="s">
        <v>74</v>
      </c>
      <c r="AS459" t="s">
        <v>74</v>
      </c>
      <c r="AT459" t="s">
        <v>82</v>
      </c>
      <c r="AU459">
        <v>2016</v>
      </c>
      <c r="AV459">
        <v>3</v>
      </c>
      <c r="AW459">
        <v>12</v>
      </c>
      <c r="AX459" t="s">
        <v>74</v>
      </c>
      <c r="AY459" t="s">
        <v>74</v>
      </c>
      <c r="AZ459" t="s">
        <v>74</v>
      </c>
      <c r="BA459" t="s">
        <v>74</v>
      </c>
      <c r="BB459" t="s">
        <v>74</v>
      </c>
      <c r="BC459" t="s">
        <v>74</v>
      </c>
      <c r="BD459">
        <v>160537</v>
      </c>
      <c r="BE459" t="s">
        <v>3526</v>
      </c>
      <c r="BF459" t="str">
        <f>HYPERLINK("http://dx.doi.org/10.1098/rsos.160537","http://dx.doi.org/10.1098/rsos.160537")</f>
        <v>http://dx.doi.org/10.1098/rsos.160537</v>
      </c>
      <c r="BG459" t="s">
        <v>74</v>
      </c>
      <c r="BH459" t="s">
        <v>74</v>
      </c>
      <c r="BI459" t="s">
        <v>74</v>
      </c>
      <c r="BJ459" t="s">
        <v>74</v>
      </c>
      <c r="BK459" t="s">
        <v>74</v>
      </c>
      <c r="BL459" t="s">
        <v>74</v>
      </c>
      <c r="BM459" t="s">
        <v>74</v>
      </c>
      <c r="BN459">
        <v>28083097</v>
      </c>
      <c r="BO459" t="s">
        <v>74</v>
      </c>
      <c r="BP459" t="s">
        <v>74</v>
      </c>
      <c r="BQ459" t="s">
        <v>74</v>
      </c>
      <c r="BR459" t="s">
        <v>74</v>
      </c>
      <c r="BS459" t="s">
        <v>3527</v>
      </c>
      <c r="BT459" t="str">
        <f>HYPERLINK("https%3A%2F%2Fwww.webofscience.com%2Fwos%2Fwoscc%2Ffull-record%2FWOS:000391731800010","View Full Record in Web of Science")</f>
        <v>View Full Record in Web of Science</v>
      </c>
    </row>
    <row r="460" spans="1:72" x14ac:dyDescent="0.2">
      <c r="A460" t="s">
        <v>72</v>
      </c>
      <c r="B460" t="s">
        <v>3528</v>
      </c>
      <c r="C460" t="s">
        <v>74</v>
      </c>
      <c r="D460" t="s">
        <v>74</v>
      </c>
      <c r="E460" t="s">
        <v>74</v>
      </c>
      <c r="F460" t="s">
        <v>3529</v>
      </c>
      <c r="G460" t="s">
        <v>74</v>
      </c>
      <c r="H460" t="s">
        <v>74</v>
      </c>
      <c r="I460" t="s">
        <v>3530</v>
      </c>
      <c r="J460" t="s">
        <v>836</v>
      </c>
      <c r="K460" t="s">
        <v>74</v>
      </c>
      <c r="L460" t="s">
        <v>74</v>
      </c>
      <c r="M460" t="s">
        <v>74</v>
      </c>
      <c r="N460" t="s">
        <v>74</v>
      </c>
      <c r="O460" t="s">
        <v>74</v>
      </c>
      <c r="P460" t="s">
        <v>74</v>
      </c>
      <c r="Q460" t="s">
        <v>74</v>
      </c>
      <c r="R460" t="s">
        <v>74</v>
      </c>
      <c r="S460" t="s">
        <v>74</v>
      </c>
      <c r="T460" t="s">
        <v>74</v>
      </c>
      <c r="U460" t="s">
        <v>74</v>
      </c>
      <c r="V460" t="s">
        <v>74</v>
      </c>
      <c r="W460" t="s">
        <v>74</v>
      </c>
      <c r="X460" t="s">
        <v>74</v>
      </c>
      <c r="Y460" t="s">
        <v>74</v>
      </c>
      <c r="Z460" t="s">
        <v>74</v>
      </c>
      <c r="AA460" t="s">
        <v>7042</v>
      </c>
      <c r="AB460" t="s">
        <v>3531</v>
      </c>
      <c r="AC460" t="s">
        <v>74</v>
      </c>
      <c r="AD460" t="s">
        <v>74</v>
      </c>
      <c r="AE460" t="s">
        <v>74</v>
      </c>
      <c r="AF460" t="s">
        <v>74</v>
      </c>
      <c r="AG460" t="s">
        <v>74</v>
      </c>
      <c r="AH460" t="s">
        <v>74</v>
      </c>
      <c r="AI460" t="s">
        <v>74</v>
      </c>
      <c r="AJ460" t="s">
        <v>74</v>
      </c>
      <c r="AK460" t="s">
        <v>74</v>
      </c>
      <c r="AL460" t="s">
        <v>74</v>
      </c>
      <c r="AM460" t="s">
        <v>74</v>
      </c>
      <c r="AN460" t="s">
        <v>74</v>
      </c>
      <c r="AO460" t="s">
        <v>837</v>
      </c>
      <c r="AP460" t="s">
        <v>838</v>
      </c>
      <c r="AQ460" t="s">
        <v>74</v>
      </c>
      <c r="AR460" t="s">
        <v>74</v>
      </c>
      <c r="AS460" t="s">
        <v>74</v>
      </c>
      <c r="AT460" t="s">
        <v>82</v>
      </c>
      <c r="AU460">
        <v>2016</v>
      </c>
      <c r="AV460">
        <v>60</v>
      </c>
      <c r="AW460" t="s">
        <v>74</v>
      </c>
      <c r="AX460" t="s">
        <v>74</v>
      </c>
      <c r="AY460" t="s">
        <v>74</v>
      </c>
      <c r="AZ460" t="s">
        <v>74</v>
      </c>
      <c r="BA460" t="s">
        <v>74</v>
      </c>
      <c r="BB460">
        <v>157</v>
      </c>
      <c r="BC460">
        <v>166</v>
      </c>
      <c r="BD460" t="s">
        <v>74</v>
      </c>
      <c r="BE460" t="s">
        <v>3532</v>
      </c>
      <c r="BF460" t="str">
        <f>HYPERLINK("http://dx.doi.org/10.1016/j.hal.2016.11.002","http://dx.doi.org/10.1016/j.hal.2016.11.002")</f>
        <v>http://dx.doi.org/10.1016/j.hal.2016.11.002</v>
      </c>
      <c r="BG460" t="s">
        <v>74</v>
      </c>
      <c r="BH460" t="s">
        <v>74</v>
      </c>
      <c r="BI460" t="s">
        <v>74</v>
      </c>
      <c r="BJ460" t="s">
        <v>74</v>
      </c>
      <c r="BK460" t="s">
        <v>74</v>
      </c>
      <c r="BL460" t="s">
        <v>74</v>
      </c>
      <c r="BM460" t="s">
        <v>74</v>
      </c>
      <c r="BN460">
        <v>28073559</v>
      </c>
      <c r="BO460" t="s">
        <v>74</v>
      </c>
      <c r="BP460" t="s">
        <v>74</v>
      </c>
      <c r="BQ460" t="s">
        <v>74</v>
      </c>
      <c r="BR460" t="s">
        <v>74</v>
      </c>
      <c r="BS460" t="s">
        <v>3533</v>
      </c>
      <c r="BT460" t="str">
        <f>HYPERLINK("https%3A%2F%2Fwww.webofscience.com%2Fwos%2Fwoscc%2Ffull-record%2FWOS:000390516200015","View Full Record in Web of Science")</f>
        <v>View Full Record in Web of Science</v>
      </c>
    </row>
    <row r="461" spans="1:72" x14ac:dyDescent="0.2">
      <c r="A461" t="s">
        <v>72</v>
      </c>
      <c r="B461" t="s">
        <v>3534</v>
      </c>
      <c r="C461" t="s">
        <v>74</v>
      </c>
      <c r="D461" t="s">
        <v>74</v>
      </c>
      <c r="E461" t="s">
        <v>74</v>
      </c>
      <c r="F461" t="s">
        <v>3535</v>
      </c>
      <c r="G461" t="s">
        <v>74</v>
      </c>
      <c r="H461" t="s">
        <v>74</v>
      </c>
      <c r="I461" t="s">
        <v>3536</v>
      </c>
      <c r="J461" t="s">
        <v>423</v>
      </c>
      <c r="K461" t="s">
        <v>74</v>
      </c>
      <c r="L461" t="s">
        <v>74</v>
      </c>
      <c r="M461" t="s">
        <v>74</v>
      </c>
      <c r="N461" t="s">
        <v>74</v>
      </c>
      <c r="O461" t="s">
        <v>74</v>
      </c>
      <c r="P461" t="s">
        <v>74</v>
      </c>
      <c r="Q461" t="s">
        <v>74</v>
      </c>
      <c r="R461" t="s">
        <v>74</v>
      </c>
      <c r="S461" t="s">
        <v>74</v>
      </c>
      <c r="T461" t="s">
        <v>74</v>
      </c>
      <c r="U461" t="s">
        <v>74</v>
      </c>
      <c r="V461" t="s">
        <v>74</v>
      </c>
      <c r="W461" t="s">
        <v>74</v>
      </c>
      <c r="X461" t="s">
        <v>74</v>
      </c>
      <c r="Y461" t="s">
        <v>74</v>
      </c>
      <c r="Z461" t="s">
        <v>74</v>
      </c>
      <c r="AA461" t="s">
        <v>74</v>
      </c>
      <c r="AB461" t="s">
        <v>74</v>
      </c>
      <c r="AC461" t="s">
        <v>74</v>
      </c>
      <c r="AD461" t="s">
        <v>74</v>
      </c>
      <c r="AE461" t="s">
        <v>74</v>
      </c>
      <c r="AF461" t="s">
        <v>74</v>
      </c>
      <c r="AG461" t="s">
        <v>74</v>
      </c>
      <c r="AH461" t="s">
        <v>74</v>
      </c>
      <c r="AI461" t="s">
        <v>74</v>
      </c>
      <c r="AJ461" t="s">
        <v>74</v>
      </c>
      <c r="AK461" t="s">
        <v>74</v>
      </c>
      <c r="AL461" t="s">
        <v>74</v>
      </c>
      <c r="AM461" t="s">
        <v>74</v>
      </c>
      <c r="AN461" t="s">
        <v>74</v>
      </c>
      <c r="AO461" t="s">
        <v>425</v>
      </c>
      <c r="AP461" t="s">
        <v>426</v>
      </c>
      <c r="AQ461" t="s">
        <v>74</v>
      </c>
      <c r="AR461" t="s">
        <v>74</v>
      </c>
      <c r="AS461" t="s">
        <v>74</v>
      </c>
      <c r="AT461" t="s">
        <v>335</v>
      </c>
      <c r="AU461">
        <v>2016</v>
      </c>
      <c r="AV461">
        <v>61</v>
      </c>
      <c r="AW461">
        <v>11</v>
      </c>
      <c r="AX461" t="s">
        <v>74</v>
      </c>
      <c r="AY461" t="s">
        <v>74</v>
      </c>
      <c r="AZ461" t="s">
        <v>74</v>
      </c>
      <c r="BA461" t="s">
        <v>74</v>
      </c>
      <c r="BB461">
        <v>1966</v>
      </c>
      <c r="BC461">
        <v>1980</v>
      </c>
      <c r="BD461" t="s">
        <v>74</v>
      </c>
      <c r="BE461" t="s">
        <v>3537</v>
      </c>
      <c r="BF461" t="str">
        <f>HYPERLINK("http://dx.doi.org/10.1111/fwb.12829","http://dx.doi.org/10.1111/fwb.12829")</f>
        <v>http://dx.doi.org/10.1111/fwb.12829</v>
      </c>
      <c r="BG461" t="s">
        <v>74</v>
      </c>
      <c r="BH461" t="s">
        <v>74</v>
      </c>
      <c r="BI461" t="s">
        <v>74</v>
      </c>
      <c r="BJ461" t="s">
        <v>74</v>
      </c>
      <c r="BK461" t="s">
        <v>74</v>
      </c>
      <c r="BL461" t="s">
        <v>74</v>
      </c>
      <c r="BM461" t="s">
        <v>74</v>
      </c>
      <c r="BN461" t="s">
        <v>74</v>
      </c>
      <c r="BO461" t="s">
        <v>74</v>
      </c>
      <c r="BP461" t="s">
        <v>74</v>
      </c>
      <c r="BQ461" t="s">
        <v>74</v>
      </c>
      <c r="BR461" t="s">
        <v>74</v>
      </c>
      <c r="BS461" t="s">
        <v>3538</v>
      </c>
      <c r="BT461" t="str">
        <f>HYPERLINK("https%3A%2F%2Fwww.webofscience.com%2Fwos%2Fwoscc%2Ffull-record%2FWOS:000386022200012","View Full Record in Web of Science")</f>
        <v>View Full Record in Web of Science</v>
      </c>
    </row>
    <row r="462" spans="1:72" x14ac:dyDescent="0.2">
      <c r="A462" t="s">
        <v>72</v>
      </c>
      <c r="B462" t="s">
        <v>3539</v>
      </c>
      <c r="C462" t="s">
        <v>74</v>
      </c>
      <c r="D462" t="s">
        <v>74</v>
      </c>
      <c r="E462" t="s">
        <v>74</v>
      </c>
      <c r="F462" t="s">
        <v>3540</v>
      </c>
      <c r="G462" t="s">
        <v>74</v>
      </c>
      <c r="H462" t="s">
        <v>74</v>
      </c>
      <c r="I462" t="s">
        <v>3541</v>
      </c>
      <c r="J462" t="s">
        <v>673</v>
      </c>
      <c r="K462" t="s">
        <v>74</v>
      </c>
      <c r="L462" t="s">
        <v>74</v>
      </c>
      <c r="M462" t="s">
        <v>74</v>
      </c>
      <c r="N462" t="s">
        <v>74</v>
      </c>
      <c r="O462" t="s">
        <v>74</v>
      </c>
      <c r="P462" t="s">
        <v>74</v>
      </c>
      <c r="Q462" t="s">
        <v>74</v>
      </c>
      <c r="R462" t="s">
        <v>74</v>
      </c>
      <c r="S462" t="s">
        <v>74</v>
      </c>
      <c r="T462" t="s">
        <v>74</v>
      </c>
      <c r="U462" t="s">
        <v>74</v>
      </c>
      <c r="V462" t="s">
        <v>74</v>
      </c>
      <c r="W462" t="s">
        <v>74</v>
      </c>
      <c r="X462" t="s">
        <v>74</v>
      </c>
      <c r="Y462" t="s">
        <v>74</v>
      </c>
      <c r="Z462" t="s">
        <v>74</v>
      </c>
      <c r="AA462" t="s">
        <v>3542</v>
      </c>
      <c r="AB462" t="s">
        <v>3543</v>
      </c>
      <c r="AC462" t="s">
        <v>74</v>
      </c>
      <c r="AD462" t="s">
        <v>74</v>
      </c>
      <c r="AE462" t="s">
        <v>74</v>
      </c>
      <c r="AF462" t="s">
        <v>74</v>
      </c>
      <c r="AG462" t="s">
        <v>74</v>
      </c>
      <c r="AH462" t="s">
        <v>74</v>
      </c>
      <c r="AI462" t="s">
        <v>74</v>
      </c>
      <c r="AJ462" t="s">
        <v>74</v>
      </c>
      <c r="AK462" t="s">
        <v>74</v>
      </c>
      <c r="AL462" t="s">
        <v>74</v>
      </c>
      <c r="AM462" t="s">
        <v>74</v>
      </c>
      <c r="AN462" t="s">
        <v>74</v>
      </c>
      <c r="AO462" t="s">
        <v>674</v>
      </c>
      <c r="AP462" t="s">
        <v>675</v>
      </c>
      <c r="AQ462" t="s">
        <v>74</v>
      </c>
      <c r="AR462" t="s">
        <v>74</v>
      </c>
      <c r="AS462" t="s">
        <v>74</v>
      </c>
      <c r="AT462" t="s">
        <v>335</v>
      </c>
      <c r="AU462">
        <v>2016</v>
      </c>
      <c r="AV462">
        <v>133</v>
      </c>
      <c r="AW462" t="s">
        <v>74</v>
      </c>
      <c r="AX462" t="s">
        <v>74</v>
      </c>
      <c r="AY462" t="s">
        <v>74</v>
      </c>
      <c r="AZ462" t="s">
        <v>74</v>
      </c>
      <c r="BA462" t="s">
        <v>74</v>
      </c>
      <c r="BB462">
        <v>235</v>
      </c>
      <c r="BC462">
        <v>242</v>
      </c>
      <c r="BD462" t="s">
        <v>74</v>
      </c>
      <c r="BE462" t="s">
        <v>3544</v>
      </c>
      <c r="BF462" t="str">
        <f>HYPERLINK("http://dx.doi.org/10.1016/j.ecoenv.2016.07.011","http://dx.doi.org/10.1016/j.ecoenv.2016.07.011")</f>
        <v>http://dx.doi.org/10.1016/j.ecoenv.2016.07.011</v>
      </c>
      <c r="BG462" t="s">
        <v>74</v>
      </c>
      <c r="BH462" t="s">
        <v>74</v>
      </c>
      <c r="BI462" t="s">
        <v>74</v>
      </c>
      <c r="BJ462" t="s">
        <v>74</v>
      </c>
      <c r="BK462" t="s">
        <v>74</v>
      </c>
      <c r="BL462" t="s">
        <v>74</v>
      </c>
      <c r="BM462" t="s">
        <v>74</v>
      </c>
      <c r="BN462">
        <v>27472028</v>
      </c>
      <c r="BO462" t="s">
        <v>74</v>
      </c>
      <c r="BP462" t="s">
        <v>74</v>
      </c>
      <c r="BQ462" t="s">
        <v>74</v>
      </c>
      <c r="BR462" t="s">
        <v>74</v>
      </c>
      <c r="BS462" t="s">
        <v>3545</v>
      </c>
      <c r="BT462" t="str">
        <f>HYPERLINK("https%3A%2F%2Fwww.webofscience.com%2Fwos%2Fwoscc%2Ffull-record%2FWOS:000384398800027","View Full Record in Web of Science")</f>
        <v>View Full Record in Web of Science</v>
      </c>
    </row>
    <row r="463" spans="1:72" x14ac:dyDescent="0.2">
      <c r="A463" t="s">
        <v>72</v>
      </c>
      <c r="B463" t="s">
        <v>3546</v>
      </c>
      <c r="C463" t="s">
        <v>74</v>
      </c>
      <c r="D463" t="s">
        <v>74</v>
      </c>
      <c r="E463" t="s">
        <v>74</v>
      </c>
      <c r="F463" t="s">
        <v>3547</v>
      </c>
      <c r="G463" t="s">
        <v>74</v>
      </c>
      <c r="H463" t="s">
        <v>74</v>
      </c>
      <c r="I463" t="s">
        <v>3548</v>
      </c>
      <c r="J463" t="s">
        <v>958</v>
      </c>
      <c r="K463" t="s">
        <v>74</v>
      </c>
      <c r="L463" t="s">
        <v>74</v>
      </c>
      <c r="M463" t="s">
        <v>74</v>
      </c>
      <c r="N463" t="s">
        <v>74</v>
      </c>
      <c r="O463" t="s">
        <v>74</v>
      </c>
      <c r="P463" t="s">
        <v>74</v>
      </c>
      <c r="Q463" t="s">
        <v>74</v>
      </c>
      <c r="R463" t="s">
        <v>74</v>
      </c>
      <c r="S463" t="s">
        <v>74</v>
      </c>
      <c r="T463" t="s">
        <v>74</v>
      </c>
      <c r="U463" t="s">
        <v>74</v>
      </c>
      <c r="V463" t="s">
        <v>74</v>
      </c>
      <c r="W463" t="s">
        <v>74</v>
      </c>
      <c r="X463" t="s">
        <v>74</v>
      </c>
      <c r="Y463" t="s">
        <v>74</v>
      </c>
      <c r="Z463" t="s">
        <v>74</v>
      </c>
      <c r="AA463" t="s">
        <v>74</v>
      </c>
      <c r="AB463" t="s">
        <v>3549</v>
      </c>
      <c r="AC463" t="s">
        <v>74</v>
      </c>
      <c r="AD463" t="s">
        <v>74</v>
      </c>
      <c r="AE463" t="s">
        <v>74</v>
      </c>
      <c r="AF463" t="s">
        <v>74</v>
      </c>
      <c r="AG463" t="s">
        <v>74</v>
      </c>
      <c r="AH463" t="s">
        <v>74</v>
      </c>
      <c r="AI463" t="s">
        <v>74</v>
      </c>
      <c r="AJ463" t="s">
        <v>74</v>
      </c>
      <c r="AK463" t="s">
        <v>74</v>
      </c>
      <c r="AL463" t="s">
        <v>74</v>
      </c>
      <c r="AM463" t="s">
        <v>74</v>
      </c>
      <c r="AN463" t="s">
        <v>74</v>
      </c>
      <c r="AO463" t="s">
        <v>959</v>
      </c>
      <c r="AP463" t="s">
        <v>74</v>
      </c>
      <c r="AQ463" t="s">
        <v>74</v>
      </c>
      <c r="AR463" t="s">
        <v>74</v>
      </c>
      <c r="AS463" t="s">
        <v>74</v>
      </c>
      <c r="AT463" t="s">
        <v>3550</v>
      </c>
      <c r="AU463">
        <v>2016</v>
      </c>
      <c r="AV463">
        <v>4</v>
      </c>
      <c r="AW463" t="s">
        <v>74</v>
      </c>
      <c r="AX463" t="s">
        <v>74</v>
      </c>
      <c r="AY463" t="s">
        <v>74</v>
      </c>
      <c r="AZ463" t="s">
        <v>74</v>
      </c>
      <c r="BA463" t="s">
        <v>74</v>
      </c>
      <c r="BB463" t="s">
        <v>74</v>
      </c>
      <c r="BC463" t="s">
        <v>74</v>
      </c>
      <c r="BD463" t="s">
        <v>3551</v>
      </c>
      <c r="BE463" t="s">
        <v>3552</v>
      </c>
      <c r="BF463" t="str">
        <f>HYPERLINK("http://dx.doi.org/10.7717/peerj.2455","http://dx.doi.org/10.7717/peerj.2455")</f>
        <v>http://dx.doi.org/10.7717/peerj.2455</v>
      </c>
      <c r="BG463" t="s">
        <v>74</v>
      </c>
      <c r="BH463" t="s">
        <v>74</v>
      </c>
      <c r="BI463" t="s">
        <v>74</v>
      </c>
      <c r="BJ463" t="s">
        <v>74</v>
      </c>
      <c r="BK463" t="s">
        <v>74</v>
      </c>
      <c r="BL463" t="s">
        <v>74</v>
      </c>
      <c r="BM463" t="s">
        <v>74</v>
      </c>
      <c r="BN463">
        <v>27781153</v>
      </c>
      <c r="BO463" t="s">
        <v>74</v>
      </c>
      <c r="BP463" t="s">
        <v>74</v>
      </c>
      <c r="BQ463" t="s">
        <v>74</v>
      </c>
      <c r="BR463" t="s">
        <v>74</v>
      </c>
      <c r="BS463" t="s">
        <v>3553</v>
      </c>
      <c r="BT463" t="str">
        <f>HYPERLINK("https%3A%2F%2Fwww.webofscience.com%2Fwos%2Fwoscc%2Ffull-record%2FWOS:000385583100001","View Full Record in Web of Science")</f>
        <v>View Full Record in Web of Science</v>
      </c>
    </row>
    <row r="464" spans="1:72" x14ac:dyDescent="0.2">
      <c r="A464" t="s">
        <v>72</v>
      </c>
      <c r="B464" t="s">
        <v>3554</v>
      </c>
      <c r="C464" t="s">
        <v>74</v>
      </c>
      <c r="D464" t="s">
        <v>74</v>
      </c>
      <c r="E464" t="s">
        <v>74</v>
      </c>
      <c r="F464" t="s">
        <v>3555</v>
      </c>
      <c r="G464" t="s">
        <v>74</v>
      </c>
      <c r="H464" t="s">
        <v>74</v>
      </c>
      <c r="I464" t="s">
        <v>3556</v>
      </c>
      <c r="J464" t="s">
        <v>973</v>
      </c>
      <c r="K464" t="s">
        <v>74</v>
      </c>
      <c r="L464" t="s">
        <v>74</v>
      </c>
      <c r="M464" t="s">
        <v>74</v>
      </c>
      <c r="N464" t="s">
        <v>74</v>
      </c>
      <c r="O464" t="s">
        <v>74</v>
      </c>
      <c r="P464" t="s">
        <v>74</v>
      </c>
      <c r="Q464" t="s">
        <v>74</v>
      </c>
      <c r="R464" t="s">
        <v>74</v>
      </c>
      <c r="S464" t="s">
        <v>74</v>
      </c>
      <c r="T464" t="s">
        <v>74</v>
      </c>
      <c r="U464" t="s">
        <v>74</v>
      </c>
      <c r="V464" t="s">
        <v>74</v>
      </c>
      <c r="W464" t="s">
        <v>74</v>
      </c>
      <c r="X464" t="s">
        <v>74</v>
      </c>
      <c r="Y464" t="s">
        <v>74</v>
      </c>
      <c r="Z464" t="s">
        <v>74</v>
      </c>
      <c r="AA464" t="s">
        <v>3557</v>
      </c>
      <c r="AB464" t="s">
        <v>3558</v>
      </c>
      <c r="AC464" t="s">
        <v>74</v>
      </c>
      <c r="AD464" t="s">
        <v>74</v>
      </c>
      <c r="AE464" t="s">
        <v>74</v>
      </c>
      <c r="AF464" t="s">
        <v>74</v>
      </c>
      <c r="AG464" t="s">
        <v>74</v>
      </c>
      <c r="AH464" t="s">
        <v>74</v>
      </c>
      <c r="AI464" t="s">
        <v>74</v>
      </c>
      <c r="AJ464" t="s">
        <v>74</v>
      </c>
      <c r="AK464" t="s">
        <v>74</v>
      </c>
      <c r="AL464" t="s">
        <v>74</v>
      </c>
      <c r="AM464" t="s">
        <v>74</v>
      </c>
      <c r="AN464" t="s">
        <v>74</v>
      </c>
      <c r="AO464" t="s">
        <v>974</v>
      </c>
      <c r="AP464" t="s">
        <v>975</v>
      </c>
      <c r="AQ464" t="s">
        <v>74</v>
      </c>
      <c r="AR464" t="s">
        <v>74</v>
      </c>
      <c r="AS464" t="s">
        <v>74</v>
      </c>
      <c r="AT464" t="s">
        <v>3559</v>
      </c>
      <c r="AU464">
        <v>2016</v>
      </c>
      <c r="AV464">
        <v>180</v>
      </c>
      <c r="AW464" t="s">
        <v>74</v>
      </c>
      <c r="AX464" t="s">
        <v>74</v>
      </c>
      <c r="AY464" t="s">
        <v>74</v>
      </c>
      <c r="AZ464" t="s">
        <v>74</v>
      </c>
      <c r="BA464" t="s">
        <v>74</v>
      </c>
      <c r="BB464">
        <v>190</v>
      </c>
      <c r="BC464">
        <v>203</v>
      </c>
      <c r="BD464" t="s">
        <v>74</v>
      </c>
      <c r="BE464" t="s">
        <v>3560</v>
      </c>
      <c r="BF464" t="str">
        <f>HYPERLINK("http://dx.doi.org/10.1016/j.ecss.2016.06.029","http://dx.doi.org/10.1016/j.ecss.2016.06.029")</f>
        <v>http://dx.doi.org/10.1016/j.ecss.2016.06.029</v>
      </c>
      <c r="BG464" t="s">
        <v>74</v>
      </c>
      <c r="BH464" t="s">
        <v>74</v>
      </c>
      <c r="BI464" t="s">
        <v>74</v>
      </c>
      <c r="BJ464" t="s">
        <v>74</v>
      </c>
      <c r="BK464" t="s">
        <v>74</v>
      </c>
      <c r="BL464" t="s">
        <v>74</v>
      </c>
      <c r="BM464" t="s">
        <v>74</v>
      </c>
      <c r="BN464" t="s">
        <v>74</v>
      </c>
      <c r="BO464" t="s">
        <v>74</v>
      </c>
      <c r="BP464" t="s">
        <v>74</v>
      </c>
      <c r="BQ464" t="s">
        <v>74</v>
      </c>
      <c r="BR464" t="s">
        <v>74</v>
      </c>
      <c r="BS464" t="s">
        <v>3561</v>
      </c>
      <c r="BT464" t="str">
        <f>HYPERLINK("https%3A%2F%2Fwww.webofscience.com%2Fwos%2Fwoscc%2Ffull-record%2FWOS:000384866900019","View Full Record in Web of Science")</f>
        <v>View Full Record in Web of Science</v>
      </c>
    </row>
    <row r="465" spans="1:72" x14ac:dyDescent="0.2">
      <c r="A465" t="s">
        <v>72</v>
      </c>
      <c r="B465" t="s">
        <v>3562</v>
      </c>
      <c r="C465" t="s">
        <v>74</v>
      </c>
      <c r="D465" t="s">
        <v>74</v>
      </c>
      <c r="E465" t="s">
        <v>74</v>
      </c>
      <c r="F465" t="s">
        <v>3563</v>
      </c>
      <c r="G465" t="s">
        <v>74</v>
      </c>
      <c r="H465" t="s">
        <v>74</v>
      </c>
      <c r="I465" t="s">
        <v>3564</v>
      </c>
      <c r="J465" t="s">
        <v>3565</v>
      </c>
      <c r="K465" t="s">
        <v>74</v>
      </c>
      <c r="L465" t="s">
        <v>74</v>
      </c>
      <c r="M465" t="s">
        <v>74</v>
      </c>
      <c r="N465" t="s">
        <v>74</v>
      </c>
      <c r="O465" t="s">
        <v>74</v>
      </c>
      <c r="P465" t="s">
        <v>74</v>
      </c>
      <c r="Q465" t="s">
        <v>74</v>
      </c>
      <c r="R465" t="s">
        <v>74</v>
      </c>
      <c r="S465" t="s">
        <v>74</v>
      </c>
      <c r="T465" t="s">
        <v>74</v>
      </c>
      <c r="U465" t="s">
        <v>74</v>
      </c>
      <c r="V465" t="s">
        <v>74</v>
      </c>
      <c r="W465" t="s">
        <v>74</v>
      </c>
      <c r="X465" t="s">
        <v>74</v>
      </c>
      <c r="Y465" t="s">
        <v>74</v>
      </c>
      <c r="Z465" t="s">
        <v>74</v>
      </c>
      <c r="AA465" t="s">
        <v>6421</v>
      </c>
      <c r="AB465" t="s">
        <v>3567</v>
      </c>
      <c r="AC465" t="s">
        <v>74</v>
      </c>
      <c r="AD465" t="s">
        <v>74</v>
      </c>
      <c r="AE465" t="s">
        <v>74</v>
      </c>
      <c r="AF465" t="s">
        <v>74</v>
      </c>
      <c r="AG465" t="s">
        <v>74</v>
      </c>
      <c r="AH465" t="s">
        <v>74</v>
      </c>
      <c r="AI465" t="s">
        <v>74</v>
      </c>
      <c r="AJ465" t="s">
        <v>74</v>
      </c>
      <c r="AK465" t="s">
        <v>74</v>
      </c>
      <c r="AL465" t="s">
        <v>74</v>
      </c>
      <c r="AM465" t="s">
        <v>74</v>
      </c>
      <c r="AN465" t="s">
        <v>74</v>
      </c>
      <c r="AO465" t="s">
        <v>3568</v>
      </c>
      <c r="AP465" t="s">
        <v>3569</v>
      </c>
      <c r="AQ465" t="s">
        <v>74</v>
      </c>
      <c r="AR465" t="s">
        <v>74</v>
      </c>
      <c r="AS465" t="s">
        <v>74</v>
      </c>
      <c r="AT465" t="s">
        <v>406</v>
      </c>
      <c r="AU465">
        <v>2016</v>
      </c>
      <c r="AV465">
        <v>29</v>
      </c>
      <c r="AW465">
        <v>10</v>
      </c>
      <c r="AX465" t="s">
        <v>74</v>
      </c>
      <c r="AY465" t="s">
        <v>74</v>
      </c>
      <c r="AZ465" t="s">
        <v>74</v>
      </c>
      <c r="BA465" t="s">
        <v>74</v>
      </c>
      <c r="BB465">
        <v>1999</v>
      </c>
      <c r="BC465">
        <v>2009</v>
      </c>
      <c r="BD465" t="s">
        <v>74</v>
      </c>
      <c r="BE465" t="s">
        <v>3570</v>
      </c>
      <c r="BF465" t="str">
        <f>HYPERLINK("http://dx.doi.org/10.1111/jeb.12923","http://dx.doi.org/10.1111/jeb.12923")</f>
        <v>http://dx.doi.org/10.1111/jeb.12923</v>
      </c>
      <c r="BG465" t="s">
        <v>74</v>
      </c>
      <c r="BH465" t="s">
        <v>74</v>
      </c>
      <c r="BI465" t="s">
        <v>74</v>
      </c>
      <c r="BJ465" t="s">
        <v>74</v>
      </c>
      <c r="BK465" t="s">
        <v>74</v>
      </c>
      <c r="BL465" t="s">
        <v>74</v>
      </c>
      <c r="BM465" t="s">
        <v>74</v>
      </c>
      <c r="BN465">
        <v>27329766</v>
      </c>
      <c r="BO465" t="s">
        <v>74</v>
      </c>
      <c r="BP465" t="s">
        <v>74</v>
      </c>
      <c r="BQ465" t="s">
        <v>74</v>
      </c>
      <c r="BR465" t="s">
        <v>74</v>
      </c>
      <c r="BS465" t="s">
        <v>3571</v>
      </c>
      <c r="BT465" t="str">
        <f>HYPERLINK("https%3A%2F%2Fwww.webofscience.com%2Fwos%2Fwoscc%2Ffull-record%2FWOS:000388311200015","View Full Record in Web of Science")</f>
        <v>View Full Record in Web of Science</v>
      </c>
    </row>
    <row r="466" spans="1:72" x14ac:dyDescent="0.2">
      <c r="A466" t="s">
        <v>72</v>
      </c>
      <c r="B466" t="s">
        <v>3572</v>
      </c>
      <c r="C466" t="s">
        <v>74</v>
      </c>
      <c r="D466" t="s">
        <v>74</v>
      </c>
      <c r="E466" t="s">
        <v>74</v>
      </c>
      <c r="F466" t="s">
        <v>3573</v>
      </c>
      <c r="G466" t="s">
        <v>74</v>
      </c>
      <c r="H466" t="s">
        <v>74</v>
      </c>
      <c r="I466" t="s">
        <v>3574</v>
      </c>
      <c r="J466" t="s">
        <v>2199</v>
      </c>
      <c r="K466" t="s">
        <v>74</v>
      </c>
      <c r="L466" t="s">
        <v>74</v>
      </c>
      <c r="M466" t="s">
        <v>74</v>
      </c>
      <c r="N466" t="s">
        <v>74</v>
      </c>
      <c r="O466" t="s">
        <v>74</v>
      </c>
      <c r="P466" t="s">
        <v>74</v>
      </c>
      <c r="Q466" t="s">
        <v>74</v>
      </c>
      <c r="R466" t="s">
        <v>74</v>
      </c>
      <c r="S466" t="s">
        <v>74</v>
      </c>
      <c r="T466" t="s">
        <v>74</v>
      </c>
      <c r="U466" t="s">
        <v>74</v>
      </c>
      <c r="V466" t="s">
        <v>74</v>
      </c>
      <c r="W466" t="s">
        <v>74</v>
      </c>
      <c r="X466" t="s">
        <v>74</v>
      </c>
      <c r="Y466" t="s">
        <v>74</v>
      </c>
      <c r="Z466" t="s">
        <v>74</v>
      </c>
      <c r="AA466" t="s">
        <v>74</v>
      </c>
      <c r="AB466" t="s">
        <v>74</v>
      </c>
      <c r="AC466" t="s">
        <v>74</v>
      </c>
      <c r="AD466" t="s">
        <v>74</v>
      </c>
      <c r="AE466" t="s">
        <v>74</v>
      </c>
      <c r="AF466" t="s">
        <v>74</v>
      </c>
      <c r="AG466" t="s">
        <v>74</v>
      </c>
      <c r="AH466" t="s">
        <v>74</v>
      </c>
      <c r="AI466" t="s">
        <v>74</v>
      </c>
      <c r="AJ466" t="s">
        <v>74</v>
      </c>
      <c r="AK466" t="s">
        <v>74</v>
      </c>
      <c r="AL466" t="s">
        <v>74</v>
      </c>
      <c r="AM466" t="s">
        <v>74</v>
      </c>
      <c r="AN466" t="s">
        <v>74</v>
      </c>
      <c r="AO466" t="s">
        <v>2200</v>
      </c>
      <c r="AP466" t="s">
        <v>2201</v>
      </c>
      <c r="AQ466" t="s">
        <v>74</v>
      </c>
      <c r="AR466" t="s">
        <v>74</v>
      </c>
      <c r="AS466" t="s">
        <v>74</v>
      </c>
      <c r="AT466" t="s">
        <v>406</v>
      </c>
      <c r="AU466">
        <v>2016</v>
      </c>
      <c r="AV466">
        <v>25</v>
      </c>
      <c r="AW466">
        <v>8</v>
      </c>
      <c r="AX466" t="s">
        <v>74</v>
      </c>
      <c r="AY466" t="s">
        <v>74</v>
      </c>
      <c r="AZ466" t="s">
        <v>74</v>
      </c>
      <c r="BA466" t="s">
        <v>74</v>
      </c>
      <c r="BB466">
        <v>1458</v>
      </c>
      <c r="BC466">
        <v>1467</v>
      </c>
      <c r="BD466" t="s">
        <v>74</v>
      </c>
      <c r="BE466" t="s">
        <v>3575</v>
      </c>
      <c r="BF466" t="str">
        <f>HYPERLINK("http://dx.doi.org/10.1007/s10646-016-1697-8","http://dx.doi.org/10.1007/s10646-016-1697-8")</f>
        <v>http://dx.doi.org/10.1007/s10646-016-1697-8</v>
      </c>
      <c r="BG466" t="s">
        <v>74</v>
      </c>
      <c r="BH466" t="s">
        <v>74</v>
      </c>
      <c r="BI466" t="s">
        <v>74</v>
      </c>
      <c r="BJ466" t="s">
        <v>74</v>
      </c>
      <c r="BK466" t="s">
        <v>74</v>
      </c>
      <c r="BL466" t="s">
        <v>74</v>
      </c>
      <c r="BM466" t="s">
        <v>74</v>
      </c>
      <c r="BN466">
        <v>27443676</v>
      </c>
      <c r="BO466" t="s">
        <v>74</v>
      </c>
      <c r="BP466" t="s">
        <v>74</v>
      </c>
      <c r="BQ466" t="s">
        <v>74</v>
      </c>
      <c r="BR466" t="s">
        <v>74</v>
      </c>
      <c r="BS466" t="s">
        <v>3576</v>
      </c>
      <c r="BT466" t="str">
        <f>HYPERLINK("https%3A%2F%2Fwww.webofscience.com%2Fwos%2Fwoscc%2Ffull-record%2FWOS:000386710800002","View Full Record in Web of Science")</f>
        <v>View Full Record in Web of Science</v>
      </c>
    </row>
    <row r="467" spans="1:72" x14ac:dyDescent="0.2">
      <c r="A467" t="s">
        <v>72</v>
      </c>
      <c r="B467" t="s">
        <v>3577</v>
      </c>
      <c r="C467" t="s">
        <v>74</v>
      </c>
      <c r="D467" t="s">
        <v>74</v>
      </c>
      <c r="E467" t="s">
        <v>74</v>
      </c>
      <c r="F467" t="s">
        <v>3578</v>
      </c>
      <c r="G467" t="s">
        <v>74</v>
      </c>
      <c r="H467" t="s">
        <v>74</v>
      </c>
      <c r="I467" t="s">
        <v>3579</v>
      </c>
      <c r="J467" t="s">
        <v>3443</v>
      </c>
      <c r="K467" t="s">
        <v>74</v>
      </c>
      <c r="L467" t="s">
        <v>74</v>
      </c>
      <c r="M467" t="s">
        <v>74</v>
      </c>
      <c r="N467" t="s">
        <v>74</v>
      </c>
      <c r="O467" t="s">
        <v>74</v>
      </c>
      <c r="P467" t="s">
        <v>74</v>
      </c>
      <c r="Q467" t="s">
        <v>74</v>
      </c>
      <c r="R467" t="s">
        <v>74</v>
      </c>
      <c r="S467" t="s">
        <v>74</v>
      </c>
      <c r="T467" t="s">
        <v>74</v>
      </c>
      <c r="U467" t="s">
        <v>74</v>
      </c>
      <c r="V467" t="s">
        <v>74</v>
      </c>
      <c r="W467" t="s">
        <v>74</v>
      </c>
      <c r="X467" t="s">
        <v>74</v>
      </c>
      <c r="Y467" t="s">
        <v>74</v>
      </c>
      <c r="Z467" t="s">
        <v>74</v>
      </c>
      <c r="AA467" t="s">
        <v>74</v>
      </c>
      <c r="AB467" t="s">
        <v>3580</v>
      </c>
      <c r="AC467" t="s">
        <v>74</v>
      </c>
      <c r="AD467" t="s">
        <v>74</v>
      </c>
      <c r="AE467" t="s">
        <v>74</v>
      </c>
      <c r="AF467" t="s">
        <v>74</v>
      </c>
      <c r="AG467" t="s">
        <v>74</v>
      </c>
      <c r="AH467" t="s">
        <v>74</v>
      </c>
      <c r="AI467" t="s">
        <v>74</v>
      </c>
      <c r="AJ467" t="s">
        <v>74</v>
      </c>
      <c r="AK467" t="s">
        <v>74</v>
      </c>
      <c r="AL467" t="s">
        <v>74</v>
      </c>
      <c r="AM467" t="s">
        <v>74</v>
      </c>
      <c r="AN467" t="s">
        <v>74</v>
      </c>
      <c r="AO467" t="s">
        <v>3445</v>
      </c>
      <c r="AP467" t="s">
        <v>74</v>
      </c>
      <c r="AQ467" t="s">
        <v>74</v>
      </c>
      <c r="AR467" t="s">
        <v>74</v>
      </c>
      <c r="AS467" t="s">
        <v>74</v>
      </c>
      <c r="AT467" t="s">
        <v>538</v>
      </c>
      <c r="AU467">
        <v>2016</v>
      </c>
      <c r="AV467">
        <v>11</v>
      </c>
      <c r="AW467">
        <v>9</v>
      </c>
      <c r="AX467" t="s">
        <v>74</v>
      </c>
      <c r="AY467" t="s">
        <v>74</v>
      </c>
      <c r="AZ467" t="s">
        <v>74</v>
      </c>
      <c r="BA467" t="s">
        <v>74</v>
      </c>
      <c r="BB467" t="s">
        <v>74</v>
      </c>
      <c r="BC467" t="s">
        <v>74</v>
      </c>
      <c r="BD467" t="s">
        <v>3581</v>
      </c>
      <c r="BE467" t="s">
        <v>3582</v>
      </c>
      <c r="BF467" t="str">
        <f>HYPERLINK("http://dx.doi.org/10.1371/journal.pone.0162539","http://dx.doi.org/10.1371/journal.pone.0162539")</f>
        <v>http://dx.doi.org/10.1371/journal.pone.0162539</v>
      </c>
      <c r="BG467" t="s">
        <v>74</v>
      </c>
      <c r="BH467" t="s">
        <v>74</v>
      </c>
      <c r="BI467" t="s">
        <v>74</v>
      </c>
      <c r="BJ467" t="s">
        <v>74</v>
      </c>
      <c r="BK467" t="s">
        <v>74</v>
      </c>
      <c r="BL467" t="s">
        <v>74</v>
      </c>
      <c r="BM467" t="s">
        <v>74</v>
      </c>
      <c r="BN467">
        <v>27649395</v>
      </c>
      <c r="BO467" t="s">
        <v>74</v>
      </c>
      <c r="BP467" t="s">
        <v>74</v>
      </c>
      <c r="BQ467" t="s">
        <v>74</v>
      </c>
      <c r="BR467" t="s">
        <v>74</v>
      </c>
      <c r="BS467" t="s">
        <v>3583</v>
      </c>
      <c r="BT467" t="str">
        <f>HYPERLINK("https%3A%2F%2Fwww.webofscience.com%2Fwos%2Fwoscc%2Ffull-record%2FWOS:000383892100021","View Full Record in Web of Science")</f>
        <v>View Full Record in Web of Science</v>
      </c>
    </row>
    <row r="468" spans="1:72" x14ac:dyDescent="0.2">
      <c r="A468" t="s">
        <v>72</v>
      </c>
      <c r="B468" t="s">
        <v>3584</v>
      </c>
      <c r="C468" t="s">
        <v>74</v>
      </c>
      <c r="D468" t="s">
        <v>74</v>
      </c>
      <c r="E468" t="s">
        <v>74</v>
      </c>
      <c r="F468" t="s">
        <v>3585</v>
      </c>
      <c r="G468" t="s">
        <v>74</v>
      </c>
      <c r="H468" t="s">
        <v>74</v>
      </c>
      <c r="I468" t="s">
        <v>3586</v>
      </c>
      <c r="J468" t="s">
        <v>3587</v>
      </c>
      <c r="K468" t="s">
        <v>74</v>
      </c>
      <c r="L468" t="s">
        <v>74</v>
      </c>
      <c r="M468" t="s">
        <v>74</v>
      </c>
      <c r="N468" t="s">
        <v>74</v>
      </c>
      <c r="O468" t="s">
        <v>74</v>
      </c>
      <c r="P468" t="s">
        <v>74</v>
      </c>
      <c r="Q468" t="s">
        <v>74</v>
      </c>
      <c r="R468" t="s">
        <v>74</v>
      </c>
      <c r="S468" t="s">
        <v>74</v>
      </c>
      <c r="T468" t="s">
        <v>74</v>
      </c>
      <c r="U468" t="s">
        <v>74</v>
      </c>
      <c r="V468" t="s">
        <v>74</v>
      </c>
      <c r="W468" t="s">
        <v>74</v>
      </c>
      <c r="X468" t="s">
        <v>74</v>
      </c>
      <c r="Y468" t="s">
        <v>74</v>
      </c>
      <c r="Z468" t="s">
        <v>74</v>
      </c>
      <c r="AA468" t="s">
        <v>3588</v>
      </c>
      <c r="AB468" t="s">
        <v>3589</v>
      </c>
      <c r="AC468" t="s">
        <v>74</v>
      </c>
      <c r="AD468" t="s">
        <v>74</v>
      </c>
      <c r="AE468" t="s">
        <v>74</v>
      </c>
      <c r="AF468" t="s">
        <v>74</v>
      </c>
      <c r="AG468" t="s">
        <v>74</v>
      </c>
      <c r="AH468" t="s">
        <v>74</v>
      </c>
      <c r="AI468" t="s">
        <v>74</v>
      </c>
      <c r="AJ468" t="s">
        <v>74</v>
      </c>
      <c r="AK468" t="s">
        <v>74</v>
      </c>
      <c r="AL468" t="s">
        <v>74</v>
      </c>
      <c r="AM468" t="s">
        <v>74</v>
      </c>
      <c r="AN468" t="s">
        <v>74</v>
      </c>
      <c r="AO468" t="s">
        <v>3590</v>
      </c>
      <c r="AP468" t="s">
        <v>3591</v>
      </c>
      <c r="AQ468" t="s">
        <v>74</v>
      </c>
      <c r="AR468" t="s">
        <v>74</v>
      </c>
      <c r="AS468" t="s">
        <v>74</v>
      </c>
      <c r="AT468" t="s">
        <v>538</v>
      </c>
      <c r="AU468">
        <v>2016</v>
      </c>
      <c r="AV468">
        <v>203</v>
      </c>
      <c r="AW468" t="s">
        <v>74</v>
      </c>
      <c r="AX468" t="s">
        <v>74</v>
      </c>
      <c r="AY468" t="s">
        <v>74</v>
      </c>
      <c r="AZ468" t="s">
        <v>74</v>
      </c>
      <c r="BA468" t="s">
        <v>74</v>
      </c>
      <c r="BB468">
        <v>127</v>
      </c>
      <c r="BC468">
        <v>134</v>
      </c>
      <c r="BD468" t="s">
        <v>74</v>
      </c>
      <c r="BE468" t="s">
        <v>3592</v>
      </c>
      <c r="BF468" t="str">
        <f>HYPERLINK("http://dx.doi.org/10.1016/j.jplph.2016.05.018","http://dx.doi.org/10.1016/j.jplph.2016.05.018")</f>
        <v>http://dx.doi.org/10.1016/j.jplph.2016.05.018</v>
      </c>
      <c r="BG468" t="s">
        <v>74</v>
      </c>
      <c r="BH468" t="s">
        <v>74</v>
      </c>
      <c r="BI468" t="s">
        <v>74</v>
      </c>
      <c r="BJ468" t="s">
        <v>74</v>
      </c>
      <c r="BK468" t="s">
        <v>74</v>
      </c>
      <c r="BL468" t="s">
        <v>74</v>
      </c>
      <c r="BM468" t="s">
        <v>74</v>
      </c>
      <c r="BN468">
        <v>27344409</v>
      </c>
      <c r="BO468" t="s">
        <v>74</v>
      </c>
      <c r="BP468" t="s">
        <v>74</v>
      </c>
      <c r="BQ468" t="s">
        <v>74</v>
      </c>
      <c r="BR468" t="s">
        <v>74</v>
      </c>
      <c r="BS468" t="s">
        <v>3593</v>
      </c>
      <c r="BT468" t="str">
        <f>HYPERLINK("https%3A%2F%2Fwww.webofscience.com%2Fwos%2Fwoscc%2Ffull-record%2FWOS:000385038100012","View Full Record in Web of Science")</f>
        <v>View Full Record in Web of Science</v>
      </c>
    </row>
    <row r="469" spans="1:72" x14ac:dyDescent="0.2">
      <c r="A469" t="s">
        <v>72</v>
      </c>
      <c r="B469" t="s">
        <v>3594</v>
      </c>
      <c r="C469" t="s">
        <v>74</v>
      </c>
      <c r="D469" t="s">
        <v>74</v>
      </c>
      <c r="E469" t="s">
        <v>74</v>
      </c>
      <c r="F469" t="s">
        <v>3595</v>
      </c>
      <c r="G469" t="s">
        <v>74</v>
      </c>
      <c r="H469" t="s">
        <v>74</v>
      </c>
      <c r="I469" t="s">
        <v>3596</v>
      </c>
      <c r="J469" t="s">
        <v>3443</v>
      </c>
      <c r="K469" t="s">
        <v>74</v>
      </c>
      <c r="L469" t="s">
        <v>74</v>
      </c>
      <c r="M469" t="s">
        <v>74</v>
      </c>
      <c r="N469" t="s">
        <v>74</v>
      </c>
      <c r="O469" t="s">
        <v>74</v>
      </c>
      <c r="P469" t="s">
        <v>74</v>
      </c>
      <c r="Q469" t="s">
        <v>74</v>
      </c>
      <c r="R469" t="s">
        <v>74</v>
      </c>
      <c r="S469" t="s">
        <v>74</v>
      </c>
      <c r="T469" t="s">
        <v>74</v>
      </c>
      <c r="U469" t="s">
        <v>74</v>
      </c>
      <c r="V469" t="s">
        <v>74</v>
      </c>
      <c r="W469" t="s">
        <v>74</v>
      </c>
      <c r="X469" t="s">
        <v>74</v>
      </c>
      <c r="Y469" t="s">
        <v>74</v>
      </c>
      <c r="Z469" t="s">
        <v>74</v>
      </c>
      <c r="AA469" t="s">
        <v>74</v>
      </c>
      <c r="AB469" t="s">
        <v>74</v>
      </c>
      <c r="AC469" t="s">
        <v>74</v>
      </c>
      <c r="AD469" t="s">
        <v>74</v>
      </c>
      <c r="AE469" t="s">
        <v>74</v>
      </c>
      <c r="AF469" t="s">
        <v>74</v>
      </c>
      <c r="AG469" t="s">
        <v>74</v>
      </c>
      <c r="AH469" t="s">
        <v>74</v>
      </c>
      <c r="AI469" t="s">
        <v>74</v>
      </c>
      <c r="AJ469" t="s">
        <v>74</v>
      </c>
      <c r="AK469" t="s">
        <v>74</v>
      </c>
      <c r="AL469" t="s">
        <v>74</v>
      </c>
      <c r="AM469" t="s">
        <v>74</v>
      </c>
      <c r="AN469" t="s">
        <v>74</v>
      </c>
      <c r="AO469" t="s">
        <v>3445</v>
      </c>
      <c r="AP469" t="s">
        <v>74</v>
      </c>
      <c r="AQ469" t="s">
        <v>74</v>
      </c>
      <c r="AR469" t="s">
        <v>74</v>
      </c>
      <c r="AS469" t="s">
        <v>74</v>
      </c>
      <c r="AT469" t="s">
        <v>3597</v>
      </c>
      <c r="AU469">
        <v>2016</v>
      </c>
      <c r="AV469">
        <v>11</v>
      </c>
      <c r="AW469">
        <v>9</v>
      </c>
      <c r="AX469" t="s">
        <v>74</v>
      </c>
      <c r="AY469" t="s">
        <v>74</v>
      </c>
      <c r="AZ469" t="s">
        <v>74</v>
      </c>
      <c r="BA469" t="s">
        <v>74</v>
      </c>
      <c r="BB469" t="s">
        <v>74</v>
      </c>
      <c r="BC469" t="s">
        <v>74</v>
      </c>
      <c r="BD469" t="s">
        <v>3598</v>
      </c>
      <c r="BE469" t="s">
        <v>3599</v>
      </c>
      <c r="BF469" t="str">
        <f>HYPERLINK("http://dx.doi.org/10.1371/journal.pone.0162470","http://dx.doi.org/10.1371/journal.pone.0162470")</f>
        <v>http://dx.doi.org/10.1371/journal.pone.0162470</v>
      </c>
      <c r="BG469" t="s">
        <v>74</v>
      </c>
      <c r="BH469" t="s">
        <v>74</v>
      </c>
      <c r="BI469" t="s">
        <v>74</v>
      </c>
      <c r="BJ469" t="s">
        <v>74</v>
      </c>
      <c r="BK469" t="s">
        <v>74</v>
      </c>
      <c r="BL469" t="s">
        <v>74</v>
      </c>
      <c r="BM469" t="s">
        <v>74</v>
      </c>
      <c r="BN469">
        <v>27610617</v>
      </c>
      <c r="BO469" t="s">
        <v>74</v>
      </c>
      <c r="BP469" t="s">
        <v>74</v>
      </c>
      <c r="BQ469" t="s">
        <v>74</v>
      </c>
      <c r="BR469" t="s">
        <v>74</v>
      </c>
      <c r="BS469" t="s">
        <v>3600</v>
      </c>
      <c r="BT469" t="str">
        <f>HYPERLINK("https%3A%2F%2Fwww.webofscience.com%2Fwos%2Fwoscc%2Ffull-record%2FWOS:000383255900107","View Full Record in Web of Science")</f>
        <v>View Full Record in Web of Science</v>
      </c>
    </row>
    <row r="470" spans="1:72" x14ac:dyDescent="0.2">
      <c r="A470" t="s">
        <v>72</v>
      </c>
      <c r="B470" t="s">
        <v>3601</v>
      </c>
      <c r="C470" t="s">
        <v>74</v>
      </c>
      <c r="D470" t="s">
        <v>74</v>
      </c>
      <c r="E470" t="s">
        <v>74</v>
      </c>
      <c r="F470" t="s">
        <v>3602</v>
      </c>
      <c r="G470" t="s">
        <v>74</v>
      </c>
      <c r="H470" t="s">
        <v>74</v>
      </c>
      <c r="I470" t="s">
        <v>3603</v>
      </c>
      <c r="J470" t="s">
        <v>3604</v>
      </c>
      <c r="K470" t="s">
        <v>74</v>
      </c>
      <c r="L470" t="s">
        <v>74</v>
      </c>
      <c r="M470" t="s">
        <v>74</v>
      </c>
      <c r="N470" t="s">
        <v>74</v>
      </c>
      <c r="O470" t="s">
        <v>74</v>
      </c>
      <c r="P470" t="s">
        <v>74</v>
      </c>
      <c r="Q470" t="s">
        <v>74</v>
      </c>
      <c r="R470" t="s">
        <v>74</v>
      </c>
      <c r="S470" t="s">
        <v>74</v>
      </c>
      <c r="T470" t="s">
        <v>74</v>
      </c>
      <c r="U470" t="s">
        <v>74</v>
      </c>
      <c r="V470" t="s">
        <v>74</v>
      </c>
      <c r="W470" t="s">
        <v>74</v>
      </c>
      <c r="X470" t="s">
        <v>74</v>
      </c>
      <c r="Y470" t="s">
        <v>74</v>
      </c>
      <c r="Z470" t="s">
        <v>74</v>
      </c>
      <c r="AA470" t="s">
        <v>74</v>
      </c>
      <c r="AB470" t="s">
        <v>74</v>
      </c>
      <c r="AC470" t="s">
        <v>74</v>
      </c>
      <c r="AD470" t="s">
        <v>74</v>
      </c>
      <c r="AE470" t="s">
        <v>74</v>
      </c>
      <c r="AF470" t="s">
        <v>74</v>
      </c>
      <c r="AG470" t="s">
        <v>74</v>
      </c>
      <c r="AH470" t="s">
        <v>74</v>
      </c>
      <c r="AI470" t="s">
        <v>74</v>
      </c>
      <c r="AJ470" t="s">
        <v>74</v>
      </c>
      <c r="AK470" t="s">
        <v>74</v>
      </c>
      <c r="AL470" t="s">
        <v>74</v>
      </c>
      <c r="AM470" t="s">
        <v>74</v>
      </c>
      <c r="AN470" t="s">
        <v>74</v>
      </c>
      <c r="AO470" t="s">
        <v>3605</v>
      </c>
      <c r="AP470" t="s">
        <v>3606</v>
      </c>
      <c r="AQ470" t="s">
        <v>74</v>
      </c>
      <c r="AR470" t="s">
        <v>74</v>
      </c>
      <c r="AS470" t="s">
        <v>74</v>
      </c>
      <c r="AT470" t="s">
        <v>451</v>
      </c>
      <c r="AU470">
        <v>2016</v>
      </c>
      <c r="AV470">
        <v>31</v>
      </c>
      <c r="AW470">
        <v>3</v>
      </c>
      <c r="AX470" t="s">
        <v>74</v>
      </c>
      <c r="AY470" t="s">
        <v>74</v>
      </c>
      <c r="AZ470" t="s">
        <v>74</v>
      </c>
      <c r="BA470" t="s">
        <v>74</v>
      </c>
      <c r="BB470">
        <v>393</v>
      </c>
      <c r="BC470">
        <v>406</v>
      </c>
      <c r="BD470" t="s">
        <v>74</v>
      </c>
      <c r="BE470" t="s">
        <v>3607</v>
      </c>
      <c r="BF470" t="str">
        <f>HYPERLINK("http://dx.doi.org/10.1080/02705060.2016.1160846","http://dx.doi.org/10.1080/02705060.2016.1160846")</f>
        <v>http://dx.doi.org/10.1080/02705060.2016.1160846</v>
      </c>
      <c r="BG470" t="s">
        <v>74</v>
      </c>
      <c r="BH470" t="s">
        <v>74</v>
      </c>
      <c r="BI470" t="s">
        <v>74</v>
      </c>
      <c r="BJ470" t="s">
        <v>74</v>
      </c>
      <c r="BK470" t="s">
        <v>74</v>
      </c>
      <c r="BL470" t="s">
        <v>74</v>
      </c>
      <c r="BM470" t="s">
        <v>74</v>
      </c>
      <c r="BN470" t="s">
        <v>74</v>
      </c>
      <c r="BO470" t="s">
        <v>74</v>
      </c>
      <c r="BP470" t="s">
        <v>74</v>
      </c>
      <c r="BQ470" t="s">
        <v>74</v>
      </c>
      <c r="BR470" t="s">
        <v>74</v>
      </c>
      <c r="BS470" t="s">
        <v>3608</v>
      </c>
      <c r="BT470" t="str">
        <f>HYPERLINK("https%3A%2F%2Fwww.webofscience.com%2Fwos%2Fwoscc%2Ffull-record%2FWOS:000384270300008","View Full Record in Web of Science")</f>
        <v>View Full Record in Web of Science</v>
      </c>
    </row>
    <row r="471" spans="1:72" x14ac:dyDescent="0.2">
      <c r="A471" t="s">
        <v>72</v>
      </c>
      <c r="B471" t="s">
        <v>3609</v>
      </c>
      <c r="C471" t="s">
        <v>74</v>
      </c>
      <c r="D471" t="s">
        <v>74</v>
      </c>
      <c r="E471" t="s">
        <v>74</v>
      </c>
      <c r="F471" t="s">
        <v>3610</v>
      </c>
      <c r="G471" t="s">
        <v>74</v>
      </c>
      <c r="H471" t="s">
        <v>74</v>
      </c>
      <c r="I471" t="s">
        <v>3611</v>
      </c>
      <c r="J471" t="s">
        <v>3612</v>
      </c>
      <c r="K471" t="s">
        <v>74</v>
      </c>
      <c r="L471" t="s">
        <v>74</v>
      </c>
      <c r="M471" t="s">
        <v>74</v>
      </c>
      <c r="N471" t="s">
        <v>74</v>
      </c>
      <c r="O471" t="s">
        <v>74</v>
      </c>
      <c r="P471" t="s">
        <v>74</v>
      </c>
      <c r="Q471" t="s">
        <v>74</v>
      </c>
      <c r="R471" t="s">
        <v>74</v>
      </c>
      <c r="S471" t="s">
        <v>74</v>
      </c>
      <c r="T471" t="s">
        <v>74</v>
      </c>
      <c r="U471" t="s">
        <v>74</v>
      </c>
      <c r="V471" t="s">
        <v>74</v>
      </c>
      <c r="W471" t="s">
        <v>74</v>
      </c>
      <c r="X471" t="s">
        <v>74</v>
      </c>
      <c r="Y471" t="s">
        <v>74</v>
      </c>
      <c r="Z471" t="s">
        <v>74</v>
      </c>
      <c r="AA471" t="s">
        <v>3613</v>
      </c>
      <c r="AB471" t="s">
        <v>3614</v>
      </c>
      <c r="AC471" t="s">
        <v>74</v>
      </c>
      <c r="AD471" t="s">
        <v>74</v>
      </c>
      <c r="AE471" t="s">
        <v>74</v>
      </c>
      <c r="AF471" t="s">
        <v>74</v>
      </c>
      <c r="AG471" t="s">
        <v>74</v>
      </c>
      <c r="AH471" t="s">
        <v>74</v>
      </c>
      <c r="AI471" t="s">
        <v>74</v>
      </c>
      <c r="AJ471" t="s">
        <v>74</v>
      </c>
      <c r="AK471" t="s">
        <v>74</v>
      </c>
      <c r="AL471" t="s">
        <v>74</v>
      </c>
      <c r="AM471" t="s">
        <v>74</v>
      </c>
      <c r="AN471" t="s">
        <v>74</v>
      </c>
      <c r="AO471" t="s">
        <v>3615</v>
      </c>
      <c r="AP471" t="s">
        <v>3616</v>
      </c>
      <c r="AQ471" t="s">
        <v>74</v>
      </c>
      <c r="AR471" t="s">
        <v>74</v>
      </c>
      <c r="AS471" t="s">
        <v>74</v>
      </c>
      <c r="AT471" t="s">
        <v>451</v>
      </c>
      <c r="AU471">
        <v>2016</v>
      </c>
      <c r="AV471">
        <v>94</v>
      </c>
      <c r="AW471">
        <v>9</v>
      </c>
      <c r="AX471" t="s">
        <v>74</v>
      </c>
      <c r="AY471" t="s">
        <v>74</v>
      </c>
      <c r="AZ471" t="s">
        <v>74</v>
      </c>
      <c r="BA471" t="s">
        <v>74</v>
      </c>
      <c r="BB471">
        <v>631</v>
      </c>
      <c r="BC471">
        <v>635</v>
      </c>
      <c r="BD471" t="s">
        <v>74</v>
      </c>
      <c r="BE471" t="s">
        <v>3617</v>
      </c>
      <c r="BF471" t="str">
        <f>HYPERLINK("http://dx.doi.org/10.1139/cjz-2016-0088","http://dx.doi.org/10.1139/cjz-2016-0088")</f>
        <v>http://dx.doi.org/10.1139/cjz-2016-0088</v>
      </c>
      <c r="BG471" t="s">
        <v>74</v>
      </c>
      <c r="BH471" t="s">
        <v>74</v>
      </c>
      <c r="BI471" t="s">
        <v>74</v>
      </c>
      <c r="BJ471" t="s">
        <v>74</v>
      </c>
      <c r="BK471" t="s">
        <v>74</v>
      </c>
      <c r="BL471" t="s">
        <v>74</v>
      </c>
      <c r="BM471" t="s">
        <v>74</v>
      </c>
      <c r="BN471" t="s">
        <v>74</v>
      </c>
      <c r="BO471" t="s">
        <v>74</v>
      </c>
      <c r="BP471" t="s">
        <v>74</v>
      </c>
      <c r="BQ471" t="s">
        <v>74</v>
      </c>
      <c r="BR471" t="s">
        <v>74</v>
      </c>
      <c r="BS471" t="s">
        <v>3618</v>
      </c>
      <c r="BT471" t="str">
        <f>HYPERLINK("https%3A%2F%2Fwww.webofscience.com%2Fwos%2Fwoscc%2Ffull-record%2FWOS:000383699200004","View Full Record in Web of Science")</f>
        <v>View Full Record in Web of Science</v>
      </c>
    </row>
    <row r="472" spans="1:72" x14ac:dyDescent="0.2">
      <c r="A472" t="s">
        <v>72</v>
      </c>
      <c r="B472" t="s">
        <v>3619</v>
      </c>
      <c r="C472" t="s">
        <v>74</v>
      </c>
      <c r="D472" t="s">
        <v>74</v>
      </c>
      <c r="E472" t="s">
        <v>74</v>
      </c>
      <c r="F472" t="s">
        <v>3620</v>
      </c>
      <c r="G472" t="s">
        <v>74</v>
      </c>
      <c r="H472" t="s">
        <v>74</v>
      </c>
      <c r="I472" t="s">
        <v>3621</v>
      </c>
      <c r="J472" t="s">
        <v>836</v>
      </c>
      <c r="K472" t="s">
        <v>74</v>
      </c>
      <c r="L472" t="s">
        <v>74</v>
      </c>
      <c r="M472" t="s">
        <v>74</v>
      </c>
      <c r="N472" t="s">
        <v>74</v>
      </c>
      <c r="O472" t="s">
        <v>74</v>
      </c>
      <c r="P472" t="s">
        <v>74</v>
      </c>
      <c r="Q472" t="s">
        <v>74</v>
      </c>
      <c r="R472" t="s">
        <v>74</v>
      </c>
      <c r="S472" t="s">
        <v>74</v>
      </c>
      <c r="T472" t="s">
        <v>74</v>
      </c>
      <c r="U472" t="s">
        <v>74</v>
      </c>
      <c r="V472" t="s">
        <v>74</v>
      </c>
      <c r="W472" t="s">
        <v>74</v>
      </c>
      <c r="X472" t="s">
        <v>74</v>
      </c>
      <c r="Y472" t="s">
        <v>74</v>
      </c>
      <c r="Z472" t="s">
        <v>74</v>
      </c>
      <c r="AA472" t="s">
        <v>74</v>
      </c>
      <c r="AB472" t="s">
        <v>7043</v>
      </c>
      <c r="AC472" t="s">
        <v>74</v>
      </c>
      <c r="AD472" t="s">
        <v>74</v>
      </c>
      <c r="AE472" t="s">
        <v>74</v>
      </c>
      <c r="AF472" t="s">
        <v>74</v>
      </c>
      <c r="AG472" t="s">
        <v>74</v>
      </c>
      <c r="AH472" t="s">
        <v>74</v>
      </c>
      <c r="AI472" t="s">
        <v>74</v>
      </c>
      <c r="AJ472" t="s">
        <v>74</v>
      </c>
      <c r="AK472" t="s">
        <v>74</v>
      </c>
      <c r="AL472" t="s">
        <v>74</v>
      </c>
      <c r="AM472" t="s">
        <v>74</v>
      </c>
      <c r="AN472" t="s">
        <v>74</v>
      </c>
      <c r="AO472" t="s">
        <v>837</v>
      </c>
      <c r="AP472" t="s">
        <v>838</v>
      </c>
      <c r="AQ472" t="s">
        <v>74</v>
      </c>
      <c r="AR472" t="s">
        <v>74</v>
      </c>
      <c r="AS472" t="s">
        <v>74</v>
      </c>
      <c r="AT472" t="s">
        <v>451</v>
      </c>
      <c r="AU472">
        <v>2016</v>
      </c>
      <c r="AV472">
        <v>58</v>
      </c>
      <c r="AW472" t="s">
        <v>74</v>
      </c>
      <c r="AX472" t="s">
        <v>74</v>
      </c>
      <c r="AY472" t="s">
        <v>74</v>
      </c>
      <c r="AZ472" t="s">
        <v>74</v>
      </c>
      <c r="BA472" t="s">
        <v>74</v>
      </c>
      <c r="BB472">
        <v>23</v>
      </c>
      <c r="BC472">
        <v>34</v>
      </c>
      <c r="BD472" t="s">
        <v>74</v>
      </c>
      <c r="BE472" t="s">
        <v>3622</v>
      </c>
      <c r="BF472" t="str">
        <f>HYPERLINK("http://dx.doi.org/10.1016/j.hal.2016.07.003","http://dx.doi.org/10.1016/j.hal.2016.07.003")</f>
        <v>http://dx.doi.org/10.1016/j.hal.2016.07.003</v>
      </c>
      <c r="BG472" t="s">
        <v>74</v>
      </c>
      <c r="BH472" t="s">
        <v>74</v>
      </c>
      <c r="BI472" t="s">
        <v>74</v>
      </c>
      <c r="BJ472" t="s">
        <v>74</v>
      </c>
      <c r="BK472" t="s">
        <v>74</v>
      </c>
      <c r="BL472" t="s">
        <v>74</v>
      </c>
      <c r="BM472" t="s">
        <v>74</v>
      </c>
      <c r="BN472">
        <v>28073455</v>
      </c>
      <c r="BO472" t="s">
        <v>74</v>
      </c>
      <c r="BP472" t="s">
        <v>74</v>
      </c>
      <c r="BQ472" t="s">
        <v>74</v>
      </c>
      <c r="BR472" t="s">
        <v>74</v>
      </c>
      <c r="BS472" t="s">
        <v>3623</v>
      </c>
      <c r="BT472" t="str">
        <f>HYPERLINK("https%3A%2F%2Fwww.webofscience.com%2Fwos%2Fwoscc%2Ffull-record%2FWOS:000384790500004","View Full Record in Web of Science")</f>
        <v>View Full Record in Web of Science</v>
      </c>
    </row>
    <row r="473" spans="1:72" x14ac:dyDescent="0.2">
      <c r="A473" t="s">
        <v>72</v>
      </c>
      <c r="B473" t="s">
        <v>3624</v>
      </c>
      <c r="C473" t="s">
        <v>74</v>
      </c>
      <c r="D473" t="s">
        <v>74</v>
      </c>
      <c r="E473" t="s">
        <v>74</v>
      </c>
      <c r="F473" t="s">
        <v>3625</v>
      </c>
      <c r="G473" t="s">
        <v>74</v>
      </c>
      <c r="H473" t="s">
        <v>74</v>
      </c>
      <c r="I473" t="s">
        <v>3626</v>
      </c>
      <c r="J473" t="s">
        <v>97</v>
      </c>
      <c r="K473" t="s">
        <v>74</v>
      </c>
      <c r="L473" t="s">
        <v>74</v>
      </c>
      <c r="M473" t="s">
        <v>74</v>
      </c>
      <c r="N473" t="s">
        <v>74</v>
      </c>
      <c r="O473" t="s">
        <v>74</v>
      </c>
      <c r="P473" t="s">
        <v>74</v>
      </c>
      <c r="Q473" t="s">
        <v>74</v>
      </c>
      <c r="R473" t="s">
        <v>74</v>
      </c>
      <c r="S473" t="s">
        <v>74</v>
      </c>
      <c r="T473" t="s">
        <v>74</v>
      </c>
      <c r="U473" t="s">
        <v>74</v>
      </c>
      <c r="V473" t="s">
        <v>74</v>
      </c>
      <c r="W473" t="s">
        <v>74</v>
      </c>
      <c r="X473" t="s">
        <v>74</v>
      </c>
      <c r="Y473" t="s">
        <v>74</v>
      </c>
      <c r="Z473" t="s">
        <v>74</v>
      </c>
      <c r="AA473" t="s">
        <v>3627</v>
      </c>
      <c r="AB473" t="s">
        <v>3628</v>
      </c>
      <c r="AC473" t="s">
        <v>74</v>
      </c>
      <c r="AD473" t="s">
        <v>74</v>
      </c>
      <c r="AE473" t="s">
        <v>74</v>
      </c>
      <c r="AF473" t="s">
        <v>74</v>
      </c>
      <c r="AG473" t="s">
        <v>74</v>
      </c>
      <c r="AH473" t="s">
        <v>74</v>
      </c>
      <c r="AI473" t="s">
        <v>74</v>
      </c>
      <c r="AJ473" t="s">
        <v>74</v>
      </c>
      <c r="AK473" t="s">
        <v>74</v>
      </c>
      <c r="AL473" t="s">
        <v>74</v>
      </c>
      <c r="AM473" t="s">
        <v>74</v>
      </c>
      <c r="AN473" t="s">
        <v>74</v>
      </c>
      <c r="AO473" t="s">
        <v>98</v>
      </c>
      <c r="AP473" t="s">
        <v>99</v>
      </c>
      <c r="AQ473" t="s">
        <v>74</v>
      </c>
      <c r="AR473" t="s">
        <v>74</v>
      </c>
      <c r="AS473" t="s">
        <v>74</v>
      </c>
      <c r="AT473" t="s">
        <v>451</v>
      </c>
      <c r="AU473">
        <v>2016</v>
      </c>
      <c r="AV473">
        <v>50</v>
      </c>
      <c r="AW473">
        <v>3</v>
      </c>
      <c r="AX473" t="s">
        <v>74</v>
      </c>
      <c r="AY473" t="s">
        <v>74</v>
      </c>
      <c r="AZ473" t="s">
        <v>632</v>
      </c>
      <c r="BA473" t="s">
        <v>74</v>
      </c>
      <c r="BB473">
        <v>333</v>
      </c>
      <c r="BC473">
        <v>350</v>
      </c>
      <c r="BD473" t="s">
        <v>74</v>
      </c>
      <c r="BE473" t="s">
        <v>3629</v>
      </c>
      <c r="BF473" t="str">
        <f>HYPERLINK("http://dx.doi.org/10.1007/s10452-015-9526-3","http://dx.doi.org/10.1007/s10452-015-9526-3")</f>
        <v>http://dx.doi.org/10.1007/s10452-015-9526-3</v>
      </c>
      <c r="BG473" t="s">
        <v>74</v>
      </c>
      <c r="BH473" t="s">
        <v>74</v>
      </c>
      <c r="BI473" t="s">
        <v>74</v>
      </c>
      <c r="BJ473" t="s">
        <v>74</v>
      </c>
      <c r="BK473" t="s">
        <v>74</v>
      </c>
      <c r="BL473" t="s">
        <v>74</v>
      </c>
      <c r="BM473" t="s">
        <v>74</v>
      </c>
      <c r="BN473" t="s">
        <v>74</v>
      </c>
      <c r="BO473" t="s">
        <v>74</v>
      </c>
      <c r="BP473" t="s">
        <v>74</v>
      </c>
      <c r="BQ473" t="s">
        <v>74</v>
      </c>
      <c r="BR473" t="s">
        <v>74</v>
      </c>
      <c r="BS473" t="s">
        <v>3630</v>
      </c>
      <c r="BT473" t="str">
        <f>HYPERLINK("https%3A%2F%2Fwww.webofscience.com%2Fwos%2Fwoscc%2Ffull-record%2FWOS:000382632100002","View Full Record in Web of Science")</f>
        <v>View Full Record in Web of Science</v>
      </c>
    </row>
    <row r="474" spans="1:72" x14ac:dyDescent="0.2">
      <c r="A474" t="s">
        <v>72</v>
      </c>
      <c r="B474" t="s">
        <v>3631</v>
      </c>
      <c r="C474" t="s">
        <v>74</v>
      </c>
      <c r="D474" t="s">
        <v>74</v>
      </c>
      <c r="E474" t="s">
        <v>74</v>
      </c>
      <c r="F474" t="s">
        <v>3632</v>
      </c>
      <c r="G474" t="s">
        <v>74</v>
      </c>
      <c r="H474" t="s">
        <v>74</v>
      </c>
      <c r="I474" t="s">
        <v>3633</v>
      </c>
      <c r="J474" t="s">
        <v>106</v>
      </c>
      <c r="K474" t="s">
        <v>74</v>
      </c>
      <c r="L474" t="s">
        <v>74</v>
      </c>
      <c r="M474" t="s">
        <v>74</v>
      </c>
      <c r="N474" t="s">
        <v>74</v>
      </c>
      <c r="O474" t="s">
        <v>74</v>
      </c>
      <c r="P474" t="s">
        <v>74</v>
      </c>
      <c r="Q474" t="s">
        <v>74</v>
      </c>
      <c r="R474" t="s">
        <v>74</v>
      </c>
      <c r="S474" t="s">
        <v>74</v>
      </c>
      <c r="T474" t="s">
        <v>74</v>
      </c>
      <c r="U474" t="s">
        <v>74</v>
      </c>
      <c r="V474" t="s">
        <v>74</v>
      </c>
      <c r="W474" t="s">
        <v>74</v>
      </c>
      <c r="X474" t="s">
        <v>74</v>
      </c>
      <c r="Y474" t="s">
        <v>74</v>
      </c>
      <c r="Z474" t="s">
        <v>74</v>
      </c>
      <c r="AA474" t="s">
        <v>74</v>
      </c>
      <c r="AB474" t="s">
        <v>3634</v>
      </c>
      <c r="AC474" t="s">
        <v>74</v>
      </c>
      <c r="AD474" t="s">
        <v>74</v>
      </c>
      <c r="AE474" t="s">
        <v>74</v>
      </c>
      <c r="AF474" t="s">
        <v>74</v>
      </c>
      <c r="AG474" t="s">
        <v>74</v>
      </c>
      <c r="AH474" t="s">
        <v>74</v>
      </c>
      <c r="AI474" t="s">
        <v>74</v>
      </c>
      <c r="AJ474" t="s">
        <v>74</v>
      </c>
      <c r="AK474" t="s">
        <v>74</v>
      </c>
      <c r="AL474" t="s">
        <v>74</v>
      </c>
      <c r="AM474" t="s">
        <v>74</v>
      </c>
      <c r="AN474" t="s">
        <v>74</v>
      </c>
      <c r="AO474" t="s">
        <v>107</v>
      </c>
      <c r="AP474" t="s">
        <v>108</v>
      </c>
      <c r="AQ474" t="s">
        <v>74</v>
      </c>
      <c r="AR474" t="s">
        <v>74</v>
      </c>
      <c r="AS474" t="s">
        <v>74</v>
      </c>
      <c r="AT474" t="s">
        <v>3635</v>
      </c>
      <c r="AU474">
        <v>2016</v>
      </c>
      <c r="AV474">
        <v>38</v>
      </c>
      <c r="AW474">
        <v>5</v>
      </c>
      <c r="AX474" t="s">
        <v>74</v>
      </c>
      <c r="AY474" t="s">
        <v>74</v>
      </c>
      <c r="AZ474" t="s">
        <v>74</v>
      </c>
      <c r="BA474" t="s">
        <v>74</v>
      </c>
      <c r="BB474">
        <v>1281</v>
      </c>
      <c r="BC474">
        <v>1288</v>
      </c>
      <c r="BD474" t="s">
        <v>74</v>
      </c>
      <c r="BE474" t="s">
        <v>3636</v>
      </c>
      <c r="BF474" t="str">
        <f>HYPERLINK("http://dx.doi.org/10.1093/plankt/fbw055","http://dx.doi.org/10.1093/plankt/fbw055")</f>
        <v>http://dx.doi.org/10.1093/plankt/fbw055</v>
      </c>
      <c r="BG474" t="s">
        <v>74</v>
      </c>
      <c r="BH474" t="s">
        <v>74</v>
      </c>
      <c r="BI474" t="s">
        <v>74</v>
      </c>
      <c r="BJ474" t="s">
        <v>74</v>
      </c>
      <c r="BK474" t="s">
        <v>74</v>
      </c>
      <c r="BL474" t="s">
        <v>74</v>
      </c>
      <c r="BM474" t="s">
        <v>74</v>
      </c>
      <c r="BN474" t="s">
        <v>74</v>
      </c>
      <c r="BO474" t="s">
        <v>74</v>
      </c>
      <c r="BP474" t="s">
        <v>74</v>
      </c>
      <c r="BQ474" t="s">
        <v>74</v>
      </c>
      <c r="BR474" t="s">
        <v>74</v>
      </c>
      <c r="BS474" t="s">
        <v>3637</v>
      </c>
      <c r="BT474" t="str">
        <f>HYPERLINK("https%3A%2F%2Fwww.webofscience.com%2Fwos%2Fwoscc%2Ffull-record%2FWOS:000384135000012","View Full Record in Web of Science")</f>
        <v>View Full Record in Web of Science</v>
      </c>
    </row>
    <row r="475" spans="1:72" x14ac:dyDescent="0.2">
      <c r="A475" t="s">
        <v>72</v>
      </c>
      <c r="B475" t="s">
        <v>3638</v>
      </c>
      <c r="C475" t="s">
        <v>74</v>
      </c>
      <c r="D475" t="s">
        <v>74</v>
      </c>
      <c r="E475" t="s">
        <v>74</v>
      </c>
      <c r="F475" t="s">
        <v>3639</v>
      </c>
      <c r="G475" t="s">
        <v>74</v>
      </c>
      <c r="H475" t="s">
        <v>74</v>
      </c>
      <c r="I475" t="s">
        <v>3640</v>
      </c>
      <c r="J475" t="s">
        <v>360</v>
      </c>
      <c r="K475" t="s">
        <v>74</v>
      </c>
      <c r="L475" t="s">
        <v>74</v>
      </c>
      <c r="M475" t="s">
        <v>74</v>
      </c>
      <c r="N475" t="s">
        <v>74</v>
      </c>
      <c r="O475" t="s">
        <v>74</v>
      </c>
      <c r="P475" t="s">
        <v>74</v>
      </c>
      <c r="Q475" t="s">
        <v>74</v>
      </c>
      <c r="R475" t="s">
        <v>74</v>
      </c>
      <c r="S475" t="s">
        <v>74</v>
      </c>
      <c r="T475" t="s">
        <v>74</v>
      </c>
      <c r="U475" t="s">
        <v>74</v>
      </c>
      <c r="V475" t="s">
        <v>74</v>
      </c>
      <c r="W475" t="s">
        <v>74</v>
      </c>
      <c r="X475" t="s">
        <v>74</v>
      </c>
      <c r="Y475" t="s">
        <v>74</v>
      </c>
      <c r="Z475" t="s">
        <v>74</v>
      </c>
      <c r="AA475" t="s">
        <v>74</v>
      </c>
      <c r="AB475" t="s">
        <v>74</v>
      </c>
      <c r="AC475" t="s">
        <v>74</v>
      </c>
      <c r="AD475" t="s">
        <v>74</v>
      </c>
      <c r="AE475" t="s">
        <v>74</v>
      </c>
      <c r="AF475" t="s">
        <v>74</v>
      </c>
      <c r="AG475" t="s">
        <v>74</v>
      </c>
      <c r="AH475" t="s">
        <v>74</v>
      </c>
      <c r="AI475" t="s">
        <v>74</v>
      </c>
      <c r="AJ475" t="s">
        <v>74</v>
      </c>
      <c r="AK475" t="s">
        <v>74</v>
      </c>
      <c r="AL475" t="s">
        <v>74</v>
      </c>
      <c r="AM475" t="s">
        <v>74</v>
      </c>
      <c r="AN475" t="s">
        <v>74</v>
      </c>
      <c r="AO475" t="s">
        <v>361</v>
      </c>
      <c r="AP475" t="s">
        <v>362</v>
      </c>
      <c r="AQ475" t="s">
        <v>74</v>
      </c>
      <c r="AR475" t="s">
        <v>74</v>
      </c>
      <c r="AS475" t="s">
        <v>74</v>
      </c>
      <c r="AT475" t="s">
        <v>3641</v>
      </c>
      <c r="AU475">
        <v>2016</v>
      </c>
      <c r="AV475">
        <v>283</v>
      </c>
      <c r="AW475">
        <v>1837</v>
      </c>
      <c r="AX475" t="s">
        <v>74</v>
      </c>
      <c r="AY475" t="s">
        <v>74</v>
      </c>
      <c r="AZ475" t="s">
        <v>74</v>
      </c>
      <c r="BA475" t="s">
        <v>74</v>
      </c>
      <c r="BB475" t="s">
        <v>74</v>
      </c>
      <c r="BC475" t="s">
        <v>74</v>
      </c>
      <c r="BD475">
        <v>20161546</v>
      </c>
      <c r="BE475" t="s">
        <v>3642</v>
      </c>
      <c r="BF475" t="str">
        <f>HYPERLINK("http://dx.doi.org/10.1098/rspb.2016.1546","http://dx.doi.org/10.1098/rspb.2016.1546")</f>
        <v>http://dx.doi.org/10.1098/rspb.2016.1546</v>
      </c>
      <c r="BG475" t="s">
        <v>74</v>
      </c>
      <c r="BH475" t="s">
        <v>74</v>
      </c>
      <c r="BI475" t="s">
        <v>74</v>
      </c>
      <c r="BJ475" t="s">
        <v>74</v>
      </c>
      <c r="BK475" t="s">
        <v>74</v>
      </c>
      <c r="BL475" t="s">
        <v>74</v>
      </c>
      <c r="BM475" t="s">
        <v>74</v>
      </c>
      <c r="BN475">
        <v>27581881</v>
      </c>
      <c r="BO475" t="s">
        <v>74</v>
      </c>
      <c r="BP475" t="s">
        <v>74</v>
      </c>
      <c r="BQ475" t="s">
        <v>74</v>
      </c>
      <c r="BR475" t="s">
        <v>74</v>
      </c>
      <c r="BS475" t="s">
        <v>3643</v>
      </c>
      <c r="BT475" t="str">
        <f>HYPERLINK("https%3A%2F%2Fwww.webofscience.com%2Fwos%2Fwoscc%2Ffull-record%2FWOS:000385055600006","View Full Record in Web of Science")</f>
        <v>View Full Record in Web of Science</v>
      </c>
    </row>
    <row r="476" spans="1:72" x14ac:dyDescent="0.2">
      <c r="A476" t="s">
        <v>72</v>
      </c>
      <c r="B476" t="s">
        <v>3644</v>
      </c>
      <c r="C476" t="s">
        <v>74</v>
      </c>
      <c r="D476" t="s">
        <v>74</v>
      </c>
      <c r="E476" t="s">
        <v>74</v>
      </c>
      <c r="F476" t="s">
        <v>3645</v>
      </c>
      <c r="G476" t="s">
        <v>74</v>
      </c>
      <c r="H476" t="s">
        <v>74</v>
      </c>
      <c r="I476" t="s">
        <v>3646</v>
      </c>
      <c r="J476" t="s">
        <v>1165</v>
      </c>
      <c r="K476" t="s">
        <v>74</v>
      </c>
      <c r="L476" t="s">
        <v>74</v>
      </c>
      <c r="M476" t="s">
        <v>74</v>
      </c>
      <c r="N476" t="s">
        <v>74</v>
      </c>
      <c r="O476" t="s">
        <v>74</v>
      </c>
      <c r="P476" t="s">
        <v>74</v>
      </c>
      <c r="Q476" t="s">
        <v>74</v>
      </c>
      <c r="R476" t="s">
        <v>74</v>
      </c>
      <c r="S476" t="s">
        <v>74</v>
      </c>
      <c r="T476" t="s">
        <v>74</v>
      </c>
      <c r="U476" t="s">
        <v>74</v>
      </c>
      <c r="V476" t="s">
        <v>74</v>
      </c>
      <c r="W476" t="s">
        <v>74</v>
      </c>
      <c r="X476" t="s">
        <v>74</v>
      </c>
      <c r="Y476" t="s">
        <v>74</v>
      </c>
      <c r="Z476" t="s">
        <v>74</v>
      </c>
      <c r="AA476" t="s">
        <v>7044</v>
      </c>
      <c r="AB476" t="s">
        <v>7045</v>
      </c>
      <c r="AC476" t="s">
        <v>74</v>
      </c>
      <c r="AD476" t="s">
        <v>74</v>
      </c>
      <c r="AE476" t="s">
        <v>74</v>
      </c>
      <c r="AF476" t="s">
        <v>74</v>
      </c>
      <c r="AG476" t="s">
        <v>74</v>
      </c>
      <c r="AH476" t="s">
        <v>74</v>
      </c>
      <c r="AI476" t="s">
        <v>74</v>
      </c>
      <c r="AJ476" t="s">
        <v>74</v>
      </c>
      <c r="AK476" t="s">
        <v>74</v>
      </c>
      <c r="AL476" t="s">
        <v>74</v>
      </c>
      <c r="AM476" t="s">
        <v>74</v>
      </c>
      <c r="AN476" t="s">
        <v>74</v>
      </c>
      <c r="AO476" t="s">
        <v>1166</v>
      </c>
      <c r="AP476" t="s">
        <v>1167</v>
      </c>
      <c r="AQ476" t="s">
        <v>74</v>
      </c>
      <c r="AR476" t="s">
        <v>74</v>
      </c>
      <c r="AS476" t="s">
        <v>74</v>
      </c>
      <c r="AT476" t="s">
        <v>520</v>
      </c>
      <c r="AU476">
        <v>2016</v>
      </c>
      <c r="AV476">
        <v>10</v>
      </c>
      <c r="AW476">
        <v>8</v>
      </c>
      <c r="AX476" t="s">
        <v>74</v>
      </c>
      <c r="AY476" t="s">
        <v>74</v>
      </c>
      <c r="AZ476" t="s">
        <v>74</v>
      </c>
      <c r="BA476" t="s">
        <v>74</v>
      </c>
      <c r="BB476">
        <v>1902</v>
      </c>
      <c r="BC476">
        <v>1914</v>
      </c>
      <c r="BD476" t="s">
        <v>74</v>
      </c>
      <c r="BE476" t="s">
        <v>3647</v>
      </c>
      <c r="BF476" t="str">
        <f>HYPERLINK("http://dx.doi.org/10.1038/ismej.2015.260","http://dx.doi.org/10.1038/ismej.2015.260")</f>
        <v>http://dx.doi.org/10.1038/ismej.2015.260</v>
      </c>
      <c r="BG476" t="s">
        <v>74</v>
      </c>
      <c r="BH476" t="s">
        <v>74</v>
      </c>
      <c r="BI476" t="s">
        <v>74</v>
      </c>
      <c r="BJ476" t="s">
        <v>74</v>
      </c>
      <c r="BK476" t="s">
        <v>74</v>
      </c>
      <c r="BL476" t="s">
        <v>74</v>
      </c>
      <c r="BM476" t="s">
        <v>74</v>
      </c>
      <c r="BN476">
        <v>26784354</v>
      </c>
      <c r="BO476" t="s">
        <v>74</v>
      </c>
      <c r="BP476" t="s">
        <v>74</v>
      </c>
      <c r="BQ476" t="s">
        <v>74</v>
      </c>
      <c r="BR476" t="s">
        <v>74</v>
      </c>
      <c r="BS476" t="s">
        <v>3648</v>
      </c>
      <c r="BT476" t="str">
        <f>HYPERLINK("https%3A%2F%2Fwww.webofscience.com%2Fwos%2Fwoscc%2Ffull-record%2FWOS:000380959800010","View Full Record in Web of Science")</f>
        <v>View Full Record in Web of Science</v>
      </c>
    </row>
    <row r="477" spans="1:72" x14ac:dyDescent="0.2">
      <c r="A477" t="s">
        <v>72</v>
      </c>
      <c r="B477" t="s">
        <v>3649</v>
      </c>
      <c r="C477" t="s">
        <v>74</v>
      </c>
      <c r="D477" t="s">
        <v>74</v>
      </c>
      <c r="E477" t="s">
        <v>74</v>
      </c>
      <c r="F477" t="s">
        <v>3650</v>
      </c>
      <c r="G477" t="s">
        <v>74</v>
      </c>
      <c r="H477" t="s">
        <v>74</v>
      </c>
      <c r="I477" t="s">
        <v>3651</v>
      </c>
      <c r="J477" t="s">
        <v>827</v>
      </c>
      <c r="K477" t="s">
        <v>74</v>
      </c>
      <c r="L477" t="s">
        <v>74</v>
      </c>
      <c r="M477" t="s">
        <v>74</v>
      </c>
      <c r="N477" t="s">
        <v>74</v>
      </c>
      <c r="O477" t="s">
        <v>74</v>
      </c>
      <c r="P477" t="s">
        <v>74</v>
      </c>
      <c r="Q477" t="s">
        <v>74</v>
      </c>
      <c r="R477" t="s">
        <v>74</v>
      </c>
      <c r="S477" t="s">
        <v>74</v>
      </c>
      <c r="T477" t="s">
        <v>74</v>
      </c>
      <c r="U477" t="s">
        <v>74</v>
      </c>
      <c r="V477" t="s">
        <v>74</v>
      </c>
      <c r="W477" t="s">
        <v>74</v>
      </c>
      <c r="X477" t="s">
        <v>74</v>
      </c>
      <c r="Y477" t="s">
        <v>74</v>
      </c>
      <c r="Z477" t="s">
        <v>74</v>
      </c>
      <c r="AA477" t="s">
        <v>3652</v>
      </c>
      <c r="AB477" t="s">
        <v>3653</v>
      </c>
      <c r="AC477" t="s">
        <v>74</v>
      </c>
      <c r="AD477" t="s">
        <v>74</v>
      </c>
      <c r="AE477" t="s">
        <v>74</v>
      </c>
      <c r="AF477" t="s">
        <v>74</v>
      </c>
      <c r="AG477" t="s">
        <v>74</v>
      </c>
      <c r="AH477" t="s">
        <v>74</v>
      </c>
      <c r="AI477" t="s">
        <v>74</v>
      </c>
      <c r="AJ477" t="s">
        <v>74</v>
      </c>
      <c r="AK477" t="s">
        <v>74</v>
      </c>
      <c r="AL477" t="s">
        <v>74</v>
      </c>
      <c r="AM477" t="s">
        <v>74</v>
      </c>
      <c r="AN477" t="s">
        <v>74</v>
      </c>
      <c r="AO477" t="s">
        <v>829</v>
      </c>
      <c r="AP477" t="s">
        <v>830</v>
      </c>
      <c r="AQ477" t="s">
        <v>74</v>
      </c>
      <c r="AR477" t="s">
        <v>74</v>
      </c>
      <c r="AS477" t="s">
        <v>74</v>
      </c>
      <c r="AT477" t="s">
        <v>520</v>
      </c>
      <c r="AU477">
        <v>2016</v>
      </c>
      <c r="AV477">
        <v>25</v>
      </c>
      <c r="AW477">
        <v>8</v>
      </c>
      <c r="AX477" t="s">
        <v>74</v>
      </c>
      <c r="AY477" t="s">
        <v>74</v>
      </c>
      <c r="AZ477" t="s">
        <v>74</v>
      </c>
      <c r="BA477" t="s">
        <v>74</v>
      </c>
      <c r="BB477">
        <v>988</v>
      </c>
      <c r="BC477">
        <v>999</v>
      </c>
      <c r="BD477" t="s">
        <v>74</v>
      </c>
      <c r="BE477" t="s">
        <v>3654</v>
      </c>
      <c r="BF477" t="str">
        <f>HYPERLINK("http://dx.doi.org/10.1111/geb.12460","http://dx.doi.org/10.1111/geb.12460")</f>
        <v>http://dx.doi.org/10.1111/geb.12460</v>
      </c>
      <c r="BG477" t="s">
        <v>74</v>
      </c>
      <c r="BH477" t="s">
        <v>74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 t="s">
        <v>74</v>
      </c>
      <c r="BR477" t="s">
        <v>74</v>
      </c>
      <c r="BS477" t="s">
        <v>3655</v>
      </c>
      <c r="BT477" t="str">
        <f>HYPERLINK("https%3A%2F%2Fwww.webofscience.com%2Fwos%2Fwoscc%2Ffull-record%2FWOS:000383517000006","View Full Record in Web of Science")</f>
        <v>View Full Record in Web of Science</v>
      </c>
    </row>
    <row r="478" spans="1:72" x14ac:dyDescent="0.2">
      <c r="A478" t="s">
        <v>72</v>
      </c>
      <c r="B478" t="s">
        <v>3656</v>
      </c>
      <c r="C478" t="s">
        <v>74</v>
      </c>
      <c r="D478" t="s">
        <v>74</v>
      </c>
      <c r="E478" t="s">
        <v>74</v>
      </c>
      <c r="F478" t="s">
        <v>3657</v>
      </c>
      <c r="G478" t="s">
        <v>74</v>
      </c>
      <c r="H478" t="s">
        <v>74</v>
      </c>
      <c r="I478" t="s">
        <v>3658</v>
      </c>
      <c r="J478" t="s">
        <v>1165</v>
      </c>
      <c r="K478" t="s">
        <v>74</v>
      </c>
      <c r="L478" t="s">
        <v>74</v>
      </c>
      <c r="M478" t="s">
        <v>74</v>
      </c>
      <c r="N478" t="s">
        <v>74</v>
      </c>
      <c r="O478" t="s">
        <v>74</v>
      </c>
      <c r="P478" t="s">
        <v>74</v>
      </c>
      <c r="Q478" t="s">
        <v>74</v>
      </c>
      <c r="R478" t="s">
        <v>74</v>
      </c>
      <c r="S478" t="s">
        <v>74</v>
      </c>
      <c r="T478" t="s">
        <v>74</v>
      </c>
      <c r="U478" t="s">
        <v>74</v>
      </c>
      <c r="V478" t="s">
        <v>74</v>
      </c>
      <c r="W478" t="s">
        <v>74</v>
      </c>
      <c r="X478" t="s">
        <v>74</v>
      </c>
      <c r="Y478" t="s">
        <v>74</v>
      </c>
      <c r="Z478" t="s">
        <v>74</v>
      </c>
      <c r="AA478" t="s">
        <v>3659</v>
      </c>
      <c r="AB478" t="s">
        <v>3660</v>
      </c>
      <c r="AC478" t="s">
        <v>74</v>
      </c>
      <c r="AD478" t="s">
        <v>74</v>
      </c>
      <c r="AE478" t="s">
        <v>74</v>
      </c>
      <c r="AF478" t="s">
        <v>74</v>
      </c>
      <c r="AG478" t="s">
        <v>74</v>
      </c>
      <c r="AH478" t="s">
        <v>74</v>
      </c>
      <c r="AI478" t="s">
        <v>74</v>
      </c>
      <c r="AJ478" t="s">
        <v>74</v>
      </c>
      <c r="AK478" t="s">
        <v>74</v>
      </c>
      <c r="AL478" t="s">
        <v>74</v>
      </c>
      <c r="AM478" t="s">
        <v>74</v>
      </c>
      <c r="AN478" t="s">
        <v>74</v>
      </c>
      <c r="AO478" t="s">
        <v>1166</v>
      </c>
      <c r="AP478" t="s">
        <v>1167</v>
      </c>
      <c r="AQ478" t="s">
        <v>74</v>
      </c>
      <c r="AR478" t="s">
        <v>74</v>
      </c>
      <c r="AS478" t="s">
        <v>74</v>
      </c>
      <c r="AT478" t="s">
        <v>624</v>
      </c>
      <c r="AU478">
        <v>2016</v>
      </c>
      <c r="AV478">
        <v>10</v>
      </c>
      <c r="AW478">
        <v>7</v>
      </c>
      <c r="AX478" t="s">
        <v>74</v>
      </c>
      <c r="AY478" t="s">
        <v>74</v>
      </c>
      <c r="AZ478" t="s">
        <v>74</v>
      </c>
      <c r="BA478" t="s">
        <v>74</v>
      </c>
      <c r="BB478">
        <v>1642</v>
      </c>
      <c r="BC478">
        <v>1655</v>
      </c>
      <c r="BD478" t="s">
        <v>74</v>
      </c>
      <c r="BE478" t="s">
        <v>3661</v>
      </c>
      <c r="BF478" t="str">
        <f>HYPERLINK("http://dx.doi.org/10.1038/ismej.2015.237","http://dx.doi.org/10.1038/ismej.2015.237")</f>
        <v>http://dx.doi.org/10.1038/ismej.2015.237</v>
      </c>
      <c r="BG478" t="s">
        <v>74</v>
      </c>
      <c r="BH478" t="s">
        <v>74</v>
      </c>
      <c r="BI478" t="s">
        <v>74</v>
      </c>
      <c r="BJ478" t="s">
        <v>74</v>
      </c>
      <c r="BK478" t="s">
        <v>74</v>
      </c>
      <c r="BL478" t="s">
        <v>74</v>
      </c>
      <c r="BM478" t="s">
        <v>74</v>
      </c>
      <c r="BN478">
        <v>26943621</v>
      </c>
      <c r="BO478" t="s">
        <v>74</v>
      </c>
      <c r="BP478" t="s">
        <v>74</v>
      </c>
      <c r="BQ478" t="s">
        <v>74</v>
      </c>
      <c r="BR478" t="s">
        <v>74</v>
      </c>
      <c r="BS478" t="s">
        <v>3662</v>
      </c>
      <c r="BT478" t="str">
        <f>HYPERLINK("https%3A%2F%2Fwww.webofscience.com%2Fwos%2Fwoscc%2Ffull-record%2FWOS:000378292100009","View Full Record in Web of Science")</f>
        <v>View Full Record in Web of Science</v>
      </c>
    </row>
    <row r="479" spans="1:72" x14ac:dyDescent="0.2">
      <c r="A479" t="s">
        <v>72</v>
      </c>
      <c r="B479" t="s">
        <v>3663</v>
      </c>
      <c r="C479" t="s">
        <v>74</v>
      </c>
      <c r="D479" t="s">
        <v>74</v>
      </c>
      <c r="E479" t="s">
        <v>74</v>
      </c>
      <c r="F479" t="s">
        <v>3664</v>
      </c>
      <c r="G479" t="s">
        <v>74</v>
      </c>
      <c r="H479" t="s">
        <v>74</v>
      </c>
      <c r="I479" t="s">
        <v>3665</v>
      </c>
      <c r="J479" t="s">
        <v>106</v>
      </c>
      <c r="K479" t="s">
        <v>74</v>
      </c>
      <c r="L479" t="s">
        <v>74</v>
      </c>
      <c r="M479" t="s">
        <v>74</v>
      </c>
      <c r="N479" t="s">
        <v>74</v>
      </c>
      <c r="O479" t="s">
        <v>74</v>
      </c>
      <c r="P479" t="s">
        <v>74</v>
      </c>
      <c r="Q479" t="s">
        <v>74</v>
      </c>
      <c r="R479" t="s">
        <v>74</v>
      </c>
      <c r="S479" t="s">
        <v>74</v>
      </c>
      <c r="T479" t="s">
        <v>74</v>
      </c>
      <c r="U479" t="s">
        <v>74</v>
      </c>
      <c r="V479" t="s">
        <v>74</v>
      </c>
      <c r="W479" t="s">
        <v>74</v>
      </c>
      <c r="X479" t="s">
        <v>74</v>
      </c>
      <c r="Y479" t="s">
        <v>74</v>
      </c>
      <c r="Z479" t="s">
        <v>74</v>
      </c>
      <c r="AA479" t="s">
        <v>181</v>
      </c>
      <c r="AB479" t="s">
        <v>3666</v>
      </c>
      <c r="AC479" t="s">
        <v>74</v>
      </c>
      <c r="AD479" t="s">
        <v>74</v>
      </c>
      <c r="AE479" t="s">
        <v>74</v>
      </c>
      <c r="AF479" t="s">
        <v>74</v>
      </c>
      <c r="AG479" t="s">
        <v>74</v>
      </c>
      <c r="AH479" t="s">
        <v>74</v>
      </c>
      <c r="AI479" t="s">
        <v>74</v>
      </c>
      <c r="AJ479" t="s">
        <v>74</v>
      </c>
      <c r="AK479" t="s">
        <v>74</v>
      </c>
      <c r="AL479" t="s">
        <v>74</v>
      </c>
      <c r="AM479" t="s">
        <v>74</v>
      </c>
      <c r="AN479" t="s">
        <v>74</v>
      </c>
      <c r="AO479" t="s">
        <v>107</v>
      </c>
      <c r="AP479" t="s">
        <v>108</v>
      </c>
      <c r="AQ479" t="s">
        <v>74</v>
      </c>
      <c r="AR479" t="s">
        <v>74</v>
      </c>
      <c r="AS479" t="s">
        <v>74</v>
      </c>
      <c r="AT479" t="s">
        <v>2585</v>
      </c>
      <c r="AU479">
        <v>2016</v>
      </c>
      <c r="AV479">
        <v>38</v>
      </c>
      <c r="AW479">
        <v>4</v>
      </c>
      <c r="AX479" t="s">
        <v>74</v>
      </c>
      <c r="AY479" t="s">
        <v>74</v>
      </c>
      <c r="AZ479" t="s">
        <v>74</v>
      </c>
      <c r="BA479" t="s">
        <v>74</v>
      </c>
      <c r="BB479">
        <v>865</v>
      </c>
      <c r="BC479">
        <v>877</v>
      </c>
      <c r="BD479" t="s">
        <v>74</v>
      </c>
      <c r="BE479" t="s">
        <v>3667</v>
      </c>
      <c r="BF479" t="str">
        <f>HYPERLINK("http://dx.doi.org/10.1093/plankt/fbw034","http://dx.doi.org/10.1093/plankt/fbw034")</f>
        <v>http://dx.doi.org/10.1093/plankt/fbw034</v>
      </c>
      <c r="BG479" t="s">
        <v>74</v>
      </c>
      <c r="BH479" t="s">
        <v>74</v>
      </c>
      <c r="BI479" t="s">
        <v>74</v>
      </c>
      <c r="BJ479" t="s">
        <v>74</v>
      </c>
      <c r="BK479" t="s">
        <v>74</v>
      </c>
      <c r="BL479" t="s">
        <v>74</v>
      </c>
      <c r="BM479" t="s">
        <v>74</v>
      </c>
      <c r="BN479" t="s">
        <v>74</v>
      </c>
      <c r="BO479" t="s">
        <v>74</v>
      </c>
      <c r="BP479" t="s">
        <v>74</v>
      </c>
      <c r="BQ479" t="s">
        <v>74</v>
      </c>
      <c r="BR479" t="s">
        <v>74</v>
      </c>
      <c r="BS479" t="s">
        <v>3668</v>
      </c>
      <c r="BT479" t="str">
        <f>HYPERLINK("https%3A%2F%2Fwww.webofscience.com%2Fwos%2Fwoscc%2Ffull-record%2FWOS:000381692300008","View Full Record in Web of Science")</f>
        <v>View Full Record in Web of Science</v>
      </c>
    </row>
    <row r="480" spans="1:72" x14ac:dyDescent="0.2">
      <c r="A480" t="s">
        <v>72</v>
      </c>
      <c r="B480" t="s">
        <v>3669</v>
      </c>
      <c r="C480" t="s">
        <v>74</v>
      </c>
      <c r="D480" t="s">
        <v>74</v>
      </c>
      <c r="E480" t="s">
        <v>74</v>
      </c>
      <c r="F480" t="s">
        <v>3670</v>
      </c>
      <c r="G480" t="s">
        <v>74</v>
      </c>
      <c r="H480" t="s">
        <v>74</v>
      </c>
      <c r="I480" t="s">
        <v>3671</v>
      </c>
      <c r="J480" t="s">
        <v>973</v>
      </c>
      <c r="K480" t="s">
        <v>74</v>
      </c>
      <c r="L480" t="s">
        <v>74</v>
      </c>
      <c r="M480" t="s">
        <v>74</v>
      </c>
      <c r="N480" t="s">
        <v>74</v>
      </c>
      <c r="O480" t="s">
        <v>74</v>
      </c>
      <c r="P480" t="s">
        <v>74</v>
      </c>
      <c r="Q480" t="s">
        <v>74</v>
      </c>
      <c r="R480" t="s">
        <v>74</v>
      </c>
      <c r="S480" t="s">
        <v>74</v>
      </c>
      <c r="T480" t="s">
        <v>74</v>
      </c>
      <c r="U480" t="s">
        <v>74</v>
      </c>
      <c r="V480" t="s">
        <v>74</v>
      </c>
      <c r="W480" t="s">
        <v>74</v>
      </c>
      <c r="X480" t="s">
        <v>74</v>
      </c>
      <c r="Y480" t="s">
        <v>74</v>
      </c>
      <c r="Z480" t="s">
        <v>74</v>
      </c>
      <c r="AA480" t="s">
        <v>3672</v>
      </c>
      <c r="AB480" t="s">
        <v>3673</v>
      </c>
      <c r="AC480" t="s">
        <v>74</v>
      </c>
      <c r="AD480" t="s">
        <v>74</v>
      </c>
      <c r="AE480" t="s">
        <v>74</v>
      </c>
      <c r="AF480" t="s">
        <v>74</v>
      </c>
      <c r="AG480" t="s">
        <v>74</v>
      </c>
      <c r="AH480" t="s">
        <v>74</v>
      </c>
      <c r="AI480" t="s">
        <v>74</v>
      </c>
      <c r="AJ480" t="s">
        <v>74</v>
      </c>
      <c r="AK480" t="s">
        <v>74</v>
      </c>
      <c r="AL480" t="s">
        <v>74</v>
      </c>
      <c r="AM480" t="s">
        <v>74</v>
      </c>
      <c r="AN480" t="s">
        <v>74</v>
      </c>
      <c r="AO480" t="s">
        <v>974</v>
      </c>
      <c r="AP480" t="s">
        <v>975</v>
      </c>
      <c r="AQ480" t="s">
        <v>74</v>
      </c>
      <c r="AR480" t="s">
        <v>74</v>
      </c>
      <c r="AS480" t="s">
        <v>74</v>
      </c>
      <c r="AT480" t="s">
        <v>3674</v>
      </c>
      <c r="AU480">
        <v>2016</v>
      </c>
      <c r="AV480">
        <v>175</v>
      </c>
      <c r="AW480" t="s">
        <v>74</v>
      </c>
      <c r="AX480" t="s">
        <v>74</v>
      </c>
      <c r="AY480" t="s">
        <v>74</v>
      </c>
      <c r="AZ480" t="s">
        <v>74</v>
      </c>
      <c r="BA480" t="s">
        <v>74</v>
      </c>
      <c r="BB480">
        <v>146</v>
      </c>
      <c r="BC480">
        <v>156</v>
      </c>
      <c r="BD480" t="s">
        <v>74</v>
      </c>
      <c r="BE480" t="s">
        <v>3675</v>
      </c>
      <c r="BF480" t="str">
        <f>HYPERLINK("http://dx.doi.org/10.1016/j.ecss.2016.03.030","http://dx.doi.org/10.1016/j.ecss.2016.03.030")</f>
        <v>http://dx.doi.org/10.1016/j.ecss.2016.03.030</v>
      </c>
      <c r="BG480" t="s">
        <v>74</v>
      </c>
      <c r="BH480" t="s">
        <v>74</v>
      </c>
      <c r="BI480" t="s">
        <v>74</v>
      </c>
      <c r="BJ480" t="s">
        <v>74</v>
      </c>
      <c r="BK480" t="s">
        <v>74</v>
      </c>
      <c r="BL480" t="s">
        <v>74</v>
      </c>
      <c r="BM480" t="s">
        <v>74</v>
      </c>
      <c r="BN480" t="s">
        <v>74</v>
      </c>
      <c r="BO480" t="s">
        <v>74</v>
      </c>
      <c r="BP480" t="s">
        <v>74</v>
      </c>
      <c r="BQ480" t="s">
        <v>74</v>
      </c>
      <c r="BR480" t="s">
        <v>74</v>
      </c>
      <c r="BS480" t="s">
        <v>3676</v>
      </c>
      <c r="BT480" t="str">
        <f>HYPERLINK("https%3A%2F%2Fwww.webofscience.com%2Fwos%2Fwoscc%2Ffull-record%2FWOS:000377311100015","View Full Record in Web of Science")</f>
        <v>View Full Record in Web of Science</v>
      </c>
    </row>
    <row r="481" spans="1:72" x14ac:dyDescent="0.2">
      <c r="A481" t="s">
        <v>72</v>
      </c>
      <c r="B481" t="s">
        <v>3677</v>
      </c>
      <c r="C481" t="s">
        <v>74</v>
      </c>
      <c r="D481" t="s">
        <v>74</v>
      </c>
      <c r="E481" t="s">
        <v>74</v>
      </c>
      <c r="F481" t="s">
        <v>3678</v>
      </c>
      <c r="G481" t="s">
        <v>74</v>
      </c>
      <c r="H481" t="s">
        <v>74</v>
      </c>
      <c r="I481" t="s">
        <v>3679</v>
      </c>
      <c r="J481" t="s">
        <v>1716</v>
      </c>
      <c r="K481" t="s">
        <v>74</v>
      </c>
      <c r="L481" t="s">
        <v>74</v>
      </c>
      <c r="M481" t="s">
        <v>74</v>
      </c>
      <c r="N481" t="s">
        <v>74</v>
      </c>
      <c r="O481" t="s">
        <v>74</v>
      </c>
      <c r="P481" t="s">
        <v>74</v>
      </c>
      <c r="Q481" t="s">
        <v>74</v>
      </c>
      <c r="R481" t="s">
        <v>74</v>
      </c>
      <c r="S481" t="s">
        <v>74</v>
      </c>
      <c r="T481" t="s">
        <v>74</v>
      </c>
      <c r="U481" t="s">
        <v>74</v>
      </c>
      <c r="V481" t="s">
        <v>74</v>
      </c>
      <c r="W481" t="s">
        <v>74</v>
      </c>
      <c r="X481" t="s">
        <v>74</v>
      </c>
      <c r="Y481" t="s">
        <v>74</v>
      </c>
      <c r="Z481" t="s">
        <v>74</v>
      </c>
      <c r="AA481" t="s">
        <v>3680</v>
      </c>
      <c r="AB481" t="s">
        <v>3681</v>
      </c>
      <c r="AC481" t="s">
        <v>74</v>
      </c>
      <c r="AD481" t="s">
        <v>74</v>
      </c>
      <c r="AE481" t="s">
        <v>74</v>
      </c>
      <c r="AF481" t="s">
        <v>74</v>
      </c>
      <c r="AG481" t="s">
        <v>74</v>
      </c>
      <c r="AH481" t="s">
        <v>74</v>
      </c>
      <c r="AI481" t="s">
        <v>74</v>
      </c>
      <c r="AJ481" t="s">
        <v>74</v>
      </c>
      <c r="AK481" t="s">
        <v>74</v>
      </c>
      <c r="AL481" t="s">
        <v>74</v>
      </c>
      <c r="AM481" t="s">
        <v>74</v>
      </c>
      <c r="AN481" t="s">
        <v>74</v>
      </c>
      <c r="AO481" t="s">
        <v>1717</v>
      </c>
      <c r="AP481" t="s">
        <v>1718</v>
      </c>
      <c r="AQ481" t="s">
        <v>74</v>
      </c>
      <c r="AR481" t="s">
        <v>74</v>
      </c>
      <c r="AS481" t="s">
        <v>74</v>
      </c>
      <c r="AT481" t="s">
        <v>569</v>
      </c>
      <c r="AU481">
        <v>2016</v>
      </c>
      <c r="AV481">
        <v>52</v>
      </c>
      <c r="AW481">
        <v>3</v>
      </c>
      <c r="AX481" t="s">
        <v>74</v>
      </c>
      <c r="AY481" t="s">
        <v>74</v>
      </c>
      <c r="AZ481" t="s">
        <v>74</v>
      </c>
      <c r="BA481" t="s">
        <v>74</v>
      </c>
      <c r="BB481">
        <v>432</v>
      </c>
      <c r="BC481">
        <v>440</v>
      </c>
      <c r="BD481" t="s">
        <v>74</v>
      </c>
      <c r="BE481" t="s">
        <v>3682</v>
      </c>
      <c r="BF481" t="str">
        <f>HYPERLINK("http://dx.doi.org/10.1111/jpy.12405","http://dx.doi.org/10.1111/jpy.12405")</f>
        <v>http://dx.doi.org/10.1111/jpy.12405</v>
      </c>
      <c r="BG481" t="s">
        <v>74</v>
      </c>
      <c r="BH481" t="s">
        <v>74</v>
      </c>
      <c r="BI481" t="s">
        <v>74</v>
      </c>
      <c r="BJ481" t="s">
        <v>74</v>
      </c>
      <c r="BK481" t="s">
        <v>74</v>
      </c>
      <c r="BL481" t="s">
        <v>74</v>
      </c>
      <c r="BM481" t="s">
        <v>74</v>
      </c>
      <c r="BN481">
        <v>27273535</v>
      </c>
      <c r="BO481" t="s">
        <v>74</v>
      </c>
      <c r="BP481" t="s">
        <v>74</v>
      </c>
      <c r="BQ481" t="s">
        <v>74</v>
      </c>
      <c r="BR481" t="s">
        <v>74</v>
      </c>
      <c r="BS481" t="s">
        <v>3683</v>
      </c>
      <c r="BT481" t="str">
        <f>HYPERLINK("https%3A%2F%2Fwww.webofscience.com%2Fwos%2Fwoscc%2Ffull-record%2FWOS:000383590800010","View Full Record in Web of Science")</f>
        <v>View Full Record in Web of Science</v>
      </c>
    </row>
    <row r="482" spans="1:72" x14ac:dyDescent="0.2">
      <c r="A482" t="s">
        <v>72</v>
      </c>
      <c r="B482" t="s">
        <v>3684</v>
      </c>
      <c r="C482" t="s">
        <v>74</v>
      </c>
      <c r="D482" t="s">
        <v>74</v>
      </c>
      <c r="E482" t="s">
        <v>74</v>
      </c>
      <c r="F482" t="s">
        <v>3685</v>
      </c>
      <c r="G482" t="s">
        <v>74</v>
      </c>
      <c r="H482" t="s">
        <v>74</v>
      </c>
      <c r="I482" t="s">
        <v>3686</v>
      </c>
      <c r="J482" t="s">
        <v>190</v>
      </c>
      <c r="K482" t="s">
        <v>74</v>
      </c>
      <c r="L482" t="s">
        <v>74</v>
      </c>
      <c r="M482" t="s">
        <v>74</v>
      </c>
      <c r="N482" t="s">
        <v>74</v>
      </c>
      <c r="O482" t="s">
        <v>74</v>
      </c>
      <c r="P482" t="s">
        <v>74</v>
      </c>
      <c r="Q482" t="s">
        <v>74</v>
      </c>
      <c r="R482" t="s">
        <v>74</v>
      </c>
      <c r="S482" t="s">
        <v>74</v>
      </c>
      <c r="T482" t="s">
        <v>74</v>
      </c>
      <c r="U482" t="s">
        <v>74</v>
      </c>
      <c r="V482" t="s">
        <v>74</v>
      </c>
      <c r="W482" t="s">
        <v>74</v>
      </c>
      <c r="X482" t="s">
        <v>74</v>
      </c>
      <c r="Y482" t="s">
        <v>74</v>
      </c>
      <c r="Z482" t="s">
        <v>74</v>
      </c>
      <c r="AA482" t="s">
        <v>7046</v>
      </c>
      <c r="AB482" t="s">
        <v>7047</v>
      </c>
      <c r="AC482" t="s">
        <v>74</v>
      </c>
      <c r="AD482" t="s">
        <v>74</v>
      </c>
      <c r="AE482" t="s">
        <v>74</v>
      </c>
      <c r="AF482" t="s">
        <v>74</v>
      </c>
      <c r="AG482" t="s">
        <v>74</v>
      </c>
      <c r="AH482" t="s">
        <v>74</v>
      </c>
      <c r="AI482" t="s">
        <v>74</v>
      </c>
      <c r="AJ482" t="s">
        <v>74</v>
      </c>
      <c r="AK482" t="s">
        <v>74</v>
      </c>
      <c r="AL482" t="s">
        <v>74</v>
      </c>
      <c r="AM482" t="s">
        <v>74</v>
      </c>
      <c r="AN482" t="s">
        <v>74</v>
      </c>
      <c r="AO482" t="s">
        <v>74</v>
      </c>
      <c r="AP482" t="s">
        <v>191</v>
      </c>
      <c r="AQ482" t="s">
        <v>74</v>
      </c>
      <c r="AR482" t="s">
        <v>74</v>
      </c>
      <c r="AS482" t="s">
        <v>74</v>
      </c>
      <c r="AT482" t="s">
        <v>3687</v>
      </c>
      <c r="AU482">
        <v>2016</v>
      </c>
      <c r="AV482">
        <v>7</v>
      </c>
      <c r="AW482" t="s">
        <v>74</v>
      </c>
      <c r="AX482" t="s">
        <v>74</v>
      </c>
      <c r="AY482" t="s">
        <v>74</v>
      </c>
      <c r="AZ482" t="s">
        <v>74</v>
      </c>
      <c r="BA482" t="s">
        <v>74</v>
      </c>
      <c r="BB482" t="s">
        <v>74</v>
      </c>
      <c r="BC482" t="s">
        <v>74</v>
      </c>
      <c r="BD482">
        <v>812</v>
      </c>
      <c r="BE482" t="s">
        <v>3688</v>
      </c>
      <c r="BF482" t="str">
        <f>HYPERLINK("http://dx.doi.org/10.3389/fmicb.2016.00812","http://dx.doi.org/10.3389/fmicb.2016.00812")</f>
        <v>http://dx.doi.org/10.3389/fmicb.2016.00812</v>
      </c>
      <c r="BG482" t="s">
        <v>74</v>
      </c>
      <c r="BH482" t="s">
        <v>74</v>
      </c>
      <c r="BI482" t="s">
        <v>74</v>
      </c>
      <c r="BJ482" t="s">
        <v>74</v>
      </c>
      <c r="BK482" t="s">
        <v>74</v>
      </c>
      <c r="BL482" t="s">
        <v>74</v>
      </c>
      <c r="BM482" t="s">
        <v>74</v>
      </c>
      <c r="BN482">
        <v>27303393</v>
      </c>
      <c r="BO482" t="s">
        <v>74</v>
      </c>
      <c r="BP482" t="s">
        <v>74</v>
      </c>
      <c r="BQ482" t="s">
        <v>74</v>
      </c>
      <c r="BR482" t="s">
        <v>74</v>
      </c>
      <c r="BS482" t="s">
        <v>3689</v>
      </c>
      <c r="BT482" t="str">
        <f>HYPERLINK("https%3A%2F%2Fwww.webofscience.com%2Fwos%2Fwoscc%2Ffull-record%2FWOS:000376643000001","View Full Record in Web of Science")</f>
        <v>View Full Record in Web of Science</v>
      </c>
    </row>
    <row r="483" spans="1:72" x14ac:dyDescent="0.2">
      <c r="A483" t="s">
        <v>72</v>
      </c>
      <c r="B483" t="s">
        <v>3690</v>
      </c>
      <c r="C483" t="s">
        <v>74</v>
      </c>
      <c r="D483" t="s">
        <v>74</v>
      </c>
      <c r="E483" t="s">
        <v>74</v>
      </c>
      <c r="F483" t="s">
        <v>3691</v>
      </c>
      <c r="G483" t="s">
        <v>74</v>
      </c>
      <c r="H483" t="s">
        <v>74</v>
      </c>
      <c r="I483" t="s">
        <v>3692</v>
      </c>
      <c r="J483" t="s">
        <v>2199</v>
      </c>
      <c r="K483" t="s">
        <v>74</v>
      </c>
      <c r="L483" t="s">
        <v>74</v>
      </c>
      <c r="M483" t="s">
        <v>74</v>
      </c>
      <c r="N483" t="s">
        <v>74</v>
      </c>
      <c r="O483" t="s">
        <v>74</v>
      </c>
      <c r="P483" t="s">
        <v>74</v>
      </c>
      <c r="Q483" t="s">
        <v>74</v>
      </c>
      <c r="R483" t="s">
        <v>74</v>
      </c>
      <c r="S483" t="s">
        <v>74</v>
      </c>
      <c r="T483" t="s">
        <v>74</v>
      </c>
      <c r="U483" t="s">
        <v>74</v>
      </c>
      <c r="V483" t="s">
        <v>74</v>
      </c>
      <c r="W483" t="s">
        <v>74</v>
      </c>
      <c r="X483" t="s">
        <v>74</v>
      </c>
      <c r="Y483" t="s">
        <v>74</v>
      </c>
      <c r="Z483" t="s">
        <v>74</v>
      </c>
      <c r="AA483" t="s">
        <v>3693</v>
      </c>
      <c r="AB483" t="s">
        <v>3694</v>
      </c>
      <c r="AC483" t="s">
        <v>74</v>
      </c>
      <c r="AD483" t="s">
        <v>74</v>
      </c>
      <c r="AE483" t="s">
        <v>74</v>
      </c>
      <c r="AF483" t="s">
        <v>74</v>
      </c>
      <c r="AG483" t="s">
        <v>74</v>
      </c>
      <c r="AH483" t="s">
        <v>74</v>
      </c>
      <c r="AI483" t="s">
        <v>74</v>
      </c>
      <c r="AJ483" t="s">
        <v>74</v>
      </c>
      <c r="AK483" t="s">
        <v>74</v>
      </c>
      <c r="AL483" t="s">
        <v>74</v>
      </c>
      <c r="AM483" t="s">
        <v>74</v>
      </c>
      <c r="AN483" t="s">
        <v>74</v>
      </c>
      <c r="AO483" t="s">
        <v>2200</v>
      </c>
      <c r="AP483" t="s">
        <v>2201</v>
      </c>
      <c r="AQ483" t="s">
        <v>74</v>
      </c>
      <c r="AR483" t="s">
        <v>74</v>
      </c>
      <c r="AS483" t="s">
        <v>74</v>
      </c>
      <c r="AT483" t="s">
        <v>575</v>
      </c>
      <c r="AU483">
        <v>2016</v>
      </c>
      <c r="AV483">
        <v>25</v>
      </c>
      <c r="AW483">
        <v>4</v>
      </c>
      <c r="AX483" t="s">
        <v>74</v>
      </c>
      <c r="AY483" t="s">
        <v>74</v>
      </c>
      <c r="AZ483" t="s">
        <v>74</v>
      </c>
      <c r="BA483" t="s">
        <v>74</v>
      </c>
      <c r="BB483">
        <v>708</v>
      </c>
      <c r="BC483">
        <v>719</v>
      </c>
      <c r="BD483" t="s">
        <v>74</v>
      </c>
      <c r="BE483" t="s">
        <v>3695</v>
      </c>
      <c r="BF483" t="str">
        <f>HYPERLINK("http://dx.doi.org/10.1007/s10646-016-1629-7","http://dx.doi.org/10.1007/s10646-016-1629-7")</f>
        <v>http://dx.doi.org/10.1007/s10646-016-1629-7</v>
      </c>
      <c r="BG483" t="s">
        <v>74</v>
      </c>
      <c r="BH483" t="s">
        <v>74</v>
      </c>
      <c r="BI483" t="s">
        <v>74</v>
      </c>
      <c r="BJ483" t="s">
        <v>74</v>
      </c>
      <c r="BK483" t="s">
        <v>74</v>
      </c>
      <c r="BL483" t="s">
        <v>74</v>
      </c>
      <c r="BM483" t="s">
        <v>74</v>
      </c>
      <c r="BN483">
        <v>26897746</v>
      </c>
      <c r="BO483" t="s">
        <v>74</v>
      </c>
      <c r="BP483" t="s">
        <v>74</v>
      </c>
      <c r="BQ483" t="s">
        <v>74</v>
      </c>
      <c r="BR483" t="s">
        <v>74</v>
      </c>
      <c r="BS483" t="s">
        <v>3696</v>
      </c>
      <c r="BT483" t="str">
        <f>HYPERLINK("https%3A%2F%2Fwww.webofscience.com%2Fwos%2Fwoscc%2Ffull-record%2FWOS:000373743800009","View Full Record in Web of Science")</f>
        <v>View Full Record in Web of Science</v>
      </c>
    </row>
    <row r="484" spans="1:72" x14ac:dyDescent="0.2">
      <c r="A484" t="s">
        <v>72</v>
      </c>
      <c r="B484" t="s">
        <v>3697</v>
      </c>
      <c r="C484" t="s">
        <v>74</v>
      </c>
      <c r="D484" t="s">
        <v>74</v>
      </c>
      <c r="E484" t="s">
        <v>74</v>
      </c>
      <c r="F484" t="s">
        <v>3698</v>
      </c>
      <c r="G484" t="s">
        <v>74</v>
      </c>
      <c r="H484" t="s">
        <v>74</v>
      </c>
      <c r="I484" t="s">
        <v>3699</v>
      </c>
      <c r="J484" t="s">
        <v>124</v>
      </c>
      <c r="K484" t="s">
        <v>74</v>
      </c>
      <c r="L484" t="s">
        <v>74</v>
      </c>
      <c r="M484" t="s">
        <v>74</v>
      </c>
      <c r="N484" t="s">
        <v>74</v>
      </c>
      <c r="O484" t="s">
        <v>74</v>
      </c>
      <c r="P484" t="s">
        <v>74</v>
      </c>
      <c r="Q484" t="s">
        <v>74</v>
      </c>
      <c r="R484" t="s">
        <v>74</v>
      </c>
      <c r="S484" t="s">
        <v>74</v>
      </c>
      <c r="T484" t="s">
        <v>74</v>
      </c>
      <c r="U484" t="s">
        <v>74</v>
      </c>
      <c r="V484" t="s">
        <v>74</v>
      </c>
      <c r="W484" t="s">
        <v>74</v>
      </c>
      <c r="X484" t="s">
        <v>74</v>
      </c>
      <c r="Y484" t="s">
        <v>74</v>
      </c>
      <c r="Z484" t="s">
        <v>74</v>
      </c>
      <c r="AA484" t="s">
        <v>7048</v>
      </c>
      <c r="AB484" t="s">
        <v>7049</v>
      </c>
      <c r="AC484" t="s">
        <v>74</v>
      </c>
      <c r="AD484" t="s">
        <v>74</v>
      </c>
      <c r="AE484" t="s">
        <v>74</v>
      </c>
      <c r="AF484" t="s">
        <v>74</v>
      </c>
      <c r="AG484" t="s">
        <v>74</v>
      </c>
      <c r="AH484" t="s">
        <v>74</v>
      </c>
      <c r="AI484" t="s">
        <v>74</v>
      </c>
      <c r="AJ484" t="s">
        <v>74</v>
      </c>
      <c r="AK484" t="s">
        <v>74</v>
      </c>
      <c r="AL484" t="s">
        <v>74</v>
      </c>
      <c r="AM484" t="s">
        <v>74</v>
      </c>
      <c r="AN484" t="s">
        <v>74</v>
      </c>
      <c r="AO484" t="s">
        <v>127</v>
      </c>
      <c r="AP484" t="s">
        <v>128</v>
      </c>
      <c r="AQ484" t="s">
        <v>74</v>
      </c>
      <c r="AR484" t="s">
        <v>74</v>
      </c>
      <c r="AS484" t="s">
        <v>74</v>
      </c>
      <c r="AT484" t="s">
        <v>575</v>
      </c>
      <c r="AU484">
        <v>2016</v>
      </c>
      <c r="AV484">
        <v>771</v>
      </c>
      <c r="AW484">
        <v>1</v>
      </c>
      <c r="AX484" t="s">
        <v>74</v>
      </c>
      <c r="AY484" t="s">
        <v>74</v>
      </c>
      <c r="AZ484" t="s">
        <v>74</v>
      </c>
      <c r="BA484" t="s">
        <v>74</v>
      </c>
      <c r="BB484">
        <v>265</v>
      </c>
      <c r="BC484">
        <v>280</v>
      </c>
      <c r="BD484" t="s">
        <v>74</v>
      </c>
      <c r="BE484" t="s">
        <v>3700</v>
      </c>
      <c r="BF484" t="str">
        <f>HYPERLINK("http://dx.doi.org/10.1007/s10750-015-2638-x","http://dx.doi.org/10.1007/s10750-015-2638-x")</f>
        <v>http://dx.doi.org/10.1007/s10750-015-2638-x</v>
      </c>
      <c r="BG484" t="s">
        <v>74</v>
      </c>
      <c r="BH484" t="s">
        <v>74</v>
      </c>
      <c r="BI484" t="s">
        <v>74</v>
      </c>
      <c r="BJ484" t="s">
        <v>74</v>
      </c>
      <c r="BK484" t="s">
        <v>74</v>
      </c>
      <c r="BL484" t="s">
        <v>74</v>
      </c>
      <c r="BM484" t="s">
        <v>74</v>
      </c>
      <c r="BN484" t="s">
        <v>74</v>
      </c>
      <c r="BO484" t="s">
        <v>74</v>
      </c>
      <c r="BP484" t="s">
        <v>74</v>
      </c>
      <c r="BQ484" t="s">
        <v>74</v>
      </c>
      <c r="BR484" t="s">
        <v>74</v>
      </c>
      <c r="BS484" t="s">
        <v>3701</v>
      </c>
      <c r="BT484" t="str">
        <f>HYPERLINK("https%3A%2F%2Fwww.webofscience.com%2Fwos%2Fwoscc%2Ffull-record%2FWOS:000372798500019","View Full Record in Web of Science")</f>
        <v>View Full Record in Web of Science</v>
      </c>
    </row>
    <row r="485" spans="1:72" x14ac:dyDescent="0.2">
      <c r="A485" t="s">
        <v>72</v>
      </c>
      <c r="B485" t="s">
        <v>3702</v>
      </c>
      <c r="C485" t="s">
        <v>74</v>
      </c>
      <c r="D485" t="s">
        <v>74</v>
      </c>
      <c r="E485" t="s">
        <v>74</v>
      </c>
      <c r="F485" t="s">
        <v>3703</v>
      </c>
      <c r="G485" t="s">
        <v>74</v>
      </c>
      <c r="H485" t="s">
        <v>74</v>
      </c>
      <c r="I485" t="s">
        <v>3704</v>
      </c>
      <c r="J485" t="s">
        <v>1523</v>
      </c>
      <c r="K485" t="s">
        <v>74</v>
      </c>
      <c r="L485" t="s">
        <v>74</v>
      </c>
      <c r="M485" t="s">
        <v>74</v>
      </c>
      <c r="N485" t="s">
        <v>74</v>
      </c>
      <c r="O485" t="s">
        <v>74</v>
      </c>
      <c r="P485" t="s">
        <v>74</v>
      </c>
      <c r="Q485" t="s">
        <v>74</v>
      </c>
      <c r="R485" t="s">
        <v>74</v>
      </c>
      <c r="S485" t="s">
        <v>74</v>
      </c>
      <c r="T485" t="s">
        <v>74</v>
      </c>
      <c r="U485" t="s">
        <v>74</v>
      </c>
      <c r="V485" t="s">
        <v>74</v>
      </c>
      <c r="W485" t="s">
        <v>74</v>
      </c>
      <c r="X485" t="s">
        <v>74</v>
      </c>
      <c r="Y485" t="s">
        <v>74</v>
      </c>
      <c r="Z485" t="s">
        <v>74</v>
      </c>
      <c r="AA485" t="s">
        <v>74</v>
      </c>
      <c r="AB485" t="s">
        <v>3705</v>
      </c>
      <c r="AC485" t="s">
        <v>74</v>
      </c>
      <c r="AD485" t="s">
        <v>74</v>
      </c>
      <c r="AE485" t="s">
        <v>74</v>
      </c>
      <c r="AF485" t="s">
        <v>74</v>
      </c>
      <c r="AG485" t="s">
        <v>74</v>
      </c>
      <c r="AH485" t="s">
        <v>74</v>
      </c>
      <c r="AI485" t="s">
        <v>74</v>
      </c>
      <c r="AJ485" t="s">
        <v>74</v>
      </c>
      <c r="AK485" t="s">
        <v>74</v>
      </c>
      <c r="AL485" t="s">
        <v>74</v>
      </c>
      <c r="AM485" t="s">
        <v>74</v>
      </c>
      <c r="AN485" t="s">
        <v>74</v>
      </c>
      <c r="AO485" t="s">
        <v>1524</v>
      </c>
      <c r="AP485" t="s">
        <v>1525</v>
      </c>
      <c r="AQ485" t="s">
        <v>74</v>
      </c>
      <c r="AR485" t="s">
        <v>74</v>
      </c>
      <c r="AS485" t="s">
        <v>74</v>
      </c>
      <c r="AT485" t="s">
        <v>575</v>
      </c>
      <c r="AU485">
        <v>2016</v>
      </c>
      <c r="AV485">
        <v>97</v>
      </c>
      <c r="AW485">
        <v>5</v>
      </c>
      <c r="AX485" t="s">
        <v>74</v>
      </c>
      <c r="AY485" t="s">
        <v>74</v>
      </c>
      <c r="AZ485" t="s">
        <v>74</v>
      </c>
      <c r="BA485" t="s">
        <v>74</v>
      </c>
      <c r="BB485">
        <v>1239</v>
      </c>
      <c r="BC485">
        <v>1250</v>
      </c>
      <c r="BD485" t="s">
        <v>74</v>
      </c>
      <c r="BE485" t="s">
        <v>3706</v>
      </c>
      <c r="BF485" t="str">
        <f>HYPERLINK("http://dx.doi.org/10.1890/15-0794.1","http://dx.doi.org/10.1890/15-0794.1")</f>
        <v>http://dx.doi.org/10.1890/15-0794.1</v>
      </c>
      <c r="BG485" t="s">
        <v>74</v>
      </c>
      <c r="BH485" t="s">
        <v>74</v>
      </c>
      <c r="BI485" t="s">
        <v>74</v>
      </c>
      <c r="BJ485" t="s">
        <v>74</v>
      </c>
      <c r="BK485" t="s">
        <v>74</v>
      </c>
      <c r="BL485" t="s">
        <v>74</v>
      </c>
      <c r="BM485" t="s">
        <v>74</v>
      </c>
      <c r="BN485">
        <v>27349100</v>
      </c>
      <c r="BO485" t="s">
        <v>74</v>
      </c>
      <c r="BP485" t="s">
        <v>74</v>
      </c>
      <c r="BQ485" t="s">
        <v>74</v>
      </c>
      <c r="BR485" t="s">
        <v>74</v>
      </c>
      <c r="BS485" t="s">
        <v>3707</v>
      </c>
      <c r="BT485" t="str">
        <f>HYPERLINK("https%3A%2F%2Fwww.webofscience.com%2Fwos%2Fwoscc%2Ffull-record%2FWOS:000375566800013","View Full Record in Web of Science")</f>
        <v>View Full Record in Web of Science</v>
      </c>
    </row>
    <row r="486" spans="1:72" x14ac:dyDescent="0.2">
      <c r="A486" t="s">
        <v>72</v>
      </c>
      <c r="B486" t="s">
        <v>3708</v>
      </c>
      <c r="C486" t="s">
        <v>74</v>
      </c>
      <c r="D486" t="s">
        <v>74</v>
      </c>
      <c r="E486" t="s">
        <v>74</v>
      </c>
      <c r="F486" t="s">
        <v>3709</v>
      </c>
      <c r="G486" t="s">
        <v>74</v>
      </c>
      <c r="H486" t="s">
        <v>74</v>
      </c>
      <c r="I486" t="s">
        <v>3710</v>
      </c>
      <c r="J486" t="s">
        <v>457</v>
      </c>
      <c r="K486" t="s">
        <v>74</v>
      </c>
      <c r="L486" t="s">
        <v>74</v>
      </c>
      <c r="M486" t="s">
        <v>74</v>
      </c>
      <c r="N486" t="s">
        <v>74</v>
      </c>
      <c r="O486" t="s">
        <v>74</v>
      </c>
      <c r="P486" t="s">
        <v>74</v>
      </c>
      <c r="Q486" t="s">
        <v>74</v>
      </c>
      <c r="R486" t="s">
        <v>74</v>
      </c>
      <c r="S486" t="s">
        <v>74</v>
      </c>
      <c r="T486" t="s">
        <v>74</v>
      </c>
      <c r="U486" t="s">
        <v>74</v>
      </c>
      <c r="V486" t="s">
        <v>74</v>
      </c>
      <c r="W486" t="s">
        <v>74</v>
      </c>
      <c r="X486" t="s">
        <v>74</v>
      </c>
      <c r="Y486" t="s">
        <v>74</v>
      </c>
      <c r="Z486" t="s">
        <v>74</v>
      </c>
      <c r="AA486" t="s">
        <v>3711</v>
      </c>
      <c r="AB486" t="s">
        <v>7050</v>
      </c>
      <c r="AC486" t="s">
        <v>74</v>
      </c>
      <c r="AD486" t="s">
        <v>74</v>
      </c>
      <c r="AE486" t="s">
        <v>74</v>
      </c>
      <c r="AF486" t="s">
        <v>74</v>
      </c>
      <c r="AG486" t="s">
        <v>74</v>
      </c>
      <c r="AH486" t="s">
        <v>74</v>
      </c>
      <c r="AI486" t="s">
        <v>74</v>
      </c>
      <c r="AJ486" t="s">
        <v>74</v>
      </c>
      <c r="AK486" t="s">
        <v>74</v>
      </c>
      <c r="AL486" t="s">
        <v>74</v>
      </c>
      <c r="AM486" t="s">
        <v>74</v>
      </c>
      <c r="AN486" t="s">
        <v>74</v>
      </c>
      <c r="AO486" t="s">
        <v>458</v>
      </c>
      <c r="AP486" t="s">
        <v>74</v>
      </c>
      <c r="AQ486" t="s">
        <v>74</v>
      </c>
      <c r="AR486" t="s">
        <v>74</v>
      </c>
      <c r="AS486" t="s">
        <v>74</v>
      </c>
      <c r="AT486" t="s">
        <v>575</v>
      </c>
      <c r="AU486">
        <v>2016</v>
      </c>
      <c r="AV486">
        <v>6</v>
      </c>
      <c r="AW486">
        <v>9</v>
      </c>
      <c r="AX486" t="s">
        <v>74</v>
      </c>
      <c r="AY486" t="s">
        <v>74</v>
      </c>
      <c r="AZ486" t="s">
        <v>74</v>
      </c>
      <c r="BA486" t="s">
        <v>74</v>
      </c>
      <c r="BB486">
        <v>2817</v>
      </c>
      <c r="BC486">
        <v>2832</v>
      </c>
      <c r="BD486" t="s">
        <v>74</v>
      </c>
      <c r="BE486" t="s">
        <v>3712</v>
      </c>
      <c r="BF486" t="str">
        <f>HYPERLINK("http://dx.doi.org/10.1002/ece3.2058","http://dx.doi.org/10.1002/ece3.2058")</f>
        <v>http://dx.doi.org/10.1002/ece3.2058</v>
      </c>
      <c r="BG486" t="s">
        <v>74</v>
      </c>
      <c r="BH486" t="s">
        <v>74</v>
      </c>
      <c r="BI486" t="s">
        <v>74</v>
      </c>
      <c r="BJ486" t="s">
        <v>74</v>
      </c>
      <c r="BK486" t="s">
        <v>74</v>
      </c>
      <c r="BL486" t="s">
        <v>74</v>
      </c>
      <c r="BM486" t="s">
        <v>74</v>
      </c>
      <c r="BN486">
        <v>27217941</v>
      </c>
      <c r="BO486" t="s">
        <v>74</v>
      </c>
      <c r="BP486" t="s">
        <v>74</v>
      </c>
      <c r="BQ486" t="s">
        <v>74</v>
      </c>
      <c r="BR486" t="s">
        <v>74</v>
      </c>
      <c r="BS486" t="s">
        <v>3713</v>
      </c>
      <c r="BT486" t="str">
        <f>HYPERLINK("https%3A%2F%2Fwww.webofscience.com%2Fwos%2Fwoscc%2Ffull-record%2FWOS:000376149400016","View Full Record in Web of Science")</f>
        <v>View Full Record in Web of Science</v>
      </c>
    </row>
    <row r="487" spans="1:72" x14ac:dyDescent="0.2">
      <c r="A487" t="s">
        <v>72</v>
      </c>
      <c r="B487" t="s">
        <v>3714</v>
      </c>
      <c r="C487" t="s">
        <v>74</v>
      </c>
      <c r="D487" t="s">
        <v>74</v>
      </c>
      <c r="E487" t="s">
        <v>74</v>
      </c>
      <c r="F487" t="s">
        <v>3715</v>
      </c>
      <c r="G487" t="s">
        <v>74</v>
      </c>
      <c r="H487" t="s">
        <v>74</v>
      </c>
      <c r="I487" t="s">
        <v>3716</v>
      </c>
      <c r="J487" t="s">
        <v>124</v>
      </c>
      <c r="K487" t="s">
        <v>74</v>
      </c>
      <c r="L487" t="s">
        <v>74</v>
      </c>
      <c r="M487" t="s">
        <v>74</v>
      </c>
      <c r="N487" t="s">
        <v>74</v>
      </c>
      <c r="O487" t="s">
        <v>74</v>
      </c>
      <c r="P487" t="s">
        <v>74</v>
      </c>
      <c r="Q487" t="s">
        <v>74</v>
      </c>
      <c r="R487" t="s">
        <v>74</v>
      </c>
      <c r="S487" t="s">
        <v>74</v>
      </c>
      <c r="T487" t="s">
        <v>74</v>
      </c>
      <c r="U487" t="s">
        <v>74</v>
      </c>
      <c r="V487" t="s">
        <v>74</v>
      </c>
      <c r="W487" t="s">
        <v>74</v>
      </c>
      <c r="X487" t="s">
        <v>74</v>
      </c>
      <c r="Y487" t="s">
        <v>74</v>
      </c>
      <c r="Z487" t="s">
        <v>74</v>
      </c>
      <c r="AA487" t="s">
        <v>7051</v>
      </c>
      <c r="AB487" t="s">
        <v>3717</v>
      </c>
      <c r="AC487" t="s">
        <v>74</v>
      </c>
      <c r="AD487" t="s">
        <v>74</v>
      </c>
      <c r="AE487" t="s">
        <v>74</v>
      </c>
      <c r="AF487" t="s">
        <v>74</v>
      </c>
      <c r="AG487" t="s">
        <v>74</v>
      </c>
      <c r="AH487" t="s">
        <v>74</v>
      </c>
      <c r="AI487" t="s">
        <v>74</v>
      </c>
      <c r="AJ487" t="s">
        <v>74</v>
      </c>
      <c r="AK487" t="s">
        <v>74</v>
      </c>
      <c r="AL487" t="s">
        <v>74</v>
      </c>
      <c r="AM487" t="s">
        <v>74</v>
      </c>
      <c r="AN487" t="s">
        <v>74</v>
      </c>
      <c r="AO487" t="s">
        <v>127</v>
      </c>
      <c r="AP487" t="s">
        <v>128</v>
      </c>
      <c r="AQ487" t="s">
        <v>74</v>
      </c>
      <c r="AR487" t="s">
        <v>74</v>
      </c>
      <c r="AS487" t="s">
        <v>74</v>
      </c>
      <c r="AT487" t="s">
        <v>575</v>
      </c>
      <c r="AU487">
        <v>2016</v>
      </c>
      <c r="AV487">
        <v>770</v>
      </c>
      <c r="AW487">
        <v>1</v>
      </c>
      <c r="AX487" t="s">
        <v>74</v>
      </c>
      <c r="AY487" t="s">
        <v>74</v>
      </c>
      <c r="AZ487" t="s">
        <v>74</v>
      </c>
      <c r="BA487" t="s">
        <v>74</v>
      </c>
      <c r="BB487">
        <v>165</v>
      </c>
      <c r="BC487">
        <v>172</v>
      </c>
      <c r="BD487" t="s">
        <v>74</v>
      </c>
      <c r="BE487" t="s">
        <v>3718</v>
      </c>
      <c r="BF487" t="str">
        <f>HYPERLINK("http://dx.doi.org/10.1007/s10750-015-2579-4","http://dx.doi.org/10.1007/s10750-015-2579-4")</f>
        <v>http://dx.doi.org/10.1007/s10750-015-2579-4</v>
      </c>
      <c r="BG487" t="s">
        <v>74</v>
      </c>
      <c r="BH487" t="s">
        <v>74</v>
      </c>
      <c r="BI487" t="s">
        <v>74</v>
      </c>
      <c r="BJ487" t="s">
        <v>74</v>
      </c>
      <c r="BK487" t="s">
        <v>74</v>
      </c>
      <c r="BL487" t="s">
        <v>74</v>
      </c>
      <c r="BM487" t="s">
        <v>74</v>
      </c>
      <c r="BN487" t="s">
        <v>74</v>
      </c>
      <c r="BO487" t="s">
        <v>74</v>
      </c>
      <c r="BP487" t="s">
        <v>74</v>
      </c>
      <c r="BQ487" t="s">
        <v>74</v>
      </c>
      <c r="BR487" t="s">
        <v>74</v>
      </c>
      <c r="BS487" t="s">
        <v>3719</v>
      </c>
      <c r="BT487" t="str">
        <f>HYPERLINK("https%3A%2F%2Fwww.webofscience.com%2Fwos%2Fwoscc%2Ffull-record%2FWOS:000372555100012","View Full Record in Web of Science")</f>
        <v>View Full Record in Web of Science</v>
      </c>
    </row>
    <row r="488" spans="1:72" x14ac:dyDescent="0.2">
      <c r="A488" t="s">
        <v>72</v>
      </c>
      <c r="B488" t="s">
        <v>3720</v>
      </c>
      <c r="C488" t="s">
        <v>74</v>
      </c>
      <c r="D488" t="s">
        <v>74</v>
      </c>
      <c r="E488" t="s">
        <v>74</v>
      </c>
      <c r="F488" t="s">
        <v>3721</v>
      </c>
      <c r="G488" t="s">
        <v>74</v>
      </c>
      <c r="H488" t="s">
        <v>74</v>
      </c>
      <c r="I488" t="s">
        <v>3722</v>
      </c>
      <c r="J488" t="s">
        <v>106</v>
      </c>
      <c r="K488" t="s">
        <v>74</v>
      </c>
      <c r="L488" t="s">
        <v>74</v>
      </c>
      <c r="M488" t="s">
        <v>74</v>
      </c>
      <c r="N488" t="s">
        <v>74</v>
      </c>
      <c r="O488" t="s">
        <v>74</v>
      </c>
      <c r="P488" t="s">
        <v>74</v>
      </c>
      <c r="Q488" t="s">
        <v>74</v>
      </c>
      <c r="R488" t="s">
        <v>74</v>
      </c>
      <c r="S488" t="s">
        <v>74</v>
      </c>
      <c r="T488" t="s">
        <v>74</v>
      </c>
      <c r="U488" t="s">
        <v>74</v>
      </c>
      <c r="V488" t="s">
        <v>74</v>
      </c>
      <c r="W488" t="s">
        <v>74</v>
      </c>
      <c r="X488" t="s">
        <v>74</v>
      </c>
      <c r="Y488" t="s">
        <v>74</v>
      </c>
      <c r="Z488" t="s">
        <v>74</v>
      </c>
      <c r="AA488" t="s">
        <v>7052</v>
      </c>
      <c r="AB488" t="s">
        <v>3723</v>
      </c>
      <c r="AC488" t="s">
        <v>74</v>
      </c>
      <c r="AD488" t="s">
        <v>74</v>
      </c>
      <c r="AE488" t="s">
        <v>74</v>
      </c>
      <c r="AF488" t="s">
        <v>74</v>
      </c>
      <c r="AG488" t="s">
        <v>74</v>
      </c>
      <c r="AH488" t="s">
        <v>74</v>
      </c>
      <c r="AI488" t="s">
        <v>74</v>
      </c>
      <c r="AJ488" t="s">
        <v>74</v>
      </c>
      <c r="AK488" t="s">
        <v>74</v>
      </c>
      <c r="AL488" t="s">
        <v>74</v>
      </c>
      <c r="AM488" t="s">
        <v>74</v>
      </c>
      <c r="AN488" t="s">
        <v>74</v>
      </c>
      <c r="AO488" t="s">
        <v>107</v>
      </c>
      <c r="AP488" t="s">
        <v>108</v>
      </c>
      <c r="AQ488" t="s">
        <v>74</v>
      </c>
      <c r="AR488" t="s">
        <v>74</v>
      </c>
      <c r="AS488" t="s">
        <v>74</v>
      </c>
      <c r="AT488" t="s">
        <v>575</v>
      </c>
      <c r="AU488">
        <v>2016</v>
      </c>
      <c r="AV488">
        <v>38</v>
      </c>
      <c r="AW488">
        <v>3</v>
      </c>
      <c r="AX488" t="s">
        <v>74</v>
      </c>
      <c r="AY488" t="s">
        <v>74</v>
      </c>
      <c r="AZ488" t="s">
        <v>74</v>
      </c>
      <c r="BA488" t="s">
        <v>74</v>
      </c>
      <c r="BB488">
        <v>443</v>
      </c>
      <c r="BC488">
        <v>455</v>
      </c>
      <c r="BD488" t="s">
        <v>74</v>
      </c>
      <c r="BE488" t="s">
        <v>3724</v>
      </c>
      <c r="BF488" t="str">
        <f>HYPERLINK("http://dx.doi.org/10.1093/plankt/fbv118","http://dx.doi.org/10.1093/plankt/fbv118")</f>
        <v>http://dx.doi.org/10.1093/plankt/fbv118</v>
      </c>
      <c r="BG488" t="s">
        <v>74</v>
      </c>
      <c r="BH488" t="s">
        <v>74</v>
      </c>
      <c r="BI488" t="s">
        <v>74</v>
      </c>
      <c r="BJ488" t="s">
        <v>74</v>
      </c>
      <c r="BK488" t="s">
        <v>74</v>
      </c>
      <c r="BL488" t="s">
        <v>74</v>
      </c>
      <c r="BM488" t="s">
        <v>74</v>
      </c>
      <c r="BN488" t="s">
        <v>74</v>
      </c>
      <c r="BO488" t="s">
        <v>74</v>
      </c>
      <c r="BP488" t="s">
        <v>74</v>
      </c>
      <c r="BQ488" t="s">
        <v>74</v>
      </c>
      <c r="BR488" t="s">
        <v>74</v>
      </c>
      <c r="BS488" t="s">
        <v>3725</v>
      </c>
      <c r="BT488" t="str">
        <f>HYPERLINK("https%3A%2F%2Fwww.webofscience.com%2Fwos%2Fwoscc%2Ffull-record%2FWOS:000377299000005","View Full Record in Web of Science")</f>
        <v>View Full Record in Web of Science</v>
      </c>
    </row>
    <row r="489" spans="1:72" x14ac:dyDescent="0.2">
      <c r="A489" t="s">
        <v>72</v>
      </c>
      <c r="B489" t="s">
        <v>3726</v>
      </c>
      <c r="C489" t="s">
        <v>74</v>
      </c>
      <c r="D489" t="s">
        <v>74</v>
      </c>
      <c r="E489" t="s">
        <v>74</v>
      </c>
      <c r="F489" t="s">
        <v>3727</v>
      </c>
      <c r="G489" t="s">
        <v>74</v>
      </c>
      <c r="H489" t="s">
        <v>74</v>
      </c>
      <c r="I489" t="s">
        <v>3728</v>
      </c>
      <c r="J489" t="s">
        <v>502</v>
      </c>
      <c r="K489" t="s">
        <v>74</v>
      </c>
      <c r="L489" t="s">
        <v>74</v>
      </c>
      <c r="M489" t="s">
        <v>74</v>
      </c>
      <c r="N489" t="s">
        <v>74</v>
      </c>
      <c r="O489" t="s">
        <v>74</v>
      </c>
      <c r="P489" t="s">
        <v>74</v>
      </c>
      <c r="Q489" t="s">
        <v>74</v>
      </c>
      <c r="R489" t="s">
        <v>74</v>
      </c>
      <c r="S489" t="s">
        <v>74</v>
      </c>
      <c r="T489" t="s">
        <v>74</v>
      </c>
      <c r="U489" t="s">
        <v>74</v>
      </c>
      <c r="V489" t="s">
        <v>74</v>
      </c>
      <c r="W489" t="s">
        <v>74</v>
      </c>
      <c r="X489" t="s">
        <v>74</v>
      </c>
      <c r="Y489" t="s">
        <v>74</v>
      </c>
      <c r="Z489" t="s">
        <v>74</v>
      </c>
      <c r="AA489" t="s">
        <v>3729</v>
      </c>
      <c r="AB489" t="s">
        <v>3730</v>
      </c>
      <c r="AC489" t="s">
        <v>74</v>
      </c>
      <c r="AD489" t="s">
        <v>74</v>
      </c>
      <c r="AE489" t="s">
        <v>74</v>
      </c>
      <c r="AF489" t="s">
        <v>74</v>
      </c>
      <c r="AG489" t="s">
        <v>74</v>
      </c>
      <c r="AH489" t="s">
        <v>74</v>
      </c>
      <c r="AI489" t="s">
        <v>74</v>
      </c>
      <c r="AJ489" t="s">
        <v>74</v>
      </c>
      <c r="AK489" t="s">
        <v>74</v>
      </c>
      <c r="AL489" t="s">
        <v>74</v>
      </c>
      <c r="AM489" t="s">
        <v>74</v>
      </c>
      <c r="AN489" t="s">
        <v>74</v>
      </c>
      <c r="AO489" t="s">
        <v>503</v>
      </c>
      <c r="AP489" t="s">
        <v>504</v>
      </c>
      <c r="AQ489" t="s">
        <v>74</v>
      </c>
      <c r="AR489" t="s">
        <v>74</v>
      </c>
      <c r="AS489" t="s">
        <v>74</v>
      </c>
      <c r="AT489" t="s">
        <v>203</v>
      </c>
      <c r="AU489">
        <v>2016</v>
      </c>
      <c r="AV489">
        <v>63</v>
      </c>
      <c r="AW489" t="s">
        <v>74</v>
      </c>
      <c r="AX489" t="s">
        <v>74</v>
      </c>
      <c r="AY489" t="s">
        <v>74</v>
      </c>
      <c r="AZ489" t="s">
        <v>74</v>
      </c>
      <c r="BA489" t="s">
        <v>74</v>
      </c>
      <c r="BB489">
        <v>240</v>
      </c>
      <c r="BC489">
        <v>248</v>
      </c>
      <c r="BD489" t="s">
        <v>74</v>
      </c>
      <c r="BE489" t="s">
        <v>3731</v>
      </c>
      <c r="BF489" t="str">
        <f>HYPERLINK("http://dx.doi.org/10.1016/j.ecolind.2015.12.003","http://dx.doi.org/10.1016/j.ecolind.2015.12.003")</f>
        <v>http://dx.doi.org/10.1016/j.ecolind.2015.12.003</v>
      </c>
      <c r="BG489" t="s">
        <v>74</v>
      </c>
      <c r="BH489" t="s">
        <v>74</v>
      </c>
      <c r="BI489" t="s">
        <v>74</v>
      </c>
      <c r="BJ489" t="s">
        <v>74</v>
      </c>
      <c r="BK489" t="s">
        <v>74</v>
      </c>
      <c r="BL489" t="s">
        <v>74</v>
      </c>
      <c r="BM489" t="s">
        <v>74</v>
      </c>
      <c r="BN489" t="s">
        <v>74</v>
      </c>
      <c r="BO489" t="s">
        <v>74</v>
      </c>
      <c r="BP489" t="s">
        <v>74</v>
      </c>
      <c r="BQ489" t="s">
        <v>74</v>
      </c>
      <c r="BR489" t="s">
        <v>74</v>
      </c>
      <c r="BS489" t="s">
        <v>3732</v>
      </c>
      <c r="BT489" t="str">
        <f>HYPERLINK("https%3A%2F%2Fwww.webofscience.com%2Fwos%2Fwoscc%2Ffull-record%2FWOS:000370906000025","View Full Record in Web of Science")</f>
        <v>View Full Record in Web of Science</v>
      </c>
    </row>
    <row r="490" spans="1:72" x14ac:dyDescent="0.2">
      <c r="A490" t="s">
        <v>72</v>
      </c>
      <c r="B490" t="s">
        <v>3733</v>
      </c>
      <c r="C490" t="s">
        <v>74</v>
      </c>
      <c r="D490" t="s">
        <v>74</v>
      </c>
      <c r="E490" t="s">
        <v>74</v>
      </c>
      <c r="F490" t="s">
        <v>3734</v>
      </c>
      <c r="G490" t="s">
        <v>74</v>
      </c>
      <c r="H490" t="s">
        <v>74</v>
      </c>
      <c r="I490" t="s">
        <v>3735</v>
      </c>
      <c r="J490" t="s">
        <v>836</v>
      </c>
      <c r="K490" t="s">
        <v>74</v>
      </c>
      <c r="L490" t="s">
        <v>74</v>
      </c>
      <c r="M490" t="s">
        <v>74</v>
      </c>
      <c r="N490" t="s">
        <v>74</v>
      </c>
      <c r="O490" t="s">
        <v>74</v>
      </c>
      <c r="P490" t="s">
        <v>74</v>
      </c>
      <c r="Q490" t="s">
        <v>74</v>
      </c>
      <c r="R490" t="s">
        <v>74</v>
      </c>
      <c r="S490" t="s">
        <v>74</v>
      </c>
      <c r="T490" t="s">
        <v>74</v>
      </c>
      <c r="U490" t="s">
        <v>74</v>
      </c>
      <c r="V490" t="s">
        <v>74</v>
      </c>
      <c r="W490" t="s">
        <v>74</v>
      </c>
      <c r="X490" t="s">
        <v>74</v>
      </c>
      <c r="Y490" t="s">
        <v>74</v>
      </c>
      <c r="Z490" t="s">
        <v>74</v>
      </c>
      <c r="AA490" t="s">
        <v>7053</v>
      </c>
      <c r="AB490" t="s">
        <v>7054</v>
      </c>
      <c r="AC490" t="s">
        <v>74</v>
      </c>
      <c r="AD490" t="s">
        <v>74</v>
      </c>
      <c r="AE490" t="s">
        <v>74</v>
      </c>
      <c r="AF490" t="s">
        <v>74</v>
      </c>
      <c r="AG490" t="s">
        <v>74</v>
      </c>
      <c r="AH490" t="s">
        <v>74</v>
      </c>
      <c r="AI490" t="s">
        <v>74</v>
      </c>
      <c r="AJ490" t="s">
        <v>74</v>
      </c>
      <c r="AK490" t="s">
        <v>74</v>
      </c>
      <c r="AL490" t="s">
        <v>74</v>
      </c>
      <c r="AM490" t="s">
        <v>74</v>
      </c>
      <c r="AN490" t="s">
        <v>74</v>
      </c>
      <c r="AO490" t="s">
        <v>837</v>
      </c>
      <c r="AP490" t="s">
        <v>838</v>
      </c>
      <c r="AQ490" t="s">
        <v>74</v>
      </c>
      <c r="AR490" t="s">
        <v>74</v>
      </c>
      <c r="AS490" t="s">
        <v>74</v>
      </c>
      <c r="AT490" t="s">
        <v>203</v>
      </c>
      <c r="AU490">
        <v>2016</v>
      </c>
      <c r="AV490">
        <v>54</v>
      </c>
      <c r="AW490" t="s">
        <v>74</v>
      </c>
      <c r="AX490" t="s">
        <v>74</v>
      </c>
      <c r="AY490" t="s">
        <v>74</v>
      </c>
      <c r="AZ490" t="s">
        <v>632</v>
      </c>
      <c r="BA490" t="s">
        <v>74</v>
      </c>
      <c r="BB490">
        <v>128</v>
      </c>
      <c r="BC490">
        <v>144</v>
      </c>
      <c r="BD490" t="s">
        <v>74</v>
      </c>
      <c r="BE490" t="s">
        <v>3736</v>
      </c>
      <c r="BF490" t="str">
        <f>HYPERLINK("http://dx.doi.org/10.1016/j.hal.2015.12.005","http://dx.doi.org/10.1016/j.hal.2015.12.005")</f>
        <v>http://dx.doi.org/10.1016/j.hal.2015.12.005</v>
      </c>
      <c r="BG490" t="s">
        <v>74</v>
      </c>
      <c r="BH490" t="s">
        <v>74</v>
      </c>
      <c r="BI490" t="s">
        <v>74</v>
      </c>
      <c r="BJ490" t="s">
        <v>74</v>
      </c>
      <c r="BK490" t="s">
        <v>74</v>
      </c>
      <c r="BL490" t="s">
        <v>74</v>
      </c>
      <c r="BM490" t="s">
        <v>74</v>
      </c>
      <c r="BN490">
        <v>28073472</v>
      </c>
      <c r="BO490" t="s">
        <v>74</v>
      </c>
      <c r="BP490" t="s">
        <v>74</v>
      </c>
      <c r="BQ490" t="s">
        <v>74</v>
      </c>
      <c r="BR490" t="s">
        <v>74</v>
      </c>
      <c r="BS490" t="s">
        <v>3737</v>
      </c>
      <c r="BT490" t="str">
        <f>HYPERLINK("https%3A%2F%2Fwww.webofscience.com%2Fwos%2Fwoscc%2Ffull-record%2FWOS:000377319600010","View Full Record in Web of Science")</f>
        <v>View Full Record in Web of Science</v>
      </c>
    </row>
    <row r="491" spans="1:72" x14ac:dyDescent="0.2">
      <c r="A491" t="s">
        <v>72</v>
      </c>
      <c r="B491" t="s">
        <v>3738</v>
      </c>
      <c r="C491" t="s">
        <v>74</v>
      </c>
      <c r="D491" t="s">
        <v>74</v>
      </c>
      <c r="E491" t="s">
        <v>74</v>
      </c>
      <c r="F491" t="s">
        <v>3739</v>
      </c>
      <c r="G491" t="s">
        <v>74</v>
      </c>
      <c r="H491" t="s">
        <v>74</v>
      </c>
      <c r="I491" t="s">
        <v>3740</v>
      </c>
      <c r="J491" t="s">
        <v>1523</v>
      </c>
      <c r="K491" t="s">
        <v>74</v>
      </c>
      <c r="L491" t="s">
        <v>74</v>
      </c>
      <c r="M491" t="s">
        <v>74</v>
      </c>
      <c r="N491" t="s">
        <v>74</v>
      </c>
      <c r="O491" t="s">
        <v>74</v>
      </c>
      <c r="P491" t="s">
        <v>74</v>
      </c>
      <c r="Q491" t="s">
        <v>74</v>
      </c>
      <c r="R491" t="s">
        <v>74</v>
      </c>
      <c r="S491" t="s">
        <v>74</v>
      </c>
      <c r="T491" t="s">
        <v>74</v>
      </c>
      <c r="U491" t="s">
        <v>74</v>
      </c>
      <c r="V491" t="s">
        <v>74</v>
      </c>
      <c r="W491" t="s">
        <v>74</v>
      </c>
      <c r="X491" t="s">
        <v>74</v>
      </c>
      <c r="Y491" t="s">
        <v>74</v>
      </c>
      <c r="Z491" t="s">
        <v>74</v>
      </c>
      <c r="AA491" t="s">
        <v>7055</v>
      </c>
      <c r="AB491" t="s">
        <v>7056</v>
      </c>
      <c r="AC491" t="s">
        <v>74</v>
      </c>
      <c r="AD491" t="s">
        <v>74</v>
      </c>
      <c r="AE491" t="s">
        <v>74</v>
      </c>
      <c r="AF491" t="s">
        <v>74</v>
      </c>
      <c r="AG491" t="s">
        <v>74</v>
      </c>
      <c r="AH491" t="s">
        <v>74</v>
      </c>
      <c r="AI491" t="s">
        <v>74</v>
      </c>
      <c r="AJ491" t="s">
        <v>74</v>
      </c>
      <c r="AK491" t="s">
        <v>74</v>
      </c>
      <c r="AL491" t="s">
        <v>74</v>
      </c>
      <c r="AM491" t="s">
        <v>74</v>
      </c>
      <c r="AN491" t="s">
        <v>74</v>
      </c>
      <c r="AO491" t="s">
        <v>1524</v>
      </c>
      <c r="AP491" t="s">
        <v>1525</v>
      </c>
      <c r="AQ491" t="s">
        <v>74</v>
      </c>
      <c r="AR491" t="s">
        <v>74</v>
      </c>
      <c r="AS491" t="s">
        <v>74</v>
      </c>
      <c r="AT491" t="s">
        <v>203</v>
      </c>
      <c r="AU491">
        <v>2016</v>
      </c>
      <c r="AV491">
        <v>97</v>
      </c>
      <c r="AW491">
        <v>4</v>
      </c>
      <c r="AX491" t="s">
        <v>74</v>
      </c>
      <c r="AY491" t="s">
        <v>74</v>
      </c>
      <c r="AZ491" t="s">
        <v>74</v>
      </c>
      <c r="BA491" t="s">
        <v>74</v>
      </c>
      <c r="BB491">
        <v>1069</v>
      </c>
      <c r="BC491">
        <v>1080</v>
      </c>
      <c r="BD491" t="s">
        <v>74</v>
      </c>
      <c r="BE491" t="s">
        <v>3741</v>
      </c>
      <c r="BF491" t="str">
        <f>HYPERLINK("http://dx.doi.org/10.1890/15-1084.1","http://dx.doi.org/10.1890/15-1084.1")</f>
        <v>http://dx.doi.org/10.1890/15-1084.1</v>
      </c>
      <c r="BG491" t="s">
        <v>74</v>
      </c>
      <c r="BH491" t="s">
        <v>74</v>
      </c>
      <c r="BI491" t="s">
        <v>74</v>
      </c>
      <c r="BJ491" t="s">
        <v>74</v>
      </c>
      <c r="BK491" t="s">
        <v>74</v>
      </c>
      <c r="BL491" t="s">
        <v>74</v>
      </c>
      <c r="BM491" t="s">
        <v>74</v>
      </c>
      <c r="BN491">
        <v>27220222</v>
      </c>
      <c r="BO491" t="s">
        <v>74</v>
      </c>
      <c r="BP491" t="s">
        <v>74</v>
      </c>
      <c r="BQ491" t="s">
        <v>74</v>
      </c>
      <c r="BR491" t="s">
        <v>74</v>
      </c>
      <c r="BS491" t="s">
        <v>3742</v>
      </c>
      <c r="BT491" t="str">
        <f>HYPERLINK("https%3A%2F%2Fwww.webofscience.com%2Fwos%2Fwoscc%2Ffull-record%2FWOS:000373923100025","View Full Record in Web of Science")</f>
        <v>View Full Record in Web of Science</v>
      </c>
    </row>
    <row r="492" spans="1:72" x14ac:dyDescent="0.2">
      <c r="A492" t="s">
        <v>72</v>
      </c>
      <c r="B492" t="s">
        <v>3743</v>
      </c>
      <c r="C492" t="s">
        <v>74</v>
      </c>
      <c r="D492" t="s">
        <v>74</v>
      </c>
      <c r="E492" t="s">
        <v>74</v>
      </c>
      <c r="F492" t="s">
        <v>3739</v>
      </c>
      <c r="G492" t="s">
        <v>74</v>
      </c>
      <c r="H492" t="s">
        <v>74</v>
      </c>
      <c r="I492" t="s">
        <v>3744</v>
      </c>
      <c r="J492" t="s">
        <v>1523</v>
      </c>
      <c r="K492" t="s">
        <v>74</v>
      </c>
      <c r="L492" t="s">
        <v>74</v>
      </c>
      <c r="M492" t="s">
        <v>74</v>
      </c>
      <c r="N492" t="s">
        <v>74</v>
      </c>
      <c r="O492" t="s">
        <v>74</v>
      </c>
      <c r="P492" t="s">
        <v>74</v>
      </c>
      <c r="Q492" t="s">
        <v>74</v>
      </c>
      <c r="R492" t="s">
        <v>74</v>
      </c>
      <c r="S492" t="s">
        <v>74</v>
      </c>
      <c r="T492" t="s">
        <v>74</v>
      </c>
      <c r="U492" t="s">
        <v>74</v>
      </c>
      <c r="V492" t="s">
        <v>74</v>
      </c>
      <c r="W492" t="s">
        <v>74</v>
      </c>
      <c r="X492" t="s">
        <v>74</v>
      </c>
      <c r="Y492" t="s">
        <v>74</v>
      </c>
      <c r="Z492" t="s">
        <v>74</v>
      </c>
      <c r="AA492" t="s">
        <v>3745</v>
      </c>
      <c r="AB492" t="s">
        <v>3746</v>
      </c>
      <c r="AC492" t="s">
        <v>74</v>
      </c>
      <c r="AD492" t="s">
        <v>74</v>
      </c>
      <c r="AE492" t="s">
        <v>74</v>
      </c>
      <c r="AF492" t="s">
        <v>74</v>
      </c>
      <c r="AG492" t="s">
        <v>74</v>
      </c>
      <c r="AH492" t="s">
        <v>74</v>
      </c>
      <c r="AI492" t="s">
        <v>74</v>
      </c>
      <c r="AJ492" t="s">
        <v>74</v>
      </c>
      <c r="AK492" t="s">
        <v>74</v>
      </c>
      <c r="AL492" t="s">
        <v>74</v>
      </c>
      <c r="AM492" t="s">
        <v>74</v>
      </c>
      <c r="AN492" t="s">
        <v>74</v>
      </c>
      <c r="AO492" t="s">
        <v>1524</v>
      </c>
      <c r="AP492" t="s">
        <v>1525</v>
      </c>
      <c r="AQ492" t="s">
        <v>74</v>
      </c>
      <c r="AR492" t="s">
        <v>74</v>
      </c>
      <c r="AS492" t="s">
        <v>74</v>
      </c>
      <c r="AT492" t="s">
        <v>203</v>
      </c>
      <c r="AU492">
        <v>2016</v>
      </c>
      <c r="AV492">
        <v>97</v>
      </c>
      <c r="AW492">
        <v>4</v>
      </c>
      <c r="AX492" t="s">
        <v>74</v>
      </c>
      <c r="AY492" t="s">
        <v>74</v>
      </c>
      <c r="AZ492" t="s">
        <v>74</v>
      </c>
      <c r="BA492" t="s">
        <v>74</v>
      </c>
      <c r="BB492">
        <v>1081</v>
      </c>
      <c r="BC492">
        <v>1081</v>
      </c>
      <c r="BD492" t="s">
        <v>74</v>
      </c>
      <c r="BE492" t="s">
        <v>3747</v>
      </c>
      <c r="BF492" t="str">
        <f>HYPERLINK("http://dx.doi.org/10.1890/151275.1/suppinfo","http://dx.doi.org/10.1890/151275.1/suppinfo")</f>
        <v>http://dx.doi.org/10.1890/151275.1/suppinfo</v>
      </c>
      <c r="BG492" t="s">
        <v>74</v>
      </c>
      <c r="BH492" t="s">
        <v>74</v>
      </c>
      <c r="BI492" t="s">
        <v>74</v>
      </c>
      <c r="BJ492" t="s">
        <v>74</v>
      </c>
      <c r="BK492" t="s">
        <v>74</v>
      </c>
      <c r="BL492" t="s">
        <v>74</v>
      </c>
      <c r="BM492" t="s">
        <v>74</v>
      </c>
      <c r="BN492">
        <v>28792594</v>
      </c>
      <c r="BO492" t="s">
        <v>74</v>
      </c>
      <c r="BP492" t="s">
        <v>74</v>
      </c>
      <c r="BQ492" t="s">
        <v>74</v>
      </c>
      <c r="BR492" t="s">
        <v>74</v>
      </c>
      <c r="BS492" t="s">
        <v>3748</v>
      </c>
      <c r="BT492" t="str">
        <f>HYPERLINK("https%3A%2F%2Fwww.webofscience.com%2Fwos%2Fwoscc%2Ffull-record%2FWOS:000630183100001","View Full Record in Web of Science")</f>
        <v>View Full Record in Web of Science</v>
      </c>
    </row>
    <row r="493" spans="1:72" x14ac:dyDescent="0.2">
      <c r="A493" t="s">
        <v>72</v>
      </c>
      <c r="B493" t="s">
        <v>3749</v>
      </c>
      <c r="C493" t="s">
        <v>74</v>
      </c>
      <c r="D493" t="s">
        <v>74</v>
      </c>
      <c r="E493" t="s">
        <v>74</v>
      </c>
      <c r="F493" t="s">
        <v>3750</v>
      </c>
      <c r="G493" t="s">
        <v>74</v>
      </c>
      <c r="H493" t="s">
        <v>74</v>
      </c>
      <c r="I493" t="s">
        <v>3751</v>
      </c>
      <c r="J493" t="s">
        <v>2849</v>
      </c>
      <c r="K493" t="s">
        <v>74</v>
      </c>
      <c r="L493" t="s">
        <v>74</v>
      </c>
      <c r="M493" t="s">
        <v>74</v>
      </c>
      <c r="N493" t="s">
        <v>74</v>
      </c>
      <c r="O493" t="s">
        <v>74</v>
      </c>
      <c r="P493" t="s">
        <v>74</v>
      </c>
      <c r="Q493" t="s">
        <v>74</v>
      </c>
      <c r="R493" t="s">
        <v>74</v>
      </c>
      <c r="S493" t="s">
        <v>74</v>
      </c>
      <c r="T493" t="s">
        <v>74</v>
      </c>
      <c r="U493" t="s">
        <v>74</v>
      </c>
      <c r="V493" t="s">
        <v>74</v>
      </c>
      <c r="W493" t="s">
        <v>74</v>
      </c>
      <c r="X493" t="s">
        <v>74</v>
      </c>
      <c r="Y493" t="s">
        <v>74</v>
      </c>
      <c r="Z493" t="s">
        <v>74</v>
      </c>
      <c r="AA493" t="s">
        <v>3752</v>
      </c>
      <c r="AB493" t="s">
        <v>74</v>
      </c>
      <c r="AC493" t="s">
        <v>74</v>
      </c>
      <c r="AD493" t="s">
        <v>74</v>
      </c>
      <c r="AE493" t="s">
        <v>74</v>
      </c>
      <c r="AF493" t="s">
        <v>74</v>
      </c>
      <c r="AG493" t="s">
        <v>74</v>
      </c>
      <c r="AH493" t="s">
        <v>74</v>
      </c>
      <c r="AI493" t="s">
        <v>74</v>
      </c>
      <c r="AJ493" t="s">
        <v>74</v>
      </c>
      <c r="AK493" t="s">
        <v>74</v>
      </c>
      <c r="AL493" t="s">
        <v>74</v>
      </c>
      <c r="AM493" t="s">
        <v>74</v>
      </c>
      <c r="AN493" t="s">
        <v>74</v>
      </c>
      <c r="AO493" t="s">
        <v>2852</v>
      </c>
      <c r="AP493" t="s">
        <v>74</v>
      </c>
      <c r="AQ493" t="s">
        <v>74</v>
      </c>
      <c r="AR493" t="s">
        <v>74</v>
      </c>
      <c r="AS493" t="s">
        <v>74</v>
      </c>
      <c r="AT493" t="s">
        <v>203</v>
      </c>
      <c r="AU493">
        <v>2016</v>
      </c>
      <c r="AV493">
        <v>14</v>
      </c>
      <c r="AW493">
        <v>4</v>
      </c>
      <c r="AX493" t="s">
        <v>74</v>
      </c>
      <c r="AY493" t="s">
        <v>74</v>
      </c>
      <c r="AZ493" t="s">
        <v>74</v>
      </c>
      <c r="BA493" t="s">
        <v>74</v>
      </c>
      <c r="BB493">
        <v>231</v>
      </c>
      <c r="BC493">
        <v>244</v>
      </c>
      <c r="BD493" t="s">
        <v>74</v>
      </c>
      <c r="BE493" t="s">
        <v>3753</v>
      </c>
      <c r="BF493" t="str">
        <f>HYPERLINK("http://dx.doi.org/10.1002/lom3.10084","http://dx.doi.org/10.1002/lom3.10084")</f>
        <v>http://dx.doi.org/10.1002/lom3.10084</v>
      </c>
      <c r="BG493" t="s">
        <v>74</v>
      </c>
      <c r="BH493" t="s">
        <v>74</v>
      </c>
      <c r="BI493" t="s">
        <v>74</v>
      </c>
      <c r="BJ493" t="s">
        <v>74</v>
      </c>
      <c r="BK493" t="s">
        <v>74</v>
      </c>
      <c r="BL493" t="s">
        <v>74</v>
      </c>
      <c r="BM493" t="s">
        <v>74</v>
      </c>
      <c r="BN493" t="s">
        <v>74</v>
      </c>
      <c r="BO493" t="s">
        <v>74</v>
      </c>
      <c r="BP493" t="s">
        <v>74</v>
      </c>
      <c r="BQ493" t="s">
        <v>74</v>
      </c>
      <c r="BR493" t="s">
        <v>74</v>
      </c>
      <c r="BS493" t="s">
        <v>3754</v>
      </c>
      <c r="BT493" t="str">
        <f>HYPERLINK("https%3A%2F%2Fwww.webofscience.com%2Fwos%2Fwoscc%2Ffull-record%2FWOS:000374774300001","View Full Record in Web of Science")</f>
        <v>View Full Record in Web of Science</v>
      </c>
    </row>
    <row r="494" spans="1:72" x14ac:dyDescent="0.2">
      <c r="A494" t="s">
        <v>72</v>
      </c>
      <c r="B494" t="s">
        <v>3755</v>
      </c>
      <c r="C494" t="s">
        <v>74</v>
      </c>
      <c r="D494" t="s">
        <v>74</v>
      </c>
      <c r="E494" t="s">
        <v>74</v>
      </c>
      <c r="F494" t="s">
        <v>3756</v>
      </c>
      <c r="G494" t="s">
        <v>74</v>
      </c>
      <c r="H494" t="s">
        <v>74</v>
      </c>
      <c r="I494" t="s">
        <v>3757</v>
      </c>
      <c r="J494" t="s">
        <v>124</v>
      </c>
      <c r="K494" t="s">
        <v>74</v>
      </c>
      <c r="L494" t="s">
        <v>74</v>
      </c>
      <c r="M494" t="s">
        <v>74</v>
      </c>
      <c r="N494" t="s">
        <v>74</v>
      </c>
      <c r="O494" t="s">
        <v>74</v>
      </c>
      <c r="P494" t="s">
        <v>74</v>
      </c>
      <c r="Q494" t="s">
        <v>74</v>
      </c>
      <c r="R494" t="s">
        <v>74</v>
      </c>
      <c r="S494" t="s">
        <v>74</v>
      </c>
      <c r="T494" t="s">
        <v>74</v>
      </c>
      <c r="U494" t="s">
        <v>74</v>
      </c>
      <c r="V494" t="s">
        <v>74</v>
      </c>
      <c r="W494" t="s">
        <v>74</v>
      </c>
      <c r="X494" t="s">
        <v>74</v>
      </c>
      <c r="Y494" t="s">
        <v>74</v>
      </c>
      <c r="Z494" t="s">
        <v>74</v>
      </c>
      <c r="AA494" t="s">
        <v>3758</v>
      </c>
      <c r="AB494" t="s">
        <v>3759</v>
      </c>
      <c r="AC494" t="s">
        <v>74</v>
      </c>
      <c r="AD494" t="s">
        <v>74</v>
      </c>
      <c r="AE494" t="s">
        <v>74</v>
      </c>
      <c r="AF494" t="s">
        <v>74</v>
      </c>
      <c r="AG494" t="s">
        <v>74</v>
      </c>
      <c r="AH494" t="s">
        <v>74</v>
      </c>
      <c r="AI494" t="s">
        <v>74</v>
      </c>
      <c r="AJ494" t="s">
        <v>74</v>
      </c>
      <c r="AK494" t="s">
        <v>74</v>
      </c>
      <c r="AL494" t="s">
        <v>74</v>
      </c>
      <c r="AM494" t="s">
        <v>74</v>
      </c>
      <c r="AN494" t="s">
        <v>74</v>
      </c>
      <c r="AO494" t="s">
        <v>127</v>
      </c>
      <c r="AP494" t="s">
        <v>128</v>
      </c>
      <c r="AQ494" t="s">
        <v>74</v>
      </c>
      <c r="AR494" t="s">
        <v>74</v>
      </c>
      <c r="AS494" t="s">
        <v>74</v>
      </c>
      <c r="AT494" t="s">
        <v>157</v>
      </c>
      <c r="AU494">
        <v>2016</v>
      </c>
      <c r="AV494">
        <v>767</v>
      </c>
      <c r="AW494">
        <v>1</v>
      </c>
      <c r="AX494" t="s">
        <v>74</v>
      </c>
      <c r="AY494" t="s">
        <v>74</v>
      </c>
      <c r="AZ494" t="s">
        <v>74</v>
      </c>
      <c r="BA494" t="s">
        <v>74</v>
      </c>
      <c r="BB494">
        <v>221</v>
      </c>
      <c r="BC494">
        <v>233</v>
      </c>
      <c r="BD494" t="s">
        <v>74</v>
      </c>
      <c r="BE494" t="s">
        <v>3760</v>
      </c>
      <c r="BF494" t="str">
        <f>HYPERLINK("http://dx.doi.org/10.1007/s10750-015-2503-y","http://dx.doi.org/10.1007/s10750-015-2503-y")</f>
        <v>http://dx.doi.org/10.1007/s10750-015-2503-y</v>
      </c>
      <c r="BG494" t="s">
        <v>74</v>
      </c>
      <c r="BH494" t="s">
        <v>74</v>
      </c>
      <c r="BI494" t="s">
        <v>74</v>
      </c>
      <c r="BJ494" t="s">
        <v>74</v>
      </c>
      <c r="BK494" t="s">
        <v>74</v>
      </c>
      <c r="BL494" t="s">
        <v>74</v>
      </c>
      <c r="BM494" t="s">
        <v>74</v>
      </c>
      <c r="BN494" t="s">
        <v>74</v>
      </c>
      <c r="BO494" t="s">
        <v>74</v>
      </c>
      <c r="BP494" t="s">
        <v>74</v>
      </c>
      <c r="BQ494" t="s">
        <v>74</v>
      </c>
      <c r="BR494" t="s">
        <v>74</v>
      </c>
      <c r="BS494" t="s">
        <v>3761</v>
      </c>
      <c r="BT494" t="str">
        <f>HYPERLINK("https%3A%2F%2Fwww.webofscience.com%2Fwos%2Fwoscc%2Ffull-record%2FWOS:000369001000018","View Full Record in Web of Science")</f>
        <v>View Full Record in Web of Science</v>
      </c>
    </row>
    <row r="495" spans="1:72" x14ac:dyDescent="0.2">
      <c r="A495" t="s">
        <v>72</v>
      </c>
      <c r="B495" t="s">
        <v>3762</v>
      </c>
      <c r="C495" t="s">
        <v>74</v>
      </c>
      <c r="D495" t="s">
        <v>74</v>
      </c>
      <c r="E495" t="s">
        <v>74</v>
      </c>
      <c r="F495" t="s">
        <v>3763</v>
      </c>
      <c r="G495" t="s">
        <v>74</v>
      </c>
      <c r="H495" t="s">
        <v>74</v>
      </c>
      <c r="I495" t="s">
        <v>3764</v>
      </c>
      <c r="J495" t="s">
        <v>180</v>
      </c>
      <c r="K495" t="s">
        <v>74</v>
      </c>
      <c r="L495" t="s">
        <v>74</v>
      </c>
      <c r="M495" t="s">
        <v>74</v>
      </c>
      <c r="N495" t="s">
        <v>74</v>
      </c>
      <c r="O495" t="s">
        <v>74</v>
      </c>
      <c r="P495" t="s">
        <v>74</v>
      </c>
      <c r="Q495" t="s">
        <v>74</v>
      </c>
      <c r="R495" t="s">
        <v>74</v>
      </c>
      <c r="S495" t="s">
        <v>74</v>
      </c>
      <c r="T495" t="s">
        <v>74</v>
      </c>
      <c r="U495" t="s">
        <v>74</v>
      </c>
      <c r="V495" t="s">
        <v>74</v>
      </c>
      <c r="W495" t="s">
        <v>74</v>
      </c>
      <c r="X495" t="s">
        <v>74</v>
      </c>
      <c r="Y495" t="s">
        <v>74</v>
      </c>
      <c r="Z495" t="s">
        <v>74</v>
      </c>
      <c r="AA495" t="s">
        <v>3765</v>
      </c>
      <c r="AB495" t="s">
        <v>3766</v>
      </c>
      <c r="AC495" t="s">
        <v>74</v>
      </c>
      <c r="AD495" t="s">
        <v>74</v>
      </c>
      <c r="AE495" t="s">
        <v>74</v>
      </c>
      <c r="AF495" t="s">
        <v>74</v>
      </c>
      <c r="AG495" t="s">
        <v>74</v>
      </c>
      <c r="AH495" t="s">
        <v>74</v>
      </c>
      <c r="AI495" t="s">
        <v>74</v>
      </c>
      <c r="AJ495" t="s">
        <v>74</v>
      </c>
      <c r="AK495" t="s">
        <v>74</v>
      </c>
      <c r="AL495" t="s">
        <v>74</v>
      </c>
      <c r="AM495" t="s">
        <v>74</v>
      </c>
      <c r="AN495" t="s">
        <v>74</v>
      </c>
      <c r="AO495" t="s">
        <v>182</v>
      </c>
      <c r="AP495" t="s">
        <v>183</v>
      </c>
      <c r="AQ495" t="s">
        <v>74</v>
      </c>
      <c r="AR495" t="s">
        <v>74</v>
      </c>
      <c r="AS495" t="s">
        <v>74</v>
      </c>
      <c r="AT495" t="s">
        <v>157</v>
      </c>
      <c r="AU495">
        <v>2016</v>
      </c>
      <c r="AV495">
        <v>125</v>
      </c>
      <c r="AW495">
        <v>3</v>
      </c>
      <c r="AX495" t="s">
        <v>74</v>
      </c>
      <c r="AY495" t="s">
        <v>74</v>
      </c>
      <c r="AZ495" t="s">
        <v>74</v>
      </c>
      <c r="BA495" t="s">
        <v>74</v>
      </c>
      <c r="BB495">
        <v>424</v>
      </c>
      <c r="BC495">
        <v>433</v>
      </c>
      <c r="BD495" t="s">
        <v>74</v>
      </c>
      <c r="BE495" t="s">
        <v>3767</v>
      </c>
      <c r="BF495" t="str">
        <f>HYPERLINK("http://dx.doi.org/10.1111/oik.02220","http://dx.doi.org/10.1111/oik.02220")</f>
        <v>http://dx.doi.org/10.1111/oik.02220</v>
      </c>
      <c r="BG495" t="s">
        <v>74</v>
      </c>
      <c r="BH495" t="s">
        <v>74</v>
      </c>
      <c r="BI495" t="s">
        <v>74</v>
      </c>
      <c r="BJ495" t="s">
        <v>74</v>
      </c>
      <c r="BK495" t="s">
        <v>74</v>
      </c>
      <c r="BL495" t="s">
        <v>74</v>
      </c>
      <c r="BM495" t="s">
        <v>74</v>
      </c>
      <c r="BN495" t="s">
        <v>74</v>
      </c>
      <c r="BO495" t="s">
        <v>74</v>
      </c>
      <c r="BP495" t="s">
        <v>74</v>
      </c>
      <c r="BQ495" t="s">
        <v>74</v>
      </c>
      <c r="BR495" t="s">
        <v>74</v>
      </c>
      <c r="BS495" t="s">
        <v>3768</v>
      </c>
      <c r="BT495" t="str">
        <f>HYPERLINK("https%3A%2F%2Fwww.webofscience.com%2Fwos%2Fwoscc%2Ffull-record%2FWOS:000371222300016","View Full Record in Web of Science")</f>
        <v>View Full Record in Web of Science</v>
      </c>
    </row>
    <row r="496" spans="1:72" x14ac:dyDescent="0.2">
      <c r="A496" t="s">
        <v>72</v>
      </c>
      <c r="B496" t="s">
        <v>3769</v>
      </c>
      <c r="C496" t="s">
        <v>74</v>
      </c>
      <c r="D496" t="s">
        <v>74</v>
      </c>
      <c r="E496" t="s">
        <v>74</v>
      </c>
      <c r="F496" t="s">
        <v>3770</v>
      </c>
      <c r="G496" t="s">
        <v>74</v>
      </c>
      <c r="H496" t="s">
        <v>74</v>
      </c>
      <c r="I496" t="s">
        <v>3771</v>
      </c>
      <c r="J496" t="s">
        <v>190</v>
      </c>
      <c r="K496" t="s">
        <v>74</v>
      </c>
      <c r="L496" t="s">
        <v>74</v>
      </c>
      <c r="M496" t="s">
        <v>74</v>
      </c>
      <c r="N496" t="s">
        <v>74</v>
      </c>
      <c r="O496" t="s">
        <v>74</v>
      </c>
      <c r="P496" t="s">
        <v>74</v>
      </c>
      <c r="Q496" t="s">
        <v>74</v>
      </c>
      <c r="R496" t="s">
        <v>74</v>
      </c>
      <c r="S496" t="s">
        <v>74</v>
      </c>
      <c r="T496" t="s">
        <v>74</v>
      </c>
      <c r="U496" t="s">
        <v>74</v>
      </c>
      <c r="V496" t="s">
        <v>74</v>
      </c>
      <c r="W496" t="s">
        <v>74</v>
      </c>
      <c r="X496" t="s">
        <v>74</v>
      </c>
      <c r="Y496" t="s">
        <v>74</v>
      </c>
      <c r="Z496" t="s">
        <v>74</v>
      </c>
      <c r="AA496" t="s">
        <v>3772</v>
      </c>
      <c r="AB496" t="s">
        <v>3773</v>
      </c>
      <c r="AC496" t="s">
        <v>74</v>
      </c>
      <c r="AD496" t="s">
        <v>74</v>
      </c>
      <c r="AE496" t="s">
        <v>74</v>
      </c>
      <c r="AF496" t="s">
        <v>74</v>
      </c>
      <c r="AG496" t="s">
        <v>74</v>
      </c>
      <c r="AH496" t="s">
        <v>74</v>
      </c>
      <c r="AI496" t="s">
        <v>74</v>
      </c>
      <c r="AJ496" t="s">
        <v>74</v>
      </c>
      <c r="AK496" t="s">
        <v>74</v>
      </c>
      <c r="AL496" t="s">
        <v>74</v>
      </c>
      <c r="AM496" t="s">
        <v>74</v>
      </c>
      <c r="AN496" t="s">
        <v>74</v>
      </c>
      <c r="AO496" t="s">
        <v>191</v>
      </c>
      <c r="AP496" t="s">
        <v>74</v>
      </c>
      <c r="AQ496" t="s">
        <v>74</v>
      </c>
      <c r="AR496" t="s">
        <v>74</v>
      </c>
      <c r="AS496" t="s">
        <v>74</v>
      </c>
      <c r="AT496" t="s">
        <v>3774</v>
      </c>
      <c r="AU496">
        <v>2016</v>
      </c>
      <c r="AV496">
        <v>7</v>
      </c>
      <c r="AW496" t="s">
        <v>74</v>
      </c>
      <c r="AX496" t="s">
        <v>74</v>
      </c>
      <c r="AY496" t="s">
        <v>74</v>
      </c>
      <c r="AZ496" t="s">
        <v>74</v>
      </c>
      <c r="BA496" t="s">
        <v>74</v>
      </c>
      <c r="BB496" t="s">
        <v>74</v>
      </c>
      <c r="BC496" t="s">
        <v>74</v>
      </c>
      <c r="BD496">
        <v>114</v>
      </c>
      <c r="BE496" t="s">
        <v>3775</v>
      </c>
      <c r="BF496" t="str">
        <f>HYPERLINK("http://dx.doi.org/10.3389/fmicb.2016.00114","http://dx.doi.org/10.3389/fmicb.2016.00114")</f>
        <v>http://dx.doi.org/10.3389/fmicb.2016.00114</v>
      </c>
      <c r="BG496" t="s">
        <v>74</v>
      </c>
      <c r="BH496" t="s">
        <v>74</v>
      </c>
      <c r="BI496" t="s">
        <v>74</v>
      </c>
      <c r="BJ496" t="s">
        <v>74</v>
      </c>
      <c r="BK496" t="s">
        <v>74</v>
      </c>
      <c r="BL496" t="s">
        <v>74</v>
      </c>
      <c r="BM496" t="s">
        <v>74</v>
      </c>
      <c r="BN496">
        <v>26903993</v>
      </c>
      <c r="BO496" t="s">
        <v>74</v>
      </c>
      <c r="BP496" t="s">
        <v>74</v>
      </c>
      <c r="BQ496" t="s">
        <v>74</v>
      </c>
      <c r="BR496" t="s">
        <v>74</v>
      </c>
      <c r="BS496" t="s">
        <v>3776</v>
      </c>
      <c r="BT496" t="str">
        <f>HYPERLINK("https%3A%2F%2Fwww.webofscience.com%2Fwos%2Fwoscc%2Ffull-record%2FWOS:000443417500001","View Full Record in Web of Science")</f>
        <v>View Full Record in Web of Science</v>
      </c>
    </row>
    <row r="497" spans="1:72" x14ac:dyDescent="0.2">
      <c r="A497" t="s">
        <v>72</v>
      </c>
      <c r="B497" t="s">
        <v>3777</v>
      </c>
      <c r="C497" t="s">
        <v>74</v>
      </c>
      <c r="D497" t="s">
        <v>74</v>
      </c>
      <c r="E497" t="s">
        <v>74</v>
      </c>
      <c r="F497" t="s">
        <v>3778</v>
      </c>
      <c r="G497" t="s">
        <v>74</v>
      </c>
      <c r="H497" t="s">
        <v>74</v>
      </c>
      <c r="I497" t="s">
        <v>3779</v>
      </c>
      <c r="J497" t="s">
        <v>3780</v>
      </c>
      <c r="K497" t="s">
        <v>74</v>
      </c>
      <c r="L497" t="s">
        <v>74</v>
      </c>
      <c r="M497" t="s">
        <v>74</v>
      </c>
      <c r="N497" t="s">
        <v>74</v>
      </c>
      <c r="O497" t="s">
        <v>74</v>
      </c>
      <c r="P497" t="s">
        <v>74</v>
      </c>
      <c r="Q497" t="s">
        <v>74</v>
      </c>
      <c r="R497" t="s">
        <v>74</v>
      </c>
      <c r="S497" t="s">
        <v>74</v>
      </c>
      <c r="T497" t="s">
        <v>74</v>
      </c>
      <c r="U497" t="s">
        <v>74</v>
      </c>
      <c r="V497" t="s">
        <v>74</v>
      </c>
      <c r="W497" t="s">
        <v>74</v>
      </c>
      <c r="X497" t="s">
        <v>74</v>
      </c>
      <c r="Y497" t="s">
        <v>74</v>
      </c>
      <c r="Z497" t="s">
        <v>74</v>
      </c>
      <c r="AA497" t="s">
        <v>3781</v>
      </c>
      <c r="AB497" t="s">
        <v>74</v>
      </c>
      <c r="AC497" t="s">
        <v>74</v>
      </c>
      <c r="AD497" t="s">
        <v>74</v>
      </c>
      <c r="AE497" t="s">
        <v>74</v>
      </c>
      <c r="AF497" t="s">
        <v>74</v>
      </c>
      <c r="AG497" t="s">
        <v>74</v>
      </c>
      <c r="AH497" t="s">
        <v>74</v>
      </c>
      <c r="AI497" t="s">
        <v>74</v>
      </c>
      <c r="AJ497" t="s">
        <v>74</v>
      </c>
      <c r="AK497" t="s">
        <v>74</v>
      </c>
      <c r="AL497" t="s">
        <v>74</v>
      </c>
      <c r="AM497" t="s">
        <v>74</v>
      </c>
      <c r="AN497" t="s">
        <v>74</v>
      </c>
      <c r="AO497" t="s">
        <v>3782</v>
      </c>
      <c r="AP497" t="s">
        <v>3783</v>
      </c>
      <c r="AQ497" t="s">
        <v>74</v>
      </c>
      <c r="AR497" t="s">
        <v>74</v>
      </c>
      <c r="AS497" t="s">
        <v>74</v>
      </c>
      <c r="AT497" t="s">
        <v>416</v>
      </c>
      <c r="AU497">
        <v>2016</v>
      </c>
      <c r="AV497">
        <v>76</v>
      </c>
      <c r="AW497">
        <v>1</v>
      </c>
      <c r="AX497" t="s">
        <v>74</v>
      </c>
      <c r="AY497" t="s">
        <v>74</v>
      </c>
      <c r="AZ497" t="s">
        <v>74</v>
      </c>
      <c r="BA497" t="s">
        <v>74</v>
      </c>
      <c r="BB497">
        <v>154</v>
      </c>
      <c r="BC497">
        <v>161</v>
      </c>
      <c r="BD497" t="s">
        <v>74</v>
      </c>
      <c r="BE497" t="s">
        <v>3784</v>
      </c>
      <c r="BF497" t="str">
        <f>HYPERLINK("http://dx.doi.org/10.1590/1519-6984.15514","http://dx.doi.org/10.1590/1519-6984.15514")</f>
        <v>http://dx.doi.org/10.1590/1519-6984.15514</v>
      </c>
      <c r="BG497" t="s">
        <v>74</v>
      </c>
      <c r="BH497" t="s">
        <v>74</v>
      </c>
      <c r="BI497" t="s">
        <v>74</v>
      </c>
      <c r="BJ497" t="s">
        <v>74</v>
      </c>
      <c r="BK497" t="s">
        <v>74</v>
      </c>
      <c r="BL497" t="s">
        <v>74</v>
      </c>
      <c r="BM497" t="s">
        <v>74</v>
      </c>
      <c r="BN497">
        <v>26871750</v>
      </c>
      <c r="BO497" t="s">
        <v>74</v>
      </c>
      <c r="BP497" t="s">
        <v>74</v>
      </c>
      <c r="BQ497" t="s">
        <v>74</v>
      </c>
      <c r="BR497" t="s">
        <v>74</v>
      </c>
      <c r="BS497" t="s">
        <v>3785</v>
      </c>
      <c r="BT497" t="str">
        <f>HYPERLINK("https%3A%2F%2Fwww.webofscience.com%2Fwos%2Fwoscc%2Ffull-record%2FWOS:000371732700019","View Full Record in Web of Science")</f>
        <v>View Full Record in Web of Science</v>
      </c>
    </row>
    <row r="498" spans="1:72" x14ac:dyDescent="0.2">
      <c r="A498" t="s">
        <v>72</v>
      </c>
      <c r="B498" t="s">
        <v>3786</v>
      </c>
      <c r="C498" t="s">
        <v>74</v>
      </c>
      <c r="D498" t="s">
        <v>74</v>
      </c>
      <c r="E498" t="s">
        <v>74</v>
      </c>
      <c r="F498" t="s">
        <v>3787</v>
      </c>
      <c r="G498" t="s">
        <v>74</v>
      </c>
      <c r="H498" t="s">
        <v>74</v>
      </c>
      <c r="I498" t="s">
        <v>3788</v>
      </c>
      <c r="J498" t="s">
        <v>1299</v>
      </c>
      <c r="K498" t="s">
        <v>74</v>
      </c>
      <c r="L498" t="s">
        <v>74</v>
      </c>
      <c r="M498" t="s">
        <v>74</v>
      </c>
      <c r="N498" t="s">
        <v>74</v>
      </c>
      <c r="O498" t="s">
        <v>74</v>
      </c>
      <c r="P498" t="s">
        <v>74</v>
      </c>
      <c r="Q498" t="s">
        <v>74</v>
      </c>
      <c r="R498" t="s">
        <v>74</v>
      </c>
      <c r="S498" t="s">
        <v>74</v>
      </c>
      <c r="T498" t="s">
        <v>74</v>
      </c>
      <c r="U498" t="s">
        <v>74</v>
      </c>
      <c r="V498" t="s">
        <v>74</v>
      </c>
      <c r="W498" t="s">
        <v>74</v>
      </c>
      <c r="X498" t="s">
        <v>74</v>
      </c>
      <c r="Y498" t="s">
        <v>74</v>
      </c>
      <c r="Z498" t="s">
        <v>74</v>
      </c>
      <c r="AA498" t="s">
        <v>74</v>
      </c>
      <c r="AB498" t="s">
        <v>7057</v>
      </c>
      <c r="AC498" t="s">
        <v>74</v>
      </c>
      <c r="AD498" t="s">
        <v>74</v>
      </c>
      <c r="AE498" t="s">
        <v>74</v>
      </c>
      <c r="AF498" t="s">
        <v>74</v>
      </c>
      <c r="AG498" t="s">
        <v>74</v>
      </c>
      <c r="AH498" t="s">
        <v>74</v>
      </c>
      <c r="AI498" t="s">
        <v>74</v>
      </c>
      <c r="AJ498" t="s">
        <v>74</v>
      </c>
      <c r="AK498" t="s">
        <v>74</v>
      </c>
      <c r="AL498" t="s">
        <v>74</v>
      </c>
      <c r="AM498" t="s">
        <v>74</v>
      </c>
      <c r="AN498" t="s">
        <v>74</v>
      </c>
      <c r="AO498" t="s">
        <v>1302</v>
      </c>
      <c r="AP498" t="s">
        <v>1303</v>
      </c>
      <c r="AQ498" t="s">
        <v>74</v>
      </c>
      <c r="AR498" t="s">
        <v>74</v>
      </c>
      <c r="AS498" t="s">
        <v>74</v>
      </c>
      <c r="AT498" t="s">
        <v>416</v>
      </c>
      <c r="AU498">
        <v>2016</v>
      </c>
      <c r="AV498">
        <v>180</v>
      </c>
      <c r="AW498">
        <v>2</v>
      </c>
      <c r="AX498" t="s">
        <v>74</v>
      </c>
      <c r="AY498" t="s">
        <v>74</v>
      </c>
      <c r="AZ498" t="s">
        <v>74</v>
      </c>
      <c r="BA498" t="s">
        <v>74</v>
      </c>
      <c r="BB498">
        <v>543</v>
      </c>
      <c r="BC498">
        <v>550</v>
      </c>
      <c r="BD498" t="s">
        <v>74</v>
      </c>
      <c r="BE498" t="s">
        <v>3789</v>
      </c>
      <c r="BF498" t="str">
        <f>HYPERLINK("http://dx.doi.org/10.1007/s00442-015-3487-z","http://dx.doi.org/10.1007/s00442-015-3487-z")</f>
        <v>http://dx.doi.org/10.1007/s00442-015-3487-z</v>
      </c>
      <c r="BG498" t="s">
        <v>74</v>
      </c>
      <c r="BH498" t="s">
        <v>74</v>
      </c>
      <c r="BI498" t="s">
        <v>74</v>
      </c>
      <c r="BJ498" t="s">
        <v>74</v>
      </c>
      <c r="BK498" t="s">
        <v>74</v>
      </c>
      <c r="BL498" t="s">
        <v>74</v>
      </c>
      <c r="BM498" t="s">
        <v>74</v>
      </c>
      <c r="BN498">
        <v>26552379</v>
      </c>
      <c r="BO498" t="s">
        <v>74</v>
      </c>
      <c r="BP498" t="s">
        <v>74</v>
      </c>
      <c r="BQ498" t="s">
        <v>74</v>
      </c>
      <c r="BR498" t="s">
        <v>74</v>
      </c>
      <c r="BS498" t="s">
        <v>3790</v>
      </c>
      <c r="BT498" t="str">
        <f>HYPERLINK("https%3A%2F%2Fwww.webofscience.com%2Fwos%2Fwoscc%2Ffull-record%2FWOS:000368829300022","View Full Record in Web of Science")</f>
        <v>View Full Record in Web of Science</v>
      </c>
    </row>
    <row r="499" spans="1:72" x14ac:dyDescent="0.2">
      <c r="A499" t="s">
        <v>72</v>
      </c>
      <c r="B499" t="s">
        <v>3791</v>
      </c>
      <c r="C499" t="s">
        <v>74</v>
      </c>
      <c r="D499" t="s">
        <v>74</v>
      </c>
      <c r="E499" t="s">
        <v>74</v>
      </c>
      <c r="F499" t="s">
        <v>3792</v>
      </c>
      <c r="G499" t="s">
        <v>74</v>
      </c>
      <c r="H499" t="s">
        <v>74</v>
      </c>
      <c r="I499" t="s">
        <v>3793</v>
      </c>
      <c r="J499" t="s">
        <v>1716</v>
      </c>
      <c r="K499" t="s">
        <v>74</v>
      </c>
      <c r="L499" t="s">
        <v>74</v>
      </c>
      <c r="M499" t="s">
        <v>74</v>
      </c>
      <c r="N499" t="s">
        <v>74</v>
      </c>
      <c r="O499" t="s">
        <v>74</v>
      </c>
      <c r="P499" t="s">
        <v>74</v>
      </c>
      <c r="Q499" t="s">
        <v>74</v>
      </c>
      <c r="R499" t="s">
        <v>74</v>
      </c>
      <c r="S499" t="s">
        <v>74</v>
      </c>
      <c r="T499" t="s">
        <v>74</v>
      </c>
      <c r="U499" t="s">
        <v>74</v>
      </c>
      <c r="V499" t="s">
        <v>74</v>
      </c>
      <c r="W499" t="s">
        <v>74</v>
      </c>
      <c r="X499" t="s">
        <v>74</v>
      </c>
      <c r="Y499" t="s">
        <v>74</v>
      </c>
      <c r="Z499" t="s">
        <v>74</v>
      </c>
      <c r="AA499" t="s">
        <v>3794</v>
      </c>
      <c r="AB499" t="s">
        <v>7058</v>
      </c>
      <c r="AC499" t="s">
        <v>74</v>
      </c>
      <c r="AD499" t="s">
        <v>74</v>
      </c>
      <c r="AE499" t="s">
        <v>74</v>
      </c>
      <c r="AF499" t="s">
        <v>74</v>
      </c>
      <c r="AG499" t="s">
        <v>74</v>
      </c>
      <c r="AH499" t="s">
        <v>74</v>
      </c>
      <c r="AI499" t="s">
        <v>74</v>
      </c>
      <c r="AJ499" t="s">
        <v>74</v>
      </c>
      <c r="AK499" t="s">
        <v>74</v>
      </c>
      <c r="AL499" t="s">
        <v>74</v>
      </c>
      <c r="AM499" t="s">
        <v>74</v>
      </c>
      <c r="AN499" t="s">
        <v>74</v>
      </c>
      <c r="AO499" t="s">
        <v>1717</v>
      </c>
      <c r="AP499" t="s">
        <v>1718</v>
      </c>
      <c r="AQ499" t="s">
        <v>74</v>
      </c>
      <c r="AR499" t="s">
        <v>74</v>
      </c>
      <c r="AS499" t="s">
        <v>74</v>
      </c>
      <c r="AT499" t="s">
        <v>416</v>
      </c>
      <c r="AU499">
        <v>2016</v>
      </c>
      <c r="AV499">
        <v>52</v>
      </c>
      <c r="AW499">
        <v>1</v>
      </c>
      <c r="AX499" t="s">
        <v>74</v>
      </c>
      <c r="AY499" t="s">
        <v>74</v>
      </c>
      <c r="AZ499" t="s">
        <v>74</v>
      </c>
      <c r="BA499" t="s">
        <v>74</v>
      </c>
      <c r="BB499">
        <v>105</v>
      </c>
      <c r="BC499">
        <v>115</v>
      </c>
      <c r="BD499" t="s">
        <v>74</v>
      </c>
      <c r="BE499" t="s">
        <v>3795</v>
      </c>
      <c r="BF499" t="str">
        <f>HYPERLINK("http://dx.doi.org/10.1111/jpy.12372","http://dx.doi.org/10.1111/jpy.12372")</f>
        <v>http://dx.doi.org/10.1111/jpy.12372</v>
      </c>
      <c r="BG499" t="s">
        <v>74</v>
      </c>
      <c r="BH499" t="s">
        <v>74</v>
      </c>
      <c r="BI499" t="s">
        <v>74</v>
      </c>
      <c r="BJ499" t="s">
        <v>74</v>
      </c>
      <c r="BK499" t="s">
        <v>74</v>
      </c>
      <c r="BL499" t="s">
        <v>74</v>
      </c>
      <c r="BM499" t="s">
        <v>74</v>
      </c>
      <c r="BN499">
        <v>26987092</v>
      </c>
      <c r="BO499" t="s">
        <v>74</v>
      </c>
      <c r="BP499" t="s">
        <v>74</v>
      </c>
      <c r="BQ499" t="s">
        <v>74</v>
      </c>
      <c r="BR499" t="s">
        <v>74</v>
      </c>
      <c r="BS499" t="s">
        <v>3796</v>
      </c>
      <c r="BT499" t="str">
        <f>HYPERLINK("https%3A%2F%2Fwww.webofscience.com%2Fwos%2Fwoscc%2Ffull-record%2FWOS:000370005000009","View Full Record in Web of Science")</f>
        <v>View Full Record in Web of Science</v>
      </c>
    </row>
    <row r="500" spans="1:72" x14ac:dyDescent="0.2">
      <c r="A500" t="s">
        <v>72</v>
      </c>
      <c r="B500" t="s">
        <v>3797</v>
      </c>
      <c r="C500" t="s">
        <v>74</v>
      </c>
      <c r="D500" t="s">
        <v>74</v>
      </c>
      <c r="E500" t="s">
        <v>74</v>
      </c>
      <c r="F500" t="s">
        <v>3798</v>
      </c>
      <c r="G500" t="s">
        <v>74</v>
      </c>
      <c r="H500" t="s">
        <v>74</v>
      </c>
      <c r="I500" t="s">
        <v>3799</v>
      </c>
      <c r="J500" t="s">
        <v>180</v>
      </c>
      <c r="K500" t="s">
        <v>74</v>
      </c>
      <c r="L500" t="s">
        <v>74</v>
      </c>
      <c r="M500" t="s">
        <v>74</v>
      </c>
      <c r="N500" t="s">
        <v>74</v>
      </c>
      <c r="O500" t="s">
        <v>74</v>
      </c>
      <c r="P500" t="s">
        <v>74</v>
      </c>
      <c r="Q500" t="s">
        <v>74</v>
      </c>
      <c r="R500" t="s">
        <v>74</v>
      </c>
      <c r="S500" t="s">
        <v>74</v>
      </c>
      <c r="T500" t="s">
        <v>74</v>
      </c>
      <c r="U500" t="s">
        <v>74</v>
      </c>
      <c r="V500" t="s">
        <v>74</v>
      </c>
      <c r="W500" t="s">
        <v>74</v>
      </c>
      <c r="X500" t="s">
        <v>74</v>
      </c>
      <c r="Y500" t="s">
        <v>74</v>
      </c>
      <c r="Z500" t="s">
        <v>74</v>
      </c>
      <c r="AA500" t="s">
        <v>74</v>
      </c>
      <c r="AB500" t="s">
        <v>74</v>
      </c>
      <c r="AC500" t="s">
        <v>74</v>
      </c>
      <c r="AD500" t="s">
        <v>74</v>
      </c>
      <c r="AE500" t="s">
        <v>74</v>
      </c>
      <c r="AF500" t="s">
        <v>74</v>
      </c>
      <c r="AG500" t="s">
        <v>74</v>
      </c>
      <c r="AH500" t="s">
        <v>74</v>
      </c>
      <c r="AI500" t="s">
        <v>74</v>
      </c>
      <c r="AJ500" t="s">
        <v>74</v>
      </c>
      <c r="AK500" t="s">
        <v>74</v>
      </c>
      <c r="AL500" t="s">
        <v>74</v>
      </c>
      <c r="AM500" t="s">
        <v>74</v>
      </c>
      <c r="AN500" t="s">
        <v>74</v>
      </c>
      <c r="AO500" t="s">
        <v>182</v>
      </c>
      <c r="AP500" t="s">
        <v>183</v>
      </c>
      <c r="AQ500" t="s">
        <v>74</v>
      </c>
      <c r="AR500" t="s">
        <v>74</v>
      </c>
      <c r="AS500" t="s">
        <v>74</v>
      </c>
      <c r="AT500" t="s">
        <v>416</v>
      </c>
      <c r="AU500">
        <v>2016</v>
      </c>
      <c r="AV500">
        <v>125</v>
      </c>
      <c r="AW500">
        <v>2</v>
      </c>
      <c r="AX500" t="s">
        <v>74</v>
      </c>
      <c r="AY500" t="s">
        <v>74</v>
      </c>
      <c r="AZ500" t="s">
        <v>74</v>
      </c>
      <c r="BA500" t="s">
        <v>74</v>
      </c>
      <c r="BB500">
        <v>179</v>
      </c>
      <c r="BC500">
        <v>191</v>
      </c>
      <c r="BD500" t="s">
        <v>74</v>
      </c>
      <c r="BE500" t="s">
        <v>3800</v>
      </c>
      <c r="BF500" t="str">
        <f>HYPERLINK("http://dx.doi.org/10.1111/oik.02480","http://dx.doi.org/10.1111/oik.02480")</f>
        <v>http://dx.doi.org/10.1111/oik.02480</v>
      </c>
      <c r="BG500" t="s">
        <v>74</v>
      </c>
      <c r="BH500" t="s">
        <v>74</v>
      </c>
      <c r="BI500" t="s">
        <v>74</v>
      </c>
      <c r="BJ500" t="s">
        <v>74</v>
      </c>
      <c r="BK500" t="s">
        <v>74</v>
      </c>
      <c r="BL500" t="s">
        <v>74</v>
      </c>
      <c r="BM500" t="s">
        <v>74</v>
      </c>
      <c r="BN500" t="s">
        <v>74</v>
      </c>
      <c r="BO500" t="s">
        <v>74</v>
      </c>
      <c r="BP500" t="s">
        <v>74</v>
      </c>
      <c r="BQ500" t="s">
        <v>74</v>
      </c>
      <c r="BR500" t="s">
        <v>74</v>
      </c>
      <c r="BS500" t="s">
        <v>3801</v>
      </c>
      <c r="BT500" t="str">
        <f>HYPERLINK("https%3A%2F%2Fwww.webofscience.com%2Fwos%2Fwoscc%2Ffull-record%2FWOS:000369952100004","View Full Record in Web of Science")</f>
        <v>View Full Record in Web of Science</v>
      </c>
    </row>
    <row r="501" spans="1:72" x14ac:dyDescent="0.2">
      <c r="A501" t="s">
        <v>72</v>
      </c>
      <c r="B501" t="s">
        <v>3802</v>
      </c>
      <c r="C501" t="s">
        <v>74</v>
      </c>
      <c r="D501" t="s">
        <v>74</v>
      </c>
      <c r="E501" t="s">
        <v>74</v>
      </c>
      <c r="F501" t="s">
        <v>3803</v>
      </c>
      <c r="G501" t="s">
        <v>74</v>
      </c>
      <c r="H501" t="s">
        <v>74</v>
      </c>
      <c r="I501" t="s">
        <v>3804</v>
      </c>
      <c r="J501" t="s">
        <v>3805</v>
      </c>
      <c r="K501" t="s">
        <v>74</v>
      </c>
      <c r="L501" t="s">
        <v>74</v>
      </c>
      <c r="M501" t="s">
        <v>74</v>
      </c>
      <c r="N501" t="s">
        <v>74</v>
      </c>
      <c r="O501" t="s">
        <v>74</v>
      </c>
      <c r="P501" t="s">
        <v>74</v>
      </c>
      <c r="Q501" t="s">
        <v>74</v>
      </c>
      <c r="R501" t="s">
        <v>74</v>
      </c>
      <c r="S501" t="s">
        <v>74</v>
      </c>
      <c r="T501" t="s">
        <v>74</v>
      </c>
      <c r="U501" t="s">
        <v>74</v>
      </c>
      <c r="V501" t="s">
        <v>74</v>
      </c>
      <c r="W501" t="s">
        <v>74</v>
      </c>
      <c r="X501" t="s">
        <v>74</v>
      </c>
      <c r="Y501" t="s">
        <v>74</v>
      </c>
      <c r="Z501" t="s">
        <v>74</v>
      </c>
      <c r="AA501" t="s">
        <v>3806</v>
      </c>
      <c r="AB501" t="s">
        <v>3807</v>
      </c>
      <c r="AC501" t="s">
        <v>74</v>
      </c>
      <c r="AD501" t="s">
        <v>74</v>
      </c>
      <c r="AE501" t="s">
        <v>74</v>
      </c>
      <c r="AF501" t="s">
        <v>74</v>
      </c>
      <c r="AG501" t="s">
        <v>74</v>
      </c>
      <c r="AH501" t="s">
        <v>74</v>
      </c>
      <c r="AI501" t="s">
        <v>74</v>
      </c>
      <c r="AJ501" t="s">
        <v>74</v>
      </c>
      <c r="AK501" t="s">
        <v>74</v>
      </c>
      <c r="AL501" t="s">
        <v>74</v>
      </c>
      <c r="AM501" t="s">
        <v>74</v>
      </c>
      <c r="AN501" t="s">
        <v>74</v>
      </c>
      <c r="AO501" t="s">
        <v>3808</v>
      </c>
      <c r="AP501" t="s">
        <v>3809</v>
      </c>
      <c r="AQ501" t="s">
        <v>74</v>
      </c>
      <c r="AR501" t="s">
        <v>74</v>
      </c>
      <c r="AS501" t="s">
        <v>74</v>
      </c>
      <c r="AT501" t="s">
        <v>790</v>
      </c>
      <c r="AU501">
        <v>2016</v>
      </c>
      <c r="AV501">
        <v>320</v>
      </c>
      <c r="AW501" t="s">
        <v>74</v>
      </c>
      <c r="AX501" t="s">
        <v>74</v>
      </c>
      <c r="AY501" t="s">
        <v>74</v>
      </c>
      <c r="AZ501" t="s">
        <v>74</v>
      </c>
      <c r="BA501" t="s">
        <v>74</v>
      </c>
      <c r="BB501">
        <v>393</v>
      </c>
      <c r="BC501">
        <v>406</v>
      </c>
      <c r="BD501" t="s">
        <v>74</v>
      </c>
      <c r="BE501" t="s">
        <v>3810</v>
      </c>
      <c r="BF501" t="str">
        <f>HYPERLINK("http://dx.doi.org/10.1016/j.ecolmodel.2015.10.028","http://dx.doi.org/10.1016/j.ecolmodel.2015.10.028")</f>
        <v>http://dx.doi.org/10.1016/j.ecolmodel.2015.10.028</v>
      </c>
      <c r="BG501" t="s">
        <v>74</v>
      </c>
      <c r="BH501" t="s">
        <v>74</v>
      </c>
      <c r="BI501" t="s">
        <v>74</v>
      </c>
      <c r="BJ501" t="s">
        <v>74</v>
      </c>
      <c r="BK501" t="s">
        <v>74</v>
      </c>
      <c r="BL501" t="s">
        <v>74</v>
      </c>
      <c r="BM501" t="s">
        <v>74</v>
      </c>
      <c r="BN501" t="s">
        <v>74</v>
      </c>
      <c r="BO501" t="s">
        <v>74</v>
      </c>
      <c r="BP501" t="s">
        <v>74</v>
      </c>
      <c r="BQ501" t="s">
        <v>74</v>
      </c>
      <c r="BR501" t="s">
        <v>74</v>
      </c>
      <c r="BS501" t="s">
        <v>3811</v>
      </c>
      <c r="BT501" t="str">
        <f>HYPERLINK("https%3A%2F%2Fwww.webofscience.com%2Fwos%2Fwoscc%2Ffull-record%2FWOS:000368313300035","View Full Record in Web of Science")</f>
        <v>View Full Record in Web of Science</v>
      </c>
    </row>
    <row r="502" spans="1:72" x14ac:dyDescent="0.2">
      <c r="A502" t="s">
        <v>72</v>
      </c>
      <c r="B502" t="s">
        <v>3812</v>
      </c>
      <c r="C502" t="s">
        <v>74</v>
      </c>
      <c r="D502" t="s">
        <v>74</v>
      </c>
      <c r="E502" t="s">
        <v>74</v>
      </c>
      <c r="F502" t="s">
        <v>3813</v>
      </c>
      <c r="G502" t="s">
        <v>74</v>
      </c>
      <c r="H502" t="s">
        <v>74</v>
      </c>
      <c r="I502" t="s">
        <v>3814</v>
      </c>
      <c r="J502" t="s">
        <v>973</v>
      </c>
      <c r="K502" t="s">
        <v>74</v>
      </c>
      <c r="L502" t="s">
        <v>74</v>
      </c>
      <c r="M502" t="s">
        <v>74</v>
      </c>
      <c r="N502" t="s">
        <v>74</v>
      </c>
      <c r="O502" t="s">
        <v>3815</v>
      </c>
      <c r="P502" t="s">
        <v>3816</v>
      </c>
      <c r="Q502" t="s">
        <v>3817</v>
      </c>
      <c r="R502" t="s">
        <v>74</v>
      </c>
      <c r="S502" t="s">
        <v>74</v>
      </c>
      <c r="T502" t="s">
        <v>74</v>
      </c>
      <c r="U502" t="s">
        <v>74</v>
      </c>
      <c r="V502" t="s">
        <v>74</v>
      </c>
      <c r="W502" t="s">
        <v>74</v>
      </c>
      <c r="X502" t="s">
        <v>74</v>
      </c>
      <c r="Y502" t="s">
        <v>74</v>
      </c>
      <c r="Z502" t="s">
        <v>74</v>
      </c>
      <c r="AA502" t="s">
        <v>3818</v>
      </c>
      <c r="AB502" t="s">
        <v>3819</v>
      </c>
      <c r="AC502" t="s">
        <v>74</v>
      </c>
      <c r="AD502" t="s">
        <v>74</v>
      </c>
      <c r="AE502" t="s">
        <v>74</v>
      </c>
      <c r="AF502" t="s">
        <v>74</v>
      </c>
      <c r="AG502" t="s">
        <v>74</v>
      </c>
      <c r="AH502" t="s">
        <v>74</v>
      </c>
      <c r="AI502" t="s">
        <v>74</v>
      </c>
      <c r="AJ502" t="s">
        <v>74</v>
      </c>
      <c r="AK502" t="s">
        <v>74</v>
      </c>
      <c r="AL502" t="s">
        <v>74</v>
      </c>
      <c r="AM502" t="s">
        <v>74</v>
      </c>
      <c r="AN502" t="s">
        <v>74</v>
      </c>
      <c r="AO502" t="s">
        <v>974</v>
      </c>
      <c r="AP502" t="s">
        <v>975</v>
      </c>
      <c r="AQ502" t="s">
        <v>74</v>
      </c>
      <c r="AR502" t="s">
        <v>74</v>
      </c>
      <c r="AS502" t="s">
        <v>74</v>
      </c>
      <c r="AT502" t="s">
        <v>1037</v>
      </c>
      <c r="AU502">
        <v>2016</v>
      </c>
      <c r="AV502">
        <v>168</v>
      </c>
      <c r="AW502" t="s">
        <v>74</v>
      </c>
      <c r="AX502" t="s">
        <v>74</v>
      </c>
      <c r="AY502" t="s">
        <v>74</v>
      </c>
      <c r="AZ502" t="s">
        <v>74</v>
      </c>
      <c r="BA502" t="s">
        <v>74</v>
      </c>
      <c r="BB502">
        <v>71</v>
      </c>
      <c r="BC502">
        <v>79</v>
      </c>
      <c r="BD502" t="s">
        <v>74</v>
      </c>
      <c r="BE502" t="s">
        <v>3820</v>
      </c>
      <c r="BF502" t="str">
        <f>HYPERLINK("http://dx.doi.org/10.1016/j.ecss.2015.11.013","http://dx.doi.org/10.1016/j.ecss.2015.11.013")</f>
        <v>http://dx.doi.org/10.1016/j.ecss.2015.11.013</v>
      </c>
      <c r="BG502" t="s">
        <v>74</v>
      </c>
      <c r="BH502" t="s">
        <v>74</v>
      </c>
      <c r="BI502" t="s">
        <v>74</v>
      </c>
      <c r="BJ502" t="s">
        <v>74</v>
      </c>
      <c r="BK502" t="s">
        <v>74</v>
      </c>
      <c r="BL502" t="s">
        <v>74</v>
      </c>
      <c r="BM502" t="s">
        <v>74</v>
      </c>
      <c r="BN502" t="s">
        <v>74</v>
      </c>
      <c r="BO502" t="s">
        <v>74</v>
      </c>
      <c r="BP502" t="s">
        <v>74</v>
      </c>
      <c r="BQ502" t="s">
        <v>74</v>
      </c>
      <c r="BR502" t="s">
        <v>74</v>
      </c>
      <c r="BS502" t="s">
        <v>3821</v>
      </c>
      <c r="BT502" t="str">
        <f>HYPERLINK("https%3A%2F%2Fwww.webofscience.com%2Fwos%2Fwoscc%2Ffull-record%2FWOS:000368208700009","View Full Record in Web of Science")</f>
        <v>View Full Record in Web of Science</v>
      </c>
    </row>
    <row r="503" spans="1:72" x14ac:dyDescent="0.2">
      <c r="A503" t="s">
        <v>72</v>
      </c>
      <c r="B503" t="s">
        <v>3822</v>
      </c>
      <c r="C503" t="s">
        <v>74</v>
      </c>
      <c r="D503" t="s">
        <v>74</v>
      </c>
      <c r="E503" t="s">
        <v>74</v>
      </c>
      <c r="F503" t="s">
        <v>3823</v>
      </c>
      <c r="G503" t="s">
        <v>74</v>
      </c>
      <c r="H503" t="s">
        <v>74</v>
      </c>
      <c r="I503" t="s">
        <v>3824</v>
      </c>
      <c r="J503" t="s">
        <v>310</v>
      </c>
      <c r="K503" t="s">
        <v>74</v>
      </c>
      <c r="L503" t="s">
        <v>74</v>
      </c>
      <c r="M503" t="s">
        <v>74</v>
      </c>
      <c r="N503" t="s">
        <v>74</v>
      </c>
      <c r="O503" t="s">
        <v>74</v>
      </c>
      <c r="P503" t="s">
        <v>74</v>
      </c>
      <c r="Q503" t="s">
        <v>74</v>
      </c>
      <c r="R503" t="s">
        <v>74</v>
      </c>
      <c r="S503" t="s">
        <v>74</v>
      </c>
      <c r="T503" t="s">
        <v>74</v>
      </c>
      <c r="U503" t="s">
        <v>74</v>
      </c>
      <c r="V503" t="s">
        <v>74</v>
      </c>
      <c r="W503" t="s">
        <v>74</v>
      </c>
      <c r="X503" t="s">
        <v>74</v>
      </c>
      <c r="Y503" t="s">
        <v>74</v>
      </c>
      <c r="Z503" t="s">
        <v>74</v>
      </c>
      <c r="AA503" t="s">
        <v>7059</v>
      </c>
      <c r="AB503" t="s">
        <v>7060</v>
      </c>
      <c r="AC503" t="s">
        <v>74</v>
      </c>
      <c r="AD503" t="s">
        <v>74</v>
      </c>
      <c r="AE503" t="s">
        <v>74</v>
      </c>
      <c r="AF503" t="s">
        <v>74</v>
      </c>
      <c r="AG503" t="s">
        <v>74</v>
      </c>
      <c r="AH503" t="s">
        <v>74</v>
      </c>
      <c r="AI503" t="s">
        <v>74</v>
      </c>
      <c r="AJ503" t="s">
        <v>74</v>
      </c>
      <c r="AK503" t="s">
        <v>74</v>
      </c>
      <c r="AL503" t="s">
        <v>74</v>
      </c>
      <c r="AM503" t="s">
        <v>74</v>
      </c>
      <c r="AN503" t="s">
        <v>74</v>
      </c>
      <c r="AO503" t="s">
        <v>313</v>
      </c>
      <c r="AP503" t="s">
        <v>314</v>
      </c>
      <c r="AQ503" t="s">
        <v>74</v>
      </c>
      <c r="AR503" t="s">
        <v>74</v>
      </c>
      <c r="AS503" t="s">
        <v>74</v>
      </c>
      <c r="AT503" t="s">
        <v>315</v>
      </c>
      <c r="AU503">
        <v>2016</v>
      </c>
      <c r="AV503">
        <v>22</v>
      </c>
      <c r="AW503">
        <v>1</v>
      </c>
      <c r="AX503" t="s">
        <v>74</v>
      </c>
      <c r="AY503" t="s">
        <v>74</v>
      </c>
      <c r="AZ503" t="s">
        <v>74</v>
      </c>
      <c r="BA503" t="s">
        <v>74</v>
      </c>
      <c r="BB503">
        <v>299</v>
      </c>
      <c r="BC503">
        <v>309</v>
      </c>
      <c r="BD503" t="s">
        <v>74</v>
      </c>
      <c r="BE503" t="s">
        <v>3825</v>
      </c>
      <c r="BF503" t="str">
        <f>HYPERLINK("http://dx.doi.org/10.1111/gcb.13095","http://dx.doi.org/10.1111/gcb.13095")</f>
        <v>http://dx.doi.org/10.1111/gcb.13095</v>
      </c>
      <c r="BG503" t="s">
        <v>74</v>
      </c>
      <c r="BH503" t="s">
        <v>74</v>
      </c>
      <c r="BI503" t="s">
        <v>74</v>
      </c>
      <c r="BJ503" t="s">
        <v>74</v>
      </c>
      <c r="BK503" t="s">
        <v>74</v>
      </c>
      <c r="BL503" t="s">
        <v>74</v>
      </c>
      <c r="BM503" t="s">
        <v>74</v>
      </c>
      <c r="BN503">
        <v>26488235</v>
      </c>
      <c r="BO503" t="s">
        <v>74</v>
      </c>
      <c r="BP503" t="s">
        <v>74</v>
      </c>
      <c r="BQ503" t="s">
        <v>74</v>
      </c>
      <c r="BR503" t="s">
        <v>74</v>
      </c>
      <c r="BS503" t="s">
        <v>3826</v>
      </c>
      <c r="BT503" t="str">
        <f>HYPERLINK("https%3A%2F%2Fwww.webofscience.com%2Fwos%2Fwoscc%2Ffull-record%2FWOS:000367982900024","View Full Record in Web of Science")</f>
        <v>View Full Record in Web of Science</v>
      </c>
    </row>
    <row r="504" spans="1:72" x14ac:dyDescent="0.2">
      <c r="A504" t="s">
        <v>72</v>
      </c>
      <c r="B504" t="s">
        <v>3827</v>
      </c>
      <c r="C504" t="s">
        <v>74</v>
      </c>
      <c r="D504" t="s">
        <v>74</v>
      </c>
      <c r="E504" t="s">
        <v>74</v>
      </c>
      <c r="F504" t="s">
        <v>3828</v>
      </c>
      <c r="G504" t="s">
        <v>74</v>
      </c>
      <c r="H504" t="s">
        <v>74</v>
      </c>
      <c r="I504" t="s">
        <v>3829</v>
      </c>
      <c r="J504" t="s">
        <v>3830</v>
      </c>
      <c r="K504" t="s">
        <v>74</v>
      </c>
      <c r="L504" t="s">
        <v>74</v>
      </c>
      <c r="M504" t="s">
        <v>74</v>
      </c>
      <c r="N504" t="s">
        <v>74</v>
      </c>
      <c r="O504" t="s">
        <v>74</v>
      </c>
      <c r="P504" t="s">
        <v>74</v>
      </c>
      <c r="Q504" t="s">
        <v>74</v>
      </c>
      <c r="R504" t="s">
        <v>74</v>
      </c>
      <c r="S504" t="s">
        <v>74</v>
      </c>
      <c r="T504" t="s">
        <v>74</v>
      </c>
      <c r="U504" t="s">
        <v>74</v>
      </c>
      <c r="V504" t="s">
        <v>74</v>
      </c>
      <c r="W504" t="s">
        <v>74</v>
      </c>
      <c r="X504" t="s">
        <v>74</v>
      </c>
      <c r="Y504" t="s">
        <v>74</v>
      </c>
      <c r="Z504" t="s">
        <v>74</v>
      </c>
      <c r="AA504" t="s">
        <v>3831</v>
      </c>
      <c r="AB504" t="s">
        <v>3832</v>
      </c>
      <c r="AC504" t="s">
        <v>74</v>
      </c>
      <c r="AD504" t="s">
        <v>74</v>
      </c>
      <c r="AE504" t="s">
        <v>74</v>
      </c>
      <c r="AF504" t="s">
        <v>74</v>
      </c>
      <c r="AG504" t="s">
        <v>74</v>
      </c>
      <c r="AH504" t="s">
        <v>74</v>
      </c>
      <c r="AI504" t="s">
        <v>74</v>
      </c>
      <c r="AJ504" t="s">
        <v>74</v>
      </c>
      <c r="AK504" t="s">
        <v>74</v>
      </c>
      <c r="AL504" t="s">
        <v>74</v>
      </c>
      <c r="AM504" t="s">
        <v>74</v>
      </c>
      <c r="AN504" t="s">
        <v>74</v>
      </c>
      <c r="AO504" t="s">
        <v>3833</v>
      </c>
      <c r="AP504" t="s">
        <v>74</v>
      </c>
      <c r="AQ504" t="s">
        <v>74</v>
      </c>
      <c r="AR504" t="s">
        <v>74</v>
      </c>
      <c r="AS504" t="s">
        <v>74</v>
      </c>
      <c r="AT504" t="s">
        <v>3834</v>
      </c>
      <c r="AU504">
        <v>2016</v>
      </c>
      <c r="AV504">
        <v>7</v>
      </c>
      <c r="AW504">
        <v>1</v>
      </c>
      <c r="AX504" t="s">
        <v>74</v>
      </c>
      <c r="AY504" t="s">
        <v>74</v>
      </c>
      <c r="AZ504" t="s">
        <v>74</v>
      </c>
      <c r="BA504" t="s">
        <v>74</v>
      </c>
      <c r="BB504">
        <v>1077</v>
      </c>
      <c r="BC504">
        <v>1085</v>
      </c>
      <c r="BD504" t="s">
        <v>74</v>
      </c>
      <c r="BE504" t="s">
        <v>74</v>
      </c>
      <c r="BF504" t="s">
        <v>74</v>
      </c>
      <c r="BG504" t="s">
        <v>74</v>
      </c>
      <c r="BH504" t="s">
        <v>74</v>
      </c>
      <c r="BI504" t="s">
        <v>74</v>
      </c>
      <c r="BJ504" t="s">
        <v>74</v>
      </c>
      <c r="BK504" t="s">
        <v>74</v>
      </c>
      <c r="BL504" t="s">
        <v>74</v>
      </c>
      <c r="BM504" t="s">
        <v>74</v>
      </c>
      <c r="BN504" t="s">
        <v>74</v>
      </c>
      <c r="BO504" t="s">
        <v>74</v>
      </c>
      <c r="BP504" t="s">
        <v>74</v>
      </c>
      <c r="BQ504" t="s">
        <v>74</v>
      </c>
      <c r="BR504" t="s">
        <v>74</v>
      </c>
      <c r="BS504" t="s">
        <v>3835</v>
      </c>
      <c r="BT504" t="str">
        <f>HYPERLINK("https%3A%2F%2Fwww.webofscience.com%2Fwos%2Fwoscc%2Ffull-record%2FWOS:000410536300027","View Full Record in Web of Science")</f>
        <v>View Full Record in Web of Science</v>
      </c>
    </row>
    <row r="505" spans="1:72" x14ac:dyDescent="0.2">
      <c r="A505" t="s">
        <v>72</v>
      </c>
      <c r="B505" t="s">
        <v>3836</v>
      </c>
      <c r="C505" t="s">
        <v>74</v>
      </c>
      <c r="D505" t="s">
        <v>74</v>
      </c>
      <c r="E505" t="s">
        <v>74</v>
      </c>
      <c r="F505" t="s">
        <v>3837</v>
      </c>
      <c r="G505" t="s">
        <v>74</v>
      </c>
      <c r="H505" t="s">
        <v>74</v>
      </c>
      <c r="I505" t="s">
        <v>3838</v>
      </c>
      <c r="J505" t="s">
        <v>1543</v>
      </c>
      <c r="K505" t="s">
        <v>74</v>
      </c>
      <c r="L505" t="s">
        <v>74</v>
      </c>
      <c r="M505" t="s">
        <v>74</v>
      </c>
      <c r="N505" t="s">
        <v>74</v>
      </c>
      <c r="O505" t="s">
        <v>74</v>
      </c>
      <c r="P505" t="s">
        <v>74</v>
      </c>
      <c r="Q505" t="s">
        <v>74</v>
      </c>
      <c r="R505" t="s">
        <v>74</v>
      </c>
      <c r="S505" t="s">
        <v>74</v>
      </c>
      <c r="T505" t="s">
        <v>74</v>
      </c>
      <c r="U505" t="s">
        <v>74</v>
      </c>
      <c r="V505" t="s">
        <v>74</v>
      </c>
      <c r="W505" t="s">
        <v>74</v>
      </c>
      <c r="X505" t="s">
        <v>74</v>
      </c>
      <c r="Y505" t="s">
        <v>74</v>
      </c>
      <c r="Z505" t="s">
        <v>74</v>
      </c>
      <c r="AA505" t="s">
        <v>74</v>
      </c>
      <c r="AB505" t="s">
        <v>74</v>
      </c>
      <c r="AC505" t="s">
        <v>74</v>
      </c>
      <c r="AD505" t="s">
        <v>74</v>
      </c>
      <c r="AE505" t="s">
        <v>74</v>
      </c>
      <c r="AF505" t="s">
        <v>74</v>
      </c>
      <c r="AG505" t="s">
        <v>74</v>
      </c>
      <c r="AH505" t="s">
        <v>74</v>
      </c>
      <c r="AI505" t="s">
        <v>74</v>
      </c>
      <c r="AJ505" t="s">
        <v>74</v>
      </c>
      <c r="AK505" t="s">
        <v>74</v>
      </c>
      <c r="AL505" t="s">
        <v>74</v>
      </c>
      <c r="AM505" t="s">
        <v>74</v>
      </c>
      <c r="AN505" t="s">
        <v>74</v>
      </c>
      <c r="AO505" t="s">
        <v>1545</v>
      </c>
      <c r="AP505" t="s">
        <v>1546</v>
      </c>
      <c r="AQ505" t="s">
        <v>74</v>
      </c>
      <c r="AR505" t="s">
        <v>74</v>
      </c>
      <c r="AS505" t="s">
        <v>74</v>
      </c>
      <c r="AT505" t="s">
        <v>74</v>
      </c>
      <c r="AU505">
        <v>2016</v>
      </c>
      <c r="AV505">
        <v>6</v>
      </c>
      <c r="AW505">
        <v>2</v>
      </c>
      <c r="AX505" t="s">
        <v>74</v>
      </c>
      <c r="AY505" t="s">
        <v>74</v>
      </c>
      <c r="AZ505" t="s">
        <v>74</v>
      </c>
      <c r="BA505" t="s">
        <v>74</v>
      </c>
      <c r="BB505">
        <v>147</v>
      </c>
      <c r="BC505">
        <v>154</v>
      </c>
      <c r="BD505" t="s">
        <v>74</v>
      </c>
      <c r="BE505" t="s">
        <v>3839</v>
      </c>
      <c r="BF505" t="str">
        <f>HYPERLINK("http://dx.doi.org/10.5268/IW-6.2.937","http://dx.doi.org/10.5268/IW-6.2.937")</f>
        <v>http://dx.doi.org/10.5268/IW-6.2.937</v>
      </c>
      <c r="BG505" t="s">
        <v>74</v>
      </c>
      <c r="BH505" t="s">
        <v>74</v>
      </c>
      <c r="BI505" t="s">
        <v>74</v>
      </c>
      <c r="BJ505" t="s">
        <v>74</v>
      </c>
      <c r="BK505" t="s">
        <v>74</v>
      </c>
      <c r="BL505" t="s">
        <v>74</v>
      </c>
      <c r="BM505" t="s">
        <v>74</v>
      </c>
      <c r="BN505" t="s">
        <v>74</v>
      </c>
      <c r="BO505" t="s">
        <v>74</v>
      </c>
      <c r="BP505" t="s">
        <v>74</v>
      </c>
      <c r="BQ505" t="s">
        <v>74</v>
      </c>
      <c r="BR505" t="s">
        <v>74</v>
      </c>
      <c r="BS505" t="s">
        <v>3840</v>
      </c>
      <c r="BT505" t="str">
        <f>HYPERLINK("https%3A%2F%2Fwww.webofscience.com%2Fwos%2Fwoscc%2Ffull-record%2FWOS:000376486500005","View Full Record in Web of Science")</f>
        <v>View Full Record in Web of Science</v>
      </c>
    </row>
    <row r="506" spans="1:72" x14ac:dyDescent="0.2">
      <c r="A506" t="s">
        <v>72</v>
      </c>
      <c r="B506" t="s">
        <v>3841</v>
      </c>
      <c r="C506" t="s">
        <v>74</v>
      </c>
      <c r="D506" t="s">
        <v>74</v>
      </c>
      <c r="E506" t="s">
        <v>74</v>
      </c>
      <c r="F506" t="s">
        <v>3842</v>
      </c>
      <c r="G506" t="s">
        <v>74</v>
      </c>
      <c r="H506" t="s">
        <v>74</v>
      </c>
      <c r="I506" t="s">
        <v>3843</v>
      </c>
      <c r="J506" t="s">
        <v>827</v>
      </c>
      <c r="K506" t="s">
        <v>74</v>
      </c>
      <c r="L506" t="s">
        <v>74</v>
      </c>
      <c r="M506" t="s">
        <v>74</v>
      </c>
      <c r="N506" t="s">
        <v>74</v>
      </c>
      <c r="O506" t="s">
        <v>74</v>
      </c>
      <c r="P506" t="s">
        <v>74</v>
      </c>
      <c r="Q506" t="s">
        <v>74</v>
      </c>
      <c r="R506" t="s">
        <v>74</v>
      </c>
      <c r="S506" t="s">
        <v>74</v>
      </c>
      <c r="T506" t="s">
        <v>74</v>
      </c>
      <c r="U506" t="s">
        <v>74</v>
      </c>
      <c r="V506" t="s">
        <v>74</v>
      </c>
      <c r="W506" t="s">
        <v>74</v>
      </c>
      <c r="X506" t="s">
        <v>74</v>
      </c>
      <c r="Y506" t="s">
        <v>74</v>
      </c>
      <c r="Z506" t="s">
        <v>74</v>
      </c>
      <c r="AA506" t="s">
        <v>3844</v>
      </c>
      <c r="AB506" t="s">
        <v>3845</v>
      </c>
      <c r="AC506" t="s">
        <v>74</v>
      </c>
      <c r="AD506" t="s">
        <v>74</v>
      </c>
      <c r="AE506" t="s">
        <v>74</v>
      </c>
      <c r="AF506" t="s">
        <v>74</v>
      </c>
      <c r="AG506" t="s">
        <v>74</v>
      </c>
      <c r="AH506" t="s">
        <v>74</v>
      </c>
      <c r="AI506" t="s">
        <v>74</v>
      </c>
      <c r="AJ506" t="s">
        <v>74</v>
      </c>
      <c r="AK506" t="s">
        <v>74</v>
      </c>
      <c r="AL506" t="s">
        <v>74</v>
      </c>
      <c r="AM506" t="s">
        <v>74</v>
      </c>
      <c r="AN506" t="s">
        <v>74</v>
      </c>
      <c r="AO506" t="s">
        <v>829</v>
      </c>
      <c r="AP506" t="s">
        <v>830</v>
      </c>
      <c r="AQ506" t="s">
        <v>74</v>
      </c>
      <c r="AR506" t="s">
        <v>74</v>
      </c>
      <c r="AS506" t="s">
        <v>74</v>
      </c>
      <c r="AT506" t="s">
        <v>315</v>
      </c>
      <c r="AU506">
        <v>2016</v>
      </c>
      <c r="AV506">
        <v>25</v>
      </c>
      <c r="AW506">
        <v>1</v>
      </c>
      <c r="AX506" t="s">
        <v>74</v>
      </c>
      <c r="AY506" t="s">
        <v>74</v>
      </c>
      <c r="AZ506" t="s">
        <v>74</v>
      </c>
      <c r="BA506" t="s">
        <v>74</v>
      </c>
      <c r="BB506">
        <v>75</v>
      </c>
      <c r="BC506">
        <v>86</v>
      </c>
      <c r="BD506" t="s">
        <v>74</v>
      </c>
      <c r="BE506" t="s">
        <v>3846</v>
      </c>
      <c r="BF506" t="str">
        <f>HYPERLINK("http://dx.doi.org/10.1111/geb.12387","http://dx.doi.org/10.1111/geb.12387")</f>
        <v>http://dx.doi.org/10.1111/geb.12387</v>
      </c>
      <c r="BG506" t="s">
        <v>74</v>
      </c>
      <c r="BH506" t="s">
        <v>74</v>
      </c>
      <c r="BI506" t="s">
        <v>74</v>
      </c>
      <c r="BJ506" t="s">
        <v>74</v>
      </c>
      <c r="BK506" t="s">
        <v>74</v>
      </c>
      <c r="BL506" t="s">
        <v>74</v>
      </c>
      <c r="BM506" t="s">
        <v>74</v>
      </c>
      <c r="BN506" t="s">
        <v>74</v>
      </c>
      <c r="BO506" t="s">
        <v>74</v>
      </c>
      <c r="BP506" t="s">
        <v>74</v>
      </c>
      <c r="BQ506" t="s">
        <v>74</v>
      </c>
      <c r="BR506" t="s">
        <v>74</v>
      </c>
      <c r="BS506" t="s">
        <v>3847</v>
      </c>
      <c r="BT506" t="str">
        <f>HYPERLINK("https%3A%2F%2Fwww.webofscience.com%2Fwos%2Fwoscc%2Ffull-record%2FWOS:000367728900009","View Full Record in Web of Science")</f>
        <v>View Full Record in Web of Science</v>
      </c>
    </row>
    <row r="507" spans="1:72" x14ac:dyDescent="0.2">
      <c r="A507" t="s">
        <v>2716</v>
      </c>
      <c r="B507" t="s">
        <v>3848</v>
      </c>
      <c r="C507" t="s">
        <v>74</v>
      </c>
      <c r="D507" t="s">
        <v>3849</v>
      </c>
      <c r="E507" t="s">
        <v>74</v>
      </c>
      <c r="F507" t="s">
        <v>3850</v>
      </c>
      <c r="G507" t="s">
        <v>74</v>
      </c>
      <c r="H507" t="s">
        <v>74</v>
      </c>
      <c r="I507" t="s">
        <v>3851</v>
      </c>
      <c r="J507" t="s">
        <v>3852</v>
      </c>
      <c r="K507" t="s">
        <v>74</v>
      </c>
      <c r="L507" t="s">
        <v>74</v>
      </c>
      <c r="M507" t="s">
        <v>74</v>
      </c>
      <c r="N507" t="s">
        <v>74</v>
      </c>
      <c r="O507" t="s">
        <v>74</v>
      </c>
      <c r="P507" t="s">
        <v>74</v>
      </c>
      <c r="Q507" t="s">
        <v>74</v>
      </c>
      <c r="R507" t="s">
        <v>74</v>
      </c>
      <c r="S507" t="s">
        <v>74</v>
      </c>
      <c r="T507" t="s">
        <v>74</v>
      </c>
      <c r="U507" t="s">
        <v>74</v>
      </c>
      <c r="V507" t="s">
        <v>74</v>
      </c>
      <c r="W507" t="s">
        <v>74</v>
      </c>
      <c r="X507" t="s">
        <v>74</v>
      </c>
      <c r="Y507" t="s">
        <v>74</v>
      </c>
      <c r="Z507" t="s">
        <v>74</v>
      </c>
      <c r="AA507" t="s">
        <v>74</v>
      </c>
      <c r="AB507" t="s">
        <v>74</v>
      </c>
      <c r="AC507" t="s">
        <v>74</v>
      </c>
      <c r="AD507" t="s">
        <v>74</v>
      </c>
      <c r="AE507" t="s">
        <v>74</v>
      </c>
      <c r="AF507" t="s">
        <v>74</v>
      </c>
      <c r="AG507" t="s">
        <v>74</v>
      </c>
      <c r="AH507" t="s">
        <v>74</v>
      </c>
      <c r="AI507" t="s">
        <v>74</v>
      </c>
      <c r="AJ507" t="s">
        <v>74</v>
      </c>
      <c r="AK507" t="s">
        <v>74</v>
      </c>
      <c r="AL507" t="s">
        <v>74</v>
      </c>
      <c r="AM507" t="s">
        <v>74</v>
      </c>
      <c r="AN507" t="s">
        <v>74</v>
      </c>
      <c r="AO507" t="s">
        <v>74</v>
      </c>
      <c r="AP507" t="s">
        <v>74</v>
      </c>
      <c r="AQ507" t="s">
        <v>3853</v>
      </c>
      <c r="AR507" t="s">
        <v>74</v>
      </c>
      <c r="AS507" t="s">
        <v>74</v>
      </c>
      <c r="AT507" t="s">
        <v>74</v>
      </c>
      <c r="AU507">
        <v>2016</v>
      </c>
      <c r="AV507" t="s">
        <v>74</v>
      </c>
      <c r="AW507" t="s">
        <v>74</v>
      </c>
      <c r="AX507" t="s">
        <v>74</v>
      </c>
      <c r="AY507" t="s">
        <v>74</v>
      </c>
      <c r="AZ507" t="s">
        <v>74</v>
      </c>
      <c r="BA507" t="s">
        <v>74</v>
      </c>
      <c r="BB507">
        <v>179</v>
      </c>
      <c r="BC507">
        <v>204</v>
      </c>
      <c r="BD507" t="s">
        <v>74</v>
      </c>
      <c r="BE507" t="s">
        <v>3854</v>
      </c>
      <c r="BF507" t="str">
        <f>HYPERLINK("http://dx.doi.org/10.1007/978-3-319-28622-8_7","http://dx.doi.org/10.1007/978-3-319-28622-8_7")</f>
        <v>http://dx.doi.org/10.1007/978-3-319-28622-8_7</v>
      </c>
      <c r="BG507" t="s">
        <v>3855</v>
      </c>
      <c r="BH507" t="s">
        <v>74</v>
      </c>
      <c r="BI507" t="s">
        <v>74</v>
      </c>
      <c r="BJ507" t="s">
        <v>74</v>
      </c>
      <c r="BK507" t="s">
        <v>74</v>
      </c>
      <c r="BL507" t="s">
        <v>74</v>
      </c>
      <c r="BM507" t="s">
        <v>74</v>
      </c>
      <c r="BN507" t="s">
        <v>74</v>
      </c>
      <c r="BO507" t="s">
        <v>74</v>
      </c>
      <c r="BP507" t="s">
        <v>74</v>
      </c>
      <c r="BQ507" t="s">
        <v>74</v>
      </c>
      <c r="BR507" t="s">
        <v>74</v>
      </c>
      <c r="BS507" t="s">
        <v>3856</v>
      </c>
      <c r="BT507" t="str">
        <f>HYPERLINK("https%3A%2F%2Fwww.webofscience.com%2Fwos%2Fwoscc%2Ffull-record%2FWOS:000399606500008","View Full Record in Web of Science")</f>
        <v>View Full Record in Web of Science</v>
      </c>
    </row>
    <row r="508" spans="1:72" x14ac:dyDescent="0.2">
      <c r="A508" t="s">
        <v>72</v>
      </c>
      <c r="B508" t="s">
        <v>3857</v>
      </c>
      <c r="C508" t="s">
        <v>74</v>
      </c>
      <c r="D508" t="s">
        <v>74</v>
      </c>
      <c r="E508" t="s">
        <v>74</v>
      </c>
      <c r="F508" t="s">
        <v>3858</v>
      </c>
      <c r="G508" t="s">
        <v>74</v>
      </c>
      <c r="H508" t="s">
        <v>74</v>
      </c>
      <c r="I508" t="s">
        <v>3859</v>
      </c>
      <c r="J508" t="s">
        <v>3860</v>
      </c>
      <c r="K508" t="s">
        <v>74</v>
      </c>
      <c r="L508" t="s">
        <v>74</v>
      </c>
      <c r="M508" t="s">
        <v>74</v>
      </c>
      <c r="N508" t="s">
        <v>74</v>
      </c>
      <c r="O508" t="s">
        <v>74</v>
      </c>
      <c r="P508" t="s">
        <v>74</v>
      </c>
      <c r="Q508" t="s">
        <v>74</v>
      </c>
      <c r="R508" t="s">
        <v>74</v>
      </c>
      <c r="S508" t="s">
        <v>74</v>
      </c>
      <c r="T508" t="s">
        <v>74</v>
      </c>
      <c r="U508" t="s">
        <v>74</v>
      </c>
      <c r="V508" t="s">
        <v>74</v>
      </c>
      <c r="W508" t="s">
        <v>74</v>
      </c>
      <c r="X508" t="s">
        <v>74</v>
      </c>
      <c r="Y508" t="s">
        <v>74</v>
      </c>
      <c r="Z508" t="s">
        <v>74</v>
      </c>
      <c r="AA508" t="s">
        <v>3861</v>
      </c>
      <c r="AB508" t="s">
        <v>3862</v>
      </c>
      <c r="AC508" t="s">
        <v>74</v>
      </c>
      <c r="AD508" t="s">
        <v>74</v>
      </c>
      <c r="AE508" t="s">
        <v>74</v>
      </c>
      <c r="AF508" t="s">
        <v>74</v>
      </c>
      <c r="AG508" t="s">
        <v>74</v>
      </c>
      <c r="AH508" t="s">
        <v>74</v>
      </c>
      <c r="AI508" t="s">
        <v>74</v>
      </c>
      <c r="AJ508" t="s">
        <v>74</v>
      </c>
      <c r="AK508" t="s">
        <v>74</v>
      </c>
      <c r="AL508" t="s">
        <v>74</v>
      </c>
      <c r="AM508" t="s">
        <v>74</v>
      </c>
      <c r="AN508" t="s">
        <v>74</v>
      </c>
      <c r="AO508" t="s">
        <v>3863</v>
      </c>
      <c r="AP508" t="s">
        <v>3864</v>
      </c>
      <c r="AQ508" t="s">
        <v>74</v>
      </c>
      <c r="AR508" t="s">
        <v>74</v>
      </c>
      <c r="AS508" t="s">
        <v>74</v>
      </c>
      <c r="AT508" t="s">
        <v>335</v>
      </c>
      <c r="AU508">
        <v>2015</v>
      </c>
      <c r="AV508">
        <v>44</v>
      </c>
      <c r="AW508">
        <v>11</v>
      </c>
      <c r="AX508" t="s">
        <v>74</v>
      </c>
      <c r="AY508" t="s">
        <v>74</v>
      </c>
      <c r="AZ508" t="s">
        <v>74</v>
      </c>
      <c r="BA508" t="s">
        <v>74</v>
      </c>
      <c r="BB508">
        <v>1750</v>
      </c>
      <c r="BC508">
        <v>1761</v>
      </c>
      <c r="BD508" t="s">
        <v>74</v>
      </c>
      <c r="BE508" t="s">
        <v>74</v>
      </c>
      <c r="BF508" t="s">
        <v>74</v>
      </c>
      <c r="BG508" t="s">
        <v>74</v>
      </c>
      <c r="BH508" t="s">
        <v>74</v>
      </c>
      <c r="BI508" t="s">
        <v>74</v>
      </c>
      <c r="BJ508" t="s">
        <v>74</v>
      </c>
      <c r="BK508" t="s">
        <v>74</v>
      </c>
      <c r="BL508" t="s">
        <v>74</v>
      </c>
      <c r="BM508" t="s">
        <v>74</v>
      </c>
      <c r="BN508" t="s">
        <v>74</v>
      </c>
      <c r="BO508" t="s">
        <v>74</v>
      </c>
      <c r="BP508" t="s">
        <v>74</v>
      </c>
      <c r="BQ508" t="s">
        <v>74</v>
      </c>
      <c r="BR508" t="s">
        <v>74</v>
      </c>
      <c r="BS508" t="s">
        <v>3865</v>
      </c>
      <c r="BT508" t="str">
        <f>HYPERLINK("https%3A%2F%2Fwww.webofscience.com%2Fwos%2Fwoscc%2Ffull-record%2FWOS:000379887500011","View Full Record in Web of Science")</f>
        <v>View Full Record in Web of Science</v>
      </c>
    </row>
    <row r="509" spans="1:72" x14ac:dyDescent="0.2">
      <c r="A509" t="s">
        <v>72</v>
      </c>
      <c r="B509" t="s">
        <v>3866</v>
      </c>
      <c r="C509" t="s">
        <v>74</v>
      </c>
      <c r="D509" t="s">
        <v>74</v>
      </c>
      <c r="E509" t="s">
        <v>74</v>
      </c>
      <c r="F509" t="s">
        <v>3867</v>
      </c>
      <c r="G509" t="s">
        <v>74</v>
      </c>
      <c r="H509" t="s">
        <v>74</v>
      </c>
      <c r="I509" t="s">
        <v>3868</v>
      </c>
      <c r="J509" t="s">
        <v>227</v>
      </c>
      <c r="K509" t="s">
        <v>74</v>
      </c>
      <c r="L509" t="s">
        <v>74</v>
      </c>
      <c r="M509" t="s">
        <v>74</v>
      </c>
      <c r="N509" t="s">
        <v>74</v>
      </c>
      <c r="O509" t="s">
        <v>74</v>
      </c>
      <c r="P509" t="s">
        <v>74</v>
      </c>
      <c r="Q509" t="s">
        <v>74</v>
      </c>
      <c r="R509" t="s">
        <v>74</v>
      </c>
      <c r="S509" t="s">
        <v>74</v>
      </c>
      <c r="T509" t="s">
        <v>74</v>
      </c>
      <c r="U509" t="s">
        <v>74</v>
      </c>
      <c r="V509" t="s">
        <v>74</v>
      </c>
      <c r="W509" t="s">
        <v>74</v>
      </c>
      <c r="X509" t="s">
        <v>74</v>
      </c>
      <c r="Y509" t="s">
        <v>74</v>
      </c>
      <c r="Z509" t="s">
        <v>74</v>
      </c>
      <c r="AA509" t="s">
        <v>74</v>
      </c>
      <c r="AB509" t="s">
        <v>74</v>
      </c>
      <c r="AC509" t="s">
        <v>74</v>
      </c>
      <c r="AD509" t="s">
        <v>74</v>
      </c>
      <c r="AE509" t="s">
        <v>74</v>
      </c>
      <c r="AF509" t="s">
        <v>74</v>
      </c>
      <c r="AG509" t="s">
        <v>74</v>
      </c>
      <c r="AH509" t="s">
        <v>74</v>
      </c>
      <c r="AI509" t="s">
        <v>74</v>
      </c>
      <c r="AJ509" t="s">
        <v>74</v>
      </c>
      <c r="AK509" t="s">
        <v>74</v>
      </c>
      <c r="AL509" t="s">
        <v>74</v>
      </c>
      <c r="AM509" t="s">
        <v>74</v>
      </c>
      <c r="AN509" t="s">
        <v>74</v>
      </c>
      <c r="AO509" t="s">
        <v>230</v>
      </c>
      <c r="AP509" t="s">
        <v>231</v>
      </c>
      <c r="AQ509" t="s">
        <v>74</v>
      </c>
      <c r="AR509" t="s">
        <v>74</v>
      </c>
      <c r="AS509" t="s">
        <v>74</v>
      </c>
      <c r="AT509" t="s">
        <v>335</v>
      </c>
      <c r="AU509">
        <v>2015</v>
      </c>
      <c r="AV509">
        <v>60</v>
      </c>
      <c r="AW509">
        <v>6</v>
      </c>
      <c r="AX509" t="s">
        <v>74</v>
      </c>
      <c r="AY509" t="s">
        <v>74</v>
      </c>
      <c r="AZ509" t="s">
        <v>74</v>
      </c>
      <c r="BA509" t="s">
        <v>74</v>
      </c>
      <c r="BB509">
        <v>2037</v>
      </c>
      <c r="BC509">
        <v>2047</v>
      </c>
      <c r="BD509" t="s">
        <v>74</v>
      </c>
      <c r="BE509" t="s">
        <v>3869</v>
      </c>
      <c r="BF509" t="str">
        <f>HYPERLINK("http://dx.doi.org/10.1002/lno.10150","http://dx.doi.org/10.1002/lno.10150")</f>
        <v>http://dx.doi.org/10.1002/lno.10150</v>
      </c>
      <c r="BG509" t="s">
        <v>74</v>
      </c>
      <c r="BH509" t="s">
        <v>74</v>
      </c>
      <c r="BI509" t="s">
        <v>74</v>
      </c>
      <c r="BJ509" t="s">
        <v>74</v>
      </c>
      <c r="BK509" t="s">
        <v>74</v>
      </c>
      <c r="BL509" t="s">
        <v>74</v>
      </c>
      <c r="BM509" t="s">
        <v>74</v>
      </c>
      <c r="BN509" t="s">
        <v>74</v>
      </c>
      <c r="BO509" t="s">
        <v>74</v>
      </c>
      <c r="BP509" t="s">
        <v>74</v>
      </c>
      <c r="BQ509" t="s">
        <v>74</v>
      </c>
      <c r="BR509" t="s">
        <v>74</v>
      </c>
      <c r="BS509" t="s">
        <v>3870</v>
      </c>
      <c r="BT509" t="str">
        <f>HYPERLINK("https%3A%2F%2Fwww.webofscience.com%2Fwos%2Fwoscc%2Ffull-record%2FWOS:000363888400013","View Full Record in Web of Science")</f>
        <v>View Full Record in Web of Science</v>
      </c>
    </row>
    <row r="510" spans="1:72" x14ac:dyDescent="0.2">
      <c r="A510" t="s">
        <v>72</v>
      </c>
      <c r="B510" t="s">
        <v>3871</v>
      </c>
      <c r="C510" t="s">
        <v>74</v>
      </c>
      <c r="D510" t="s">
        <v>74</v>
      </c>
      <c r="E510" t="s">
        <v>74</v>
      </c>
      <c r="F510" t="s">
        <v>3872</v>
      </c>
      <c r="G510" t="s">
        <v>74</v>
      </c>
      <c r="H510" t="s">
        <v>74</v>
      </c>
      <c r="I510" t="s">
        <v>3873</v>
      </c>
      <c r="J510" t="s">
        <v>360</v>
      </c>
      <c r="K510" t="s">
        <v>74</v>
      </c>
      <c r="L510" t="s">
        <v>74</v>
      </c>
      <c r="M510" t="s">
        <v>74</v>
      </c>
      <c r="N510" t="s">
        <v>74</v>
      </c>
      <c r="O510" t="s">
        <v>74</v>
      </c>
      <c r="P510" t="s">
        <v>74</v>
      </c>
      <c r="Q510" t="s">
        <v>74</v>
      </c>
      <c r="R510" t="s">
        <v>74</v>
      </c>
      <c r="S510" t="s">
        <v>74</v>
      </c>
      <c r="T510" t="s">
        <v>74</v>
      </c>
      <c r="U510" t="s">
        <v>74</v>
      </c>
      <c r="V510" t="s">
        <v>74</v>
      </c>
      <c r="W510" t="s">
        <v>74</v>
      </c>
      <c r="X510" t="s">
        <v>74</v>
      </c>
      <c r="Y510" t="s">
        <v>74</v>
      </c>
      <c r="Z510" t="s">
        <v>74</v>
      </c>
      <c r="AA510" t="s">
        <v>3262</v>
      </c>
      <c r="AB510" t="s">
        <v>3874</v>
      </c>
      <c r="AC510" t="s">
        <v>74</v>
      </c>
      <c r="AD510" t="s">
        <v>74</v>
      </c>
      <c r="AE510" t="s">
        <v>74</v>
      </c>
      <c r="AF510" t="s">
        <v>74</v>
      </c>
      <c r="AG510" t="s">
        <v>74</v>
      </c>
      <c r="AH510" t="s">
        <v>74</v>
      </c>
      <c r="AI510" t="s">
        <v>74</v>
      </c>
      <c r="AJ510" t="s">
        <v>74</v>
      </c>
      <c r="AK510" t="s">
        <v>74</v>
      </c>
      <c r="AL510" t="s">
        <v>74</v>
      </c>
      <c r="AM510" t="s">
        <v>74</v>
      </c>
      <c r="AN510" t="s">
        <v>74</v>
      </c>
      <c r="AO510" t="s">
        <v>361</v>
      </c>
      <c r="AP510" t="s">
        <v>362</v>
      </c>
      <c r="AQ510" t="s">
        <v>74</v>
      </c>
      <c r="AR510" t="s">
        <v>74</v>
      </c>
      <c r="AS510" t="s">
        <v>74</v>
      </c>
      <c r="AT510" t="s">
        <v>3875</v>
      </c>
      <c r="AU510">
        <v>2015</v>
      </c>
      <c r="AV510">
        <v>282</v>
      </c>
      <c r="AW510">
        <v>1817</v>
      </c>
      <c r="AX510" t="s">
        <v>74</v>
      </c>
      <c r="AY510" t="s">
        <v>74</v>
      </c>
      <c r="AZ510" t="s">
        <v>74</v>
      </c>
      <c r="BA510" t="s">
        <v>74</v>
      </c>
      <c r="BB510" t="s">
        <v>74</v>
      </c>
      <c r="BC510" t="s">
        <v>74</v>
      </c>
      <c r="BD510">
        <v>20151970</v>
      </c>
      <c r="BE510" t="s">
        <v>3876</v>
      </c>
      <c r="BF510" t="str">
        <f>HYPERLINK("http://dx.doi.org/10.1098/rspb.2015.1970","http://dx.doi.org/10.1098/rspb.2015.1970")</f>
        <v>http://dx.doi.org/10.1098/rspb.2015.1970</v>
      </c>
      <c r="BG510" t="s">
        <v>74</v>
      </c>
      <c r="BH510" t="s">
        <v>74</v>
      </c>
      <c r="BI510" t="s">
        <v>74</v>
      </c>
      <c r="BJ510" t="s">
        <v>74</v>
      </c>
      <c r="BK510" t="s">
        <v>74</v>
      </c>
      <c r="BL510" t="s">
        <v>74</v>
      </c>
      <c r="BM510" t="s">
        <v>74</v>
      </c>
      <c r="BN510">
        <v>26490793</v>
      </c>
      <c r="BO510" t="s">
        <v>74</v>
      </c>
      <c r="BP510" t="s">
        <v>74</v>
      </c>
      <c r="BQ510" t="s">
        <v>74</v>
      </c>
      <c r="BR510" t="s">
        <v>74</v>
      </c>
      <c r="BS510" t="s">
        <v>3877</v>
      </c>
      <c r="BT510" t="str">
        <f>HYPERLINK("https%3A%2F%2Fwww.webofscience.com%2Fwos%2Fwoscc%2Ffull-record%2FWOS:000363485700016","View Full Record in Web of Science")</f>
        <v>View Full Record in Web of Science</v>
      </c>
    </row>
    <row r="511" spans="1:72" x14ac:dyDescent="0.2">
      <c r="A511" t="s">
        <v>72</v>
      </c>
      <c r="B511" t="s">
        <v>3878</v>
      </c>
      <c r="C511" t="s">
        <v>74</v>
      </c>
      <c r="D511" t="s">
        <v>74</v>
      </c>
      <c r="E511" t="s">
        <v>74</v>
      </c>
      <c r="F511" t="s">
        <v>3879</v>
      </c>
      <c r="G511" t="s">
        <v>74</v>
      </c>
      <c r="H511" t="s">
        <v>74</v>
      </c>
      <c r="I511" t="s">
        <v>3880</v>
      </c>
      <c r="J511" t="s">
        <v>1323</v>
      </c>
      <c r="K511" t="s">
        <v>74</v>
      </c>
      <c r="L511" t="s">
        <v>74</v>
      </c>
      <c r="M511" t="s">
        <v>74</v>
      </c>
      <c r="N511" t="s">
        <v>74</v>
      </c>
      <c r="O511" t="s">
        <v>74</v>
      </c>
      <c r="P511" t="s">
        <v>74</v>
      </c>
      <c r="Q511" t="s">
        <v>74</v>
      </c>
      <c r="R511" t="s">
        <v>74</v>
      </c>
      <c r="S511" t="s">
        <v>74</v>
      </c>
      <c r="T511" t="s">
        <v>74</v>
      </c>
      <c r="U511" t="s">
        <v>74</v>
      </c>
      <c r="V511" t="s">
        <v>74</v>
      </c>
      <c r="W511" t="s">
        <v>74</v>
      </c>
      <c r="X511" t="s">
        <v>74</v>
      </c>
      <c r="Y511" t="s">
        <v>74</v>
      </c>
      <c r="Z511" t="s">
        <v>74</v>
      </c>
      <c r="AA511" t="s">
        <v>3881</v>
      </c>
      <c r="AB511" t="s">
        <v>74</v>
      </c>
      <c r="AC511" t="s">
        <v>74</v>
      </c>
      <c r="AD511" t="s">
        <v>74</v>
      </c>
      <c r="AE511" t="s">
        <v>74</v>
      </c>
      <c r="AF511" t="s">
        <v>74</v>
      </c>
      <c r="AG511" t="s">
        <v>74</v>
      </c>
      <c r="AH511" t="s">
        <v>74</v>
      </c>
      <c r="AI511" t="s">
        <v>74</v>
      </c>
      <c r="AJ511" t="s">
        <v>74</v>
      </c>
      <c r="AK511" t="s">
        <v>74</v>
      </c>
      <c r="AL511" t="s">
        <v>74</v>
      </c>
      <c r="AM511" t="s">
        <v>74</v>
      </c>
      <c r="AN511" t="s">
        <v>74</v>
      </c>
      <c r="AO511" t="s">
        <v>1326</v>
      </c>
      <c r="AP511" t="s">
        <v>1327</v>
      </c>
      <c r="AQ511" t="s">
        <v>74</v>
      </c>
      <c r="AR511" t="s">
        <v>74</v>
      </c>
      <c r="AS511" t="s">
        <v>74</v>
      </c>
      <c r="AT511" t="s">
        <v>406</v>
      </c>
      <c r="AU511">
        <v>2015</v>
      </c>
      <c r="AV511">
        <v>77</v>
      </c>
      <c r="AW511">
        <v>4</v>
      </c>
      <c r="AX511" t="s">
        <v>74</v>
      </c>
      <c r="AY511" t="s">
        <v>74</v>
      </c>
      <c r="AZ511" t="s">
        <v>74</v>
      </c>
      <c r="BA511" t="s">
        <v>74</v>
      </c>
      <c r="BB511">
        <v>681</v>
      </c>
      <c r="BC511">
        <v>694</v>
      </c>
      <c r="BD511" t="s">
        <v>74</v>
      </c>
      <c r="BE511" t="s">
        <v>3882</v>
      </c>
      <c r="BF511" t="str">
        <f>HYPERLINK("http://dx.doi.org/10.1007/s00027-015-0411-x","http://dx.doi.org/10.1007/s00027-015-0411-x")</f>
        <v>http://dx.doi.org/10.1007/s00027-015-0411-x</v>
      </c>
      <c r="BG511" t="s">
        <v>74</v>
      </c>
      <c r="BH511" t="s">
        <v>74</v>
      </c>
      <c r="BI511" t="s">
        <v>74</v>
      </c>
      <c r="BJ511" t="s">
        <v>74</v>
      </c>
      <c r="BK511" t="s">
        <v>74</v>
      </c>
      <c r="BL511" t="s">
        <v>74</v>
      </c>
      <c r="BM511" t="s">
        <v>74</v>
      </c>
      <c r="BN511" t="s">
        <v>74</v>
      </c>
      <c r="BO511" t="s">
        <v>74</v>
      </c>
      <c r="BP511" t="s">
        <v>74</v>
      </c>
      <c r="BQ511" t="s">
        <v>74</v>
      </c>
      <c r="BR511" t="s">
        <v>74</v>
      </c>
      <c r="BS511" t="s">
        <v>3883</v>
      </c>
      <c r="BT511" t="str">
        <f>HYPERLINK("https%3A%2F%2Fwww.webofscience.com%2Fwos%2Fwoscc%2Ffull-record%2FWOS:000361396800012","View Full Record in Web of Science")</f>
        <v>View Full Record in Web of Science</v>
      </c>
    </row>
    <row r="512" spans="1:72" x14ac:dyDescent="0.2">
      <c r="A512" t="s">
        <v>72</v>
      </c>
      <c r="B512" t="s">
        <v>3884</v>
      </c>
      <c r="C512" t="s">
        <v>74</v>
      </c>
      <c r="D512" t="s">
        <v>74</v>
      </c>
      <c r="E512" t="s">
        <v>74</v>
      </c>
      <c r="F512" t="s">
        <v>3885</v>
      </c>
      <c r="G512" t="s">
        <v>74</v>
      </c>
      <c r="H512" t="s">
        <v>74</v>
      </c>
      <c r="I512" t="s">
        <v>3886</v>
      </c>
      <c r="J512" t="s">
        <v>423</v>
      </c>
      <c r="K512" t="s">
        <v>74</v>
      </c>
      <c r="L512" t="s">
        <v>74</v>
      </c>
      <c r="M512" t="s">
        <v>74</v>
      </c>
      <c r="N512" t="s">
        <v>74</v>
      </c>
      <c r="O512" t="s">
        <v>74</v>
      </c>
      <c r="P512" t="s">
        <v>74</v>
      </c>
      <c r="Q512" t="s">
        <v>74</v>
      </c>
      <c r="R512" t="s">
        <v>74</v>
      </c>
      <c r="S512" t="s">
        <v>74</v>
      </c>
      <c r="T512" t="s">
        <v>74</v>
      </c>
      <c r="U512" t="s">
        <v>74</v>
      </c>
      <c r="V512" t="s">
        <v>74</v>
      </c>
      <c r="W512" t="s">
        <v>74</v>
      </c>
      <c r="X512" t="s">
        <v>74</v>
      </c>
      <c r="Y512" t="s">
        <v>74</v>
      </c>
      <c r="Z512" t="s">
        <v>74</v>
      </c>
      <c r="AA512" t="s">
        <v>3887</v>
      </c>
      <c r="AB512" t="s">
        <v>3888</v>
      </c>
      <c r="AC512" t="s">
        <v>74</v>
      </c>
      <c r="AD512" t="s">
        <v>74</v>
      </c>
      <c r="AE512" t="s">
        <v>74</v>
      </c>
      <c r="AF512" t="s">
        <v>74</v>
      </c>
      <c r="AG512" t="s">
        <v>74</v>
      </c>
      <c r="AH512" t="s">
        <v>74</v>
      </c>
      <c r="AI512" t="s">
        <v>74</v>
      </c>
      <c r="AJ512" t="s">
        <v>74</v>
      </c>
      <c r="AK512" t="s">
        <v>74</v>
      </c>
      <c r="AL512" t="s">
        <v>74</v>
      </c>
      <c r="AM512" t="s">
        <v>74</v>
      </c>
      <c r="AN512" t="s">
        <v>74</v>
      </c>
      <c r="AO512" t="s">
        <v>425</v>
      </c>
      <c r="AP512" t="s">
        <v>426</v>
      </c>
      <c r="AQ512" t="s">
        <v>74</v>
      </c>
      <c r="AR512" t="s">
        <v>74</v>
      </c>
      <c r="AS512" t="s">
        <v>74</v>
      </c>
      <c r="AT512" t="s">
        <v>406</v>
      </c>
      <c r="AU512">
        <v>2015</v>
      </c>
      <c r="AV512">
        <v>60</v>
      </c>
      <c r="AW512">
        <v>10</v>
      </c>
      <c r="AX512" t="s">
        <v>74</v>
      </c>
      <c r="AY512" t="s">
        <v>74</v>
      </c>
      <c r="AZ512" t="s">
        <v>74</v>
      </c>
      <c r="BA512" t="s">
        <v>74</v>
      </c>
      <c r="BB512">
        <v>2113</v>
      </c>
      <c r="BC512">
        <v>2126</v>
      </c>
      <c r="BD512" t="s">
        <v>74</v>
      </c>
      <c r="BE512" t="s">
        <v>3889</v>
      </c>
      <c r="BF512" t="str">
        <f>HYPERLINK("http://dx.doi.org/10.1111/fwb.12636","http://dx.doi.org/10.1111/fwb.12636")</f>
        <v>http://dx.doi.org/10.1111/fwb.12636</v>
      </c>
      <c r="BG512" t="s">
        <v>74</v>
      </c>
      <c r="BH512" t="s">
        <v>74</v>
      </c>
      <c r="BI512" t="s">
        <v>74</v>
      </c>
      <c r="BJ512" t="s">
        <v>74</v>
      </c>
      <c r="BK512" t="s">
        <v>74</v>
      </c>
      <c r="BL512" t="s">
        <v>74</v>
      </c>
      <c r="BM512" t="s">
        <v>74</v>
      </c>
      <c r="BN512" t="s">
        <v>74</v>
      </c>
      <c r="BO512" t="s">
        <v>74</v>
      </c>
      <c r="BP512" t="s">
        <v>74</v>
      </c>
      <c r="BQ512" t="s">
        <v>74</v>
      </c>
      <c r="BR512" t="s">
        <v>74</v>
      </c>
      <c r="BS512" t="s">
        <v>3890</v>
      </c>
      <c r="BT512" t="str">
        <f>HYPERLINK("https%3A%2F%2Fwww.webofscience.com%2Fwos%2Fwoscc%2Ffull-record%2FWOS:000361037900010","View Full Record in Web of Science")</f>
        <v>View Full Record in Web of Science</v>
      </c>
    </row>
    <row r="513" spans="1:72" x14ac:dyDescent="0.2">
      <c r="A513" t="s">
        <v>72</v>
      </c>
      <c r="B513" t="s">
        <v>3891</v>
      </c>
      <c r="C513" t="s">
        <v>74</v>
      </c>
      <c r="D513" t="s">
        <v>74</v>
      </c>
      <c r="E513" t="s">
        <v>74</v>
      </c>
      <c r="F513" t="s">
        <v>3892</v>
      </c>
      <c r="G513" t="s">
        <v>74</v>
      </c>
      <c r="H513" t="s">
        <v>74</v>
      </c>
      <c r="I513" t="s">
        <v>3893</v>
      </c>
      <c r="J513" t="s">
        <v>423</v>
      </c>
      <c r="K513" t="s">
        <v>74</v>
      </c>
      <c r="L513" t="s">
        <v>74</v>
      </c>
      <c r="M513" t="s">
        <v>74</v>
      </c>
      <c r="N513" t="s">
        <v>74</v>
      </c>
      <c r="O513" t="s">
        <v>74</v>
      </c>
      <c r="P513" t="s">
        <v>74</v>
      </c>
      <c r="Q513" t="s">
        <v>74</v>
      </c>
      <c r="R513" t="s">
        <v>74</v>
      </c>
      <c r="S513" t="s">
        <v>74</v>
      </c>
      <c r="T513" t="s">
        <v>74</v>
      </c>
      <c r="U513" t="s">
        <v>74</v>
      </c>
      <c r="V513" t="s">
        <v>74</v>
      </c>
      <c r="W513" t="s">
        <v>74</v>
      </c>
      <c r="X513" t="s">
        <v>74</v>
      </c>
      <c r="Y513" t="s">
        <v>74</v>
      </c>
      <c r="Z513" t="s">
        <v>74</v>
      </c>
      <c r="AA513" t="s">
        <v>3894</v>
      </c>
      <c r="AB513" t="s">
        <v>3895</v>
      </c>
      <c r="AC513" t="s">
        <v>74</v>
      </c>
      <c r="AD513" t="s">
        <v>74</v>
      </c>
      <c r="AE513" t="s">
        <v>74</v>
      </c>
      <c r="AF513" t="s">
        <v>74</v>
      </c>
      <c r="AG513" t="s">
        <v>74</v>
      </c>
      <c r="AH513" t="s">
        <v>74</v>
      </c>
      <c r="AI513" t="s">
        <v>74</v>
      </c>
      <c r="AJ513" t="s">
        <v>74</v>
      </c>
      <c r="AK513" t="s">
        <v>74</v>
      </c>
      <c r="AL513" t="s">
        <v>74</v>
      </c>
      <c r="AM513" t="s">
        <v>74</v>
      </c>
      <c r="AN513" t="s">
        <v>74</v>
      </c>
      <c r="AO513" t="s">
        <v>425</v>
      </c>
      <c r="AP513" t="s">
        <v>426</v>
      </c>
      <c r="AQ513" t="s">
        <v>74</v>
      </c>
      <c r="AR513" t="s">
        <v>74</v>
      </c>
      <c r="AS513" t="s">
        <v>74</v>
      </c>
      <c r="AT513" t="s">
        <v>406</v>
      </c>
      <c r="AU513">
        <v>2015</v>
      </c>
      <c r="AV513">
        <v>60</v>
      </c>
      <c r="AW513">
        <v>10</v>
      </c>
      <c r="AX513" t="s">
        <v>74</v>
      </c>
      <c r="AY513" t="s">
        <v>74</v>
      </c>
      <c r="AZ513" t="s">
        <v>74</v>
      </c>
      <c r="BA513" t="s">
        <v>74</v>
      </c>
      <c r="BB513">
        <v>2003</v>
      </c>
      <c r="BC513">
        <v>2018</v>
      </c>
      <c r="BD513" t="s">
        <v>74</v>
      </c>
      <c r="BE513" t="s">
        <v>3896</v>
      </c>
      <c r="BF513" t="str">
        <f>HYPERLINK("http://dx.doi.org/10.1111/fwb.12626","http://dx.doi.org/10.1111/fwb.12626")</f>
        <v>http://dx.doi.org/10.1111/fwb.12626</v>
      </c>
      <c r="BG513" t="s">
        <v>74</v>
      </c>
      <c r="BH513" t="s">
        <v>74</v>
      </c>
      <c r="BI513" t="s">
        <v>74</v>
      </c>
      <c r="BJ513" t="s">
        <v>74</v>
      </c>
      <c r="BK513" t="s">
        <v>74</v>
      </c>
      <c r="BL513" t="s">
        <v>74</v>
      </c>
      <c r="BM513" t="s">
        <v>74</v>
      </c>
      <c r="BN513" t="s">
        <v>74</v>
      </c>
      <c r="BO513" t="s">
        <v>74</v>
      </c>
      <c r="BP513" t="s">
        <v>74</v>
      </c>
      <c r="BQ513" t="s">
        <v>74</v>
      </c>
      <c r="BR513" t="s">
        <v>74</v>
      </c>
      <c r="BS513" t="s">
        <v>3897</v>
      </c>
      <c r="BT513" t="str">
        <f>HYPERLINK("https%3A%2F%2Fwww.webofscience.com%2Fwos%2Fwoscc%2Ffull-record%2FWOS:000361037900003","View Full Record in Web of Science")</f>
        <v>View Full Record in Web of Science</v>
      </c>
    </row>
    <row r="514" spans="1:72" x14ac:dyDescent="0.2">
      <c r="A514" t="s">
        <v>72</v>
      </c>
      <c r="B514" t="s">
        <v>3898</v>
      </c>
      <c r="C514" t="s">
        <v>74</v>
      </c>
      <c r="D514" t="s">
        <v>74</v>
      </c>
      <c r="E514" t="s">
        <v>74</v>
      </c>
      <c r="F514" t="s">
        <v>3899</v>
      </c>
      <c r="G514" t="s">
        <v>74</v>
      </c>
      <c r="H514" t="s">
        <v>74</v>
      </c>
      <c r="I514" t="s">
        <v>3900</v>
      </c>
      <c r="J514" t="s">
        <v>3443</v>
      </c>
      <c r="K514" t="s">
        <v>74</v>
      </c>
      <c r="L514" t="s">
        <v>74</v>
      </c>
      <c r="M514" t="s">
        <v>74</v>
      </c>
      <c r="N514" t="s">
        <v>74</v>
      </c>
      <c r="O514" t="s">
        <v>74</v>
      </c>
      <c r="P514" t="s">
        <v>74</v>
      </c>
      <c r="Q514" t="s">
        <v>74</v>
      </c>
      <c r="R514" t="s">
        <v>74</v>
      </c>
      <c r="S514" t="s">
        <v>74</v>
      </c>
      <c r="T514" t="s">
        <v>74</v>
      </c>
      <c r="U514" t="s">
        <v>74</v>
      </c>
      <c r="V514" t="s">
        <v>74</v>
      </c>
      <c r="W514" t="s">
        <v>74</v>
      </c>
      <c r="X514" t="s">
        <v>74</v>
      </c>
      <c r="Y514" t="s">
        <v>74</v>
      </c>
      <c r="Z514" t="s">
        <v>74</v>
      </c>
      <c r="AA514" t="s">
        <v>7061</v>
      </c>
      <c r="AB514" t="s">
        <v>7062</v>
      </c>
      <c r="AC514" t="s">
        <v>74</v>
      </c>
      <c r="AD514" t="s">
        <v>74</v>
      </c>
      <c r="AE514" t="s">
        <v>74</v>
      </c>
      <c r="AF514" t="s">
        <v>74</v>
      </c>
      <c r="AG514" t="s">
        <v>74</v>
      </c>
      <c r="AH514" t="s">
        <v>74</v>
      </c>
      <c r="AI514" t="s">
        <v>74</v>
      </c>
      <c r="AJ514" t="s">
        <v>74</v>
      </c>
      <c r="AK514" t="s">
        <v>74</v>
      </c>
      <c r="AL514" t="s">
        <v>74</v>
      </c>
      <c r="AM514" t="s">
        <v>74</v>
      </c>
      <c r="AN514" t="s">
        <v>74</v>
      </c>
      <c r="AO514" t="s">
        <v>3445</v>
      </c>
      <c r="AP514" t="s">
        <v>74</v>
      </c>
      <c r="AQ514" t="s">
        <v>74</v>
      </c>
      <c r="AR514" t="s">
        <v>74</v>
      </c>
      <c r="AS514" t="s">
        <v>74</v>
      </c>
      <c r="AT514" t="s">
        <v>3245</v>
      </c>
      <c r="AU514">
        <v>2015</v>
      </c>
      <c r="AV514">
        <v>10</v>
      </c>
      <c r="AW514">
        <v>9</v>
      </c>
      <c r="AX514" t="s">
        <v>74</v>
      </c>
      <c r="AY514" t="s">
        <v>74</v>
      </c>
      <c r="AZ514" t="s">
        <v>74</v>
      </c>
      <c r="BA514" t="s">
        <v>74</v>
      </c>
      <c r="BB514" t="s">
        <v>74</v>
      </c>
      <c r="BC514" t="s">
        <v>74</v>
      </c>
      <c r="BD514" t="s">
        <v>3901</v>
      </c>
      <c r="BE514" t="s">
        <v>3902</v>
      </c>
      <c r="BF514" t="str">
        <f>HYPERLINK("http://dx.doi.org/10.1371/journal.pone.0137085","http://dx.doi.org/10.1371/journal.pone.0137085")</f>
        <v>http://dx.doi.org/10.1371/journal.pone.0137085</v>
      </c>
      <c r="BG514" t="s">
        <v>74</v>
      </c>
      <c r="BH514" t="s">
        <v>74</v>
      </c>
      <c r="BI514" t="s">
        <v>74</v>
      </c>
      <c r="BJ514" t="s">
        <v>74</v>
      </c>
      <c r="BK514" t="s">
        <v>74</v>
      </c>
      <c r="BL514" t="s">
        <v>74</v>
      </c>
      <c r="BM514" t="s">
        <v>74</v>
      </c>
      <c r="BN514">
        <v>26348482</v>
      </c>
      <c r="BO514" t="s">
        <v>74</v>
      </c>
      <c r="BP514" t="s">
        <v>74</v>
      </c>
      <c r="BQ514" t="s">
        <v>74</v>
      </c>
      <c r="BR514" t="s">
        <v>74</v>
      </c>
      <c r="BS514" t="s">
        <v>3903</v>
      </c>
      <c r="BT514" t="str">
        <f>HYPERLINK("https%3A%2F%2Fwww.webofscience.com%2Fwos%2Fwoscc%2Ffull-record%2FWOS:000360897600020","View Full Record in Web of Science")</f>
        <v>View Full Record in Web of Science</v>
      </c>
    </row>
    <row r="515" spans="1:72" x14ac:dyDescent="0.2">
      <c r="A515" t="s">
        <v>72</v>
      </c>
      <c r="B515" t="s">
        <v>3904</v>
      </c>
      <c r="C515" t="s">
        <v>74</v>
      </c>
      <c r="D515" t="s">
        <v>74</v>
      </c>
      <c r="E515" t="s">
        <v>74</v>
      </c>
      <c r="F515" t="s">
        <v>3905</v>
      </c>
      <c r="G515" t="s">
        <v>74</v>
      </c>
      <c r="H515" t="s">
        <v>74</v>
      </c>
      <c r="I515" t="s">
        <v>3906</v>
      </c>
      <c r="J515" t="s">
        <v>973</v>
      </c>
      <c r="K515" t="s">
        <v>74</v>
      </c>
      <c r="L515" t="s">
        <v>74</v>
      </c>
      <c r="M515" t="s">
        <v>74</v>
      </c>
      <c r="N515" t="s">
        <v>74</v>
      </c>
      <c r="O515" t="s">
        <v>74</v>
      </c>
      <c r="P515" t="s">
        <v>74</v>
      </c>
      <c r="Q515" t="s">
        <v>74</v>
      </c>
      <c r="R515" t="s">
        <v>74</v>
      </c>
      <c r="S515" t="s">
        <v>74</v>
      </c>
      <c r="T515" t="s">
        <v>74</v>
      </c>
      <c r="U515" t="s">
        <v>74</v>
      </c>
      <c r="V515" t="s">
        <v>74</v>
      </c>
      <c r="W515" t="s">
        <v>74</v>
      </c>
      <c r="X515" t="s">
        <v>74</v>
      </c>
      <c r="Y515" t="s">
        <v>74</v>
      </c>
      <c r="Z515" t="s">
        <v>74</v>
      </c>
      <c r="AA515" t="s">
        <v>74</v>
      </c>
      <c r="AB515" t="s">
        <v>3907</v>
      </c>
      <c r="AC515" t="s">
        <v>74</v>
      </c>
      <c r="AD515" t="s">
        <v>74</v>
      </c>
      <c r="AE515" t="s">
        <v>74</v>
      </c>
      <c r="AF515" t="s">
        <v>74</v>
      </c>
      <c r="AG515" t="s">
        <v>74</v>
      </c>
      <c r="AH515" t="s">
        <v>74</v>
      </c>
      <c r="AI515" t="s">
        <v>74</v>
      </c>
      <c r="AJ515" t="s">
        <v>74</v>
      </c>
      <c r="AK515" t="s">
        <v>74</v>
      </c>
      <c r="AL515" t="s">
        <v>74</v>
      </c>
      <c r="AM515" t="s">
        <v>74</v>
      </c>
      <c r="AN515" t="s">
        <v>74</v>
      </c>
      <c r="AO515" t="s">
        <v>974</v>
      </c>
      <c r="AP515" t="s">
        <v>975</v>
      </c>
      <c r="AQ515" t="s">
        <v>74</v>
      </c>
      <c r="AR515" t="s">
        <v>74</v>
      </c>
      <c r="AS515" t="s">
        <v>74</v>
      </c>
      <c r="AT515" t="s">
        <v>3908</v>
      </c>
      <c r="AU515">
        <v>2015</v>
      </c>
      <c r="AV515">
        <v>162</v>
      </c>
      <c r="AW515" t="s">
        <v>74</v>
      </c>
      <c r="AX515" t="s">
        <v>74</v>
      </c>
      <c r="AY515" t="s">
        <v>74</v>
      </c>
      <c r="AZ515" t="s">
        <v>632</v>
      </c>
      <c r="BA515" t="s">
        <v>74</v>
      </c>
      <c r="BB515">
        <v>53</v>
      </c>
      <c r="BC515">
        <v>68</v>
      </c>
      <c r="BD515" t="s">
        <v>74</v>
      </c>
      <c r="BE515" t="s">
        <v>3909</v>
      </c>
      <c r="BF515" t="str">
        <f>HYPERLINK("http://dx.doi.org/10.1016/j.ecss.2014.12.030","http://dx.doi.org/10.1016/j.ecss.2014.12.030")</f>
        <v>http://dx.doi.org/10.1016/j.ecss.2014.12.030</v>
      </c>
      <c r="BG515" t="s">
        <v>74</v>
      </c>
      <c r="BH515" t="s">
        <v>74</v>
      </c>
      <c r="BI515" t="s">
        <v>74</v>
      </c>
      <c r="BJ515" t="s">
        <v>74</v>
      </c>
      <c r="BK515" t="s">
        <v>74</v>
      </c>
      <c r="BL515" t="s">
        <v>74</v>
      </c>
      <c r="BM515" t="s">
        <v>74</v>
      </c>
      <c r="BN515" t="s">
        <v>74</v>
      </c>
      <c r="BO515" t="s">
        <v>74</v>
      </c>
      <c r="BP515" t="s">
        <v>74</v>
      </c>
      <c r="BQ515" t="s">
        <v>74</v>
      </c>
      <c r="BR515" t="s">
        <v>74</v>
      </c>
      <c r="BS515" t="s">
        <v>3910</v>
      </c>
      <c r="BT515" t="str">
        <f>HYPERLINK("https%3A%2F%2Fwww.webofscience.com%2Fwos%2Fwoscc%2Ffull-record%2FWOS:000360774700007","View Full Record in Web of Science")</f>
        <v>View Full Record in Web of Science</v>
      </c>
    </row>
    <row r="516" spans="1:72" x14ac:dyDescent="0.2">
      <c r="A516" t="s">
        <v>72</v>
      </c>
      <c r="B516" t="s">
        <v>3911</v>
      </c>
      <c r="C516" t="s">
        <v>74</v>
      </c>
      <c r="D516" t="s">
        <v>74</v>
      </c>
      <c r="E516" t="s">
        <v>74</v>
      </c>
      <c r="F516" t="s">
        <v>3912</v>
      </c>
      <c r="G516" t="s">
        <v>74</v>
      </c>
      <c r="H516" t="s">
        <v>74</v>
      </c>
      <c r="I516" t="s">
        <v>3913</v>
      </c>
      <c r="J516" t="s">
        <v>180</v>
      </c>
      <c r="K516" t="s">
        <v>74</v>
      </c>
      <c r="L516" t="s">
        <v>74</v>
      </c>
      <c r="M516" t="s">
        <v>74</v>
      </c>
      <c r="N516" t="s">
        <v>74</v>
      </c>
      <c r="O516" t="s">
        <v>74</v>
      </c>
      <c r="P516" t="s">
        <v>74</v>
      </c>
      <c r="Q516" t="s">
        <v>74</v>
      </c>
      <c r="R516" t="s">
        <v>74</v>
      </c>
      <c r="S516" t="s">
        <v>74</v>
      </c>
      <c r="T516" t="s">
        <v>74</v>
      </c>
      <c r="U516" t="s">
        <v>74</v>
      </c>
      <c r="V516" t="s">
        <v>74</v>
      </c>
      <c r="W516" t="s">
        <v>74</v>
      </c>
      <c r="X516" t="s">
        <v>74</v>
      </c>
      <c r="Y516" t="s">
        <v>74</v>
      </c>
      <c r="Z516" t="s">
        <v>74</v>
      </c>
      <c r="AA516" t="s">
        <v>74</v>
      </c>
      <c r="AB516" t="s">
        <v>74</v>
      </c>
      <c r="AC516" t="s">
        <v>74</v>
      </c>
      <c r="AD516" t="s">
        <v>74</v>
      </c>
      <c r="AE516" t="s">
        <v>74</v>
      </c>
      <c r="AF516" t="s">
        <v>74</v>
      </c>
      <c r="AG516" t="s">
        <v>74</v>
      </c>
      <c r="AH516" t="s">
        <v>74</v>
      </c>
      <c r="AI516" t="s">
        <v>74</v>
      </c>
      <c r="AJ516" t="s">
        <v>74</v>
      </c>
      <c r="AK516" t="s">
        <v>74</v>
      </c>
      <c r="AL516" t="s">
        <v>74</v>
      </c>
      <c r="AM516" t="s">
        <v>74</v>
      </c>
      <c r="AN516" t="s">
        <v>74</v>
      </c>
      <c r="AO516" t="s">
        <v>182</v>
      </c>
      <c r="AP516" t="s">
        <v>183</v>
      </c>
      <c r="AQ516" t="s">
        <v>74</v>
      </c>
      <c r="AR516" t="s">
        <v>74</v>
      </c>
      <c r="AS516" t="s">
        <v>74</v>
      </c>
      <c r="AT516" t="s">
        <v>451</v>
      </c>
      <c r="AU516">
        <v>2015</v>
      </c>
      <c r="AV516">
        <v>124</v>
      </c>
      <c r="AW516">
        <v>9</v>
      </c>
      <c r="AX516" t="s">
        <v>74</v>
      </c>
      <c r="AY516" t="s">
        <v>74</v>
      </c>
      <c r="AZ516" t="s">
        <v>74</v>
      </c>
      <c r="BA516" t="s">
        <v>74</v>
      </c>
      <c r="BB516">
        <v>1192</v>
      </c>
      <c r="BC516">
        <v>1202</v>
      </c>
      <c r="BD516" t="s">
        <v>74</v>
      </c>
      <c r="BE516" t="s">
        <v>3914</v>
      </c>
      <c r="BF516" t="str">
        <f>HYPERLINK("http://dx.doi.org/10.1111/oik.01463","http://dx.doi.org/10.1111/oik.01463")</f>
        <v>http://dx.doi.org/10.1111/oik.01463</v>
      </c>
      <c r="BG516" t="s">
        <v>74</v>
      </c>
      <c r="BH516" t="s">
        <v>74</v>
      </c>
      <c r="BI516" t="s">
        <v>74</v>
      </c>
      <c r="BJ516" t="s">
        <v>74</v>
      </c>
      <c r="BK516" t="s">
        <v>74</v>
      </c>
      <c r="BL516" t="s">
        <v>74</v>
      </c>
      <c r="BM516" t="s">
        <v>74</v>
      </c>
      <c r="BN516" t="s">
        <v>74</v>
      </c>
      <c r="BO516" t="s">
        <v>74</v>
      </c>
      <c r="BP516" t="s">
        <v>74</v>
      </c>
      <c r="BQ516" t="s">
        <v>74</v>
      </c>
      <c r="BR516" t="s">
        <v>74</v>
      </c>
      <c r="BS516" t="s">
        <v>3915</v>
      </c>
      <c r="BT516" t="str">
        <f>HYPERLINK("https%3A%2F%2Fwww.webofscience.com%2Fwos%2Fwoscc%2Ffull-record%2FWOS:000360823400009","View Full Record in Web of Science")</f>
        <v>View Full Record in Web of Science</v>
      </c>
    </row>
    <row r="517" spans="1:72" x14ac:dyDescent="0.2">
      <c r="A517" t="s">
        <v>72</v>
      </c>
      <c r="B517" t="s">
        <v>6747</v>
      </c>
      <c r="C517" t="s">
        <v>74</v>
      </c>
      <c r="D517" t="s">
        <v>74</v>
      </c>
      <c r="E517" t="s">
        <v>74</v>
      </c>
      <c r="F517" t="s">
        <v>6748</v>
      </c>
      <c r="G517" t="s">
        <v>74</v>
      </c>
      <c r="H517" t="s">
        <v>74</v>
      </c>
      <c r="I517" t="s">
        <v>6749</v>
      </c>
      <c r="J517" t="s">
        <v>6750</v>
      </c>
      <c r="K517" t="s">
        <v>74</v>
      </c>
      <c r="L517" t="s">
        <v>74</v>
      </c>
      <c r="M517" t="s">
        <v>74</v>
      </c>
      <c r="N517" t="s">
        <v>74</v>
      </c>
      <c r="O517" t="s">
        <v>74</v>
      </c>
      <c r="P517" t="s">
        <v>74</v>
      </c>
      <c r="Q517" t="s">
        <v>74</v>
      </c>
      <c r="R517" t="s">
        <v>74</v>
      </c>
      <c r="S517" t="s">
        <v>74</v>
      </c>
      <c r="T517" t="s">
        <v>74</v>
      </c>
      <c r="U517" t="s">
        <v>74</v>
      </c>
      <c r="V517" t="s">
        <v>74</v>
      </c>
      <c r="W517" t="s">
        <v>74</v>
      </c>
      <c r="X517" t="s">
        <v>74</v>
      </c>
      <c r="Y517" t="s">
        <v>74</v>
      </c>
      <c r="Z517" t="s">
        <v>74</v>
      </c>
      <c r="AA517" t="s">
        <v>6751</v>
      </c>
      <c r="AB517" t="s">
        <v>6752</v>
      </c>
      <c r="AC517" t="s">
        <v>74</v>
      </c>
      <c r="AD517" t="s">
        <v>74</v>
      </c>
      <c r="AE517" t="s">
        <v>74</v>
      </c>
      <c r="AF517" t="s">
        <v>74</v>
      </c>
      <c r="AG517" t="s">
        <v>74</v>
      </c>
      <c r="AH517" t="s">
        <v>74</v>
      </c>
      <c r="AI517" t="s">
        <v>74</v>
      </c>
      <c r="AJ517" t="s">
        <v>74</v>
      </c>
      <c r="AK517" t="s">
        <v>74</v>
      </c>
      <c r="AL517" t="s">
        <v>74</v>
      </c>
      <c r="AM517" t="s">
        <v>74</v>
      </c>
      <c r="AN517" t="s">
        <v>74</v>
      </c>
      <c r="AO517" t="s">
        <v>6753</v>
      </c>
      <c r="AP517" t="s">
        <v>6754</v>
      </c>
      <c r="AQ517" t="s">
        <v>74</v>
      </c>
      <c r="AR517" t="s">
        <v>74</v>
      </c>
      <c r="AS517" t="s">
        <v>74</v>
      </c>
      <c r="AT517" t="s">
        <v>520</v>
      </c>
      <c r="AU517">
        <v>2015</v>
      </c>
      <c r="AV517">
        <v>46</v>
      </c>
      <c r="AW517">
        <v>8</v>
      </c>
      <c r="AX517" t="s">
        <v>74</v>
      </c>
      <c r="AY517" t="s">
        <v>74</v>
      </c>
      <c r="AZ517" t="s">
        <v>74</v>
      </c>
      <c r="BA517" t="s">
        <v>74</v>
      </c>
      <c r="BB517">
        <v>1937</v>
      </c>
      <c r="BC517">
        <v>1945</v>
      </c>
      <c r="BD517" t="s">
        <v>74</v>
      </c>
      <c r="BE517" t="s">
        <v>6755</v>
      </c>
      <c r="BF517" t="str">
        <f>HYPERLINK("http://dx.doi.org/10.1111/are.12348","http://dx.doi.org/10.1111/are.12348")</f>
        <v>http://dx.doi.org/10.1111/are.12348</v>
      </c>
      <c r="BG517" t="s">
        <v>74</v>
      </c>
      <c r="BH517" t="s">
        <v>74</v>
      </c>
      <c r="BI517" t="s">
        <v>74</v>
      </c>
      <c r="BJ517" t="s">
        <v>74</v>
      </c>
      <c r="BK517" t="s">
        <v>74</v>
      </c>
      <c r="BL517" t="s">
        <v>74</v>
      </c>
      <c r="BM517" t="s">
        <v>74</v>
      </c>
      <c r="BN517" t="s">
        <v>74</v>
      </c>
      <c r="BO517" t="s">
        <v>74</v>
      </c>
      <c r="BP517" t="s">
        <v>74</v>
      </c>
      <c r="BQ517" t="s">
        <v>74</v>
      </c>
      <c r="BR517" t="s">
        <v>74</v>
      </c>
      <c r="BS517" t="s">
        <v>6756</v>
      </c>
      <c r="BT517" t="str">
        <f>HYPERLINK("https%3A%2F%2Fwww.webofscience.com%2Fwos%2Fwoscc%2Ffull-record%2FWOS:000357820100014","View Full Record in Web of Science")</f>
        <v>View Full Record in Web of Science</v>
      </c>
    </row>
    <row r="518" spans="1:72" x14ac:dyDescent="0.2">
      <c r="A518" t="s">
        <v>72</v>
      </c>
      <c r="B518" t="s">
        <v>3916</v>
      </c>
      <c r="C518" t="s">
        <v>74</v>
      </c>
      <c r="D518" t="s">
        <v>74</v>
      </c>
      <c r="E518" t="s">
        <v>74</v>
      </c>
      <c r="F518" t="s">
        <v>3917</v>
      </c>
      <c r="G518" t="s">
        <v>74</v>
      </c>
      <c r="H518" t="s">
        <v>74</v>
      </c>
      <c r="I518" t="s">
        <v>3918</v>
      </c>
      <c r="J518" t="s">
        <v>3919</v>
      </c>
      <c r="K518" t="s">
        <v>74</v>
      </c>
      <c r="L518" t="s">
        <v>74</v>
      </c>
      <c r="M518" t="s">
        <v>74</v>
      </c>
      <c r="N518" t="s">
        <v>74</v>
      </c>
      <c r="O518" t="s">
        <v>74</v>
      </c>
      <c r="P518" t="s">
        <v>74</v>
      </c>
      <c r="Q518" t="s">
        <v>74</v>
      </c>
      <c r="R518" t="s">
        <v>74</v>
      </c>
      <c r="S518" t="s">
        <v>74</v>
      </c>
      <c r="T518" t="s">
        <v>74</v>
      </c>
      <c r="U518" t="s">
        <v>74</v>
      </c>
      <c r="V518" t="s">
        <v>74</v>
      </c>
      <c r="W518" t="s">
        <v>74</v>
      </c>
      <c r="X518" t="s">
        <v>74</v>
      </c>
      <c r="Y518" t="s">
        <v>74</v>
      </c>
      <c r="Z518" t="s">
        <v>74</v>
      </c>
      <c r="AA518" t="s">
        <v>7063</v>
      </c>
      <c r="AB518" t="s">
        <v>7064</v>
      </c>
      <c r="AC518" t="s">
        <v>74</v>
      </c>
      <c r="AD518" t="s">
        <v>74</v>
      </c>
      <c r="AE518" t="s">
        <v>74</v>
      </c>
      <c r="AF518" t="s">
        <v>74</v>
      </c>
      <c r="AG518" t="s">
        <v>74</v>
      </c>
      <c r="AH518" t="s">
        <v>74</v>
      </c>
      <c r="AI518" t="s">
        <v>74</v>
      </c>
      <c r="AJ518" t="s">
        <v>74</v>
      </c>
      <c r="AK518" t="s">
        <v>74</v>
      </c>
      <c r="AL518" t="s">
        <v>74</v>
      </c>
      <c r="AM518" t="s">
        <v>74</v>
      </c>
      <c r="AN518" t="s">
        <v>74</v>
      </c>
      <c r="AO518" t="s">
        <v>3920</v>
      </c>
      <c r="AP518" t="s">
        <v>3921</v>
      </c>
      <c r="AQ518" t="s">
        <v>74</v>
      </c>
      <c r="AR518" t="s">
        <v>74</v>
      </c>
      <c r="AS518" t="s">
        <v>74</v>
      </c>
      <c r="AT518" t="s">
        <v>520</v>
      </c>
      <c r="AU518">
        <v>2015</v>
      </c>
      <c r="AV518">
        <v>81</v>
      </c>
      <c r="AW518">
        <v>15</v>
      </c>
      <c r="AX518" t="s">
        <v>74</v>
      </c>
      <c r="AY518" t="s">
        <v>74</v>
      </c>
      <c r="AZ518" t="s">
        <v>74</v>
      </c>
      <c r="BA518" t="s">
        <v>74</v>
      </c>
      <c r="BB518">
        <v>4993</v>
      </c>
      <c r="BC518">
        <v>5002</v>
      </c>
      <c r="BD518" t="s">
        <v>74</v>
      </c>
      <c r="BE518" t="s">
        <v>3922</v>
      </c>
      <c r="BF518" t="str">
        <f>HYPERLINK("http://dx.doi.org/10.1128/AEM.00396-15","http://dx.doi.org/10.1128/AEM.00396-15")</f>
        <v>http://dx.doi.org/10.1128/AEM.00396-15</v>
      </c>
      <c r="BG518" t="s">
        <v>74</v>
      </c>
      <c r="BH518" t="s">
        <v>74</v>
      </c>
      <c r="BI518" t="s">
        <v>74</v>
      </c>
      <c r="BJ518" t="s">
        <v>74</v>
      </c>
      <c r="BK518" t="s">
        <v>74</v>
      </c>
      <c r="BL518" t="s">
        <v>74</v>
      </c>
      <c r="BM518" t="s">
        <v>74</v>
      </c>
      <c r="BN518">
        <v>25979896</v>
      </c>
      <c r="BO518" t="s">
        <v>74</v>
      </c>
      <c r="BP518" t="s">
        <v>74</v>
      </c>
      <c r="BQ518" t="s">
        <v>74</v>
      </c>
      <c r="BR518" t="s">
        <v>74</v>
      </c>
      <c r="BS518" t="s">
        <v>3923</v>
      </c>
      <c r="BT518" t="str">
        <f>HYPERLINK("https%3A%2F%2Fwww.webofscience.com%2Fwos%2Fwoscc%2Ffull-record%2FWOS:000357668600014","View Full Record in Web of Science")</f>
        <v>View Full Record in Web of Science</v>
      </c>
    </row>
    <row r="519" spans="1:72" x14ac:dyDescent="0.2">
      <c r="A519" t="s">
        <v>72</v>
      </c>
      <c r="B519" t="s">
        <v>3924</v>
      </c>
      <c r="C519" t="s">
        <v>74</v>
      </c>
      <c r="D519" t="s">
        <v>74</v>
      </c>
      <c r="E519" t="s">
        <v>74</v>
      </c>
      <c r="F519" t="s">
        <v>3925</v>
      </c>
      <c r="G519" t="s">
        <v>74</v>
      </c>
      <c r="H519" t="s">
        <v>74</v>
      </c>
      <c r="I519" t="s">
        <v>3926</v>
      </c>
      <c r="J519" t="s">
        <v>3927</v>
      </c>
      <c r="K519" t="s">
        <v>74</v>
      </c>
      <c r="L519" t="s">
        <v>74</v>
      </c>
      <c r="M519" t="s">
        <v>74</v>
      </c>
      <c r="N519" t="s">
        <v>74</v>
      </c>
      <c r="O519" t="s">
        <v>74</v>
      </c>
      <c r="P519" t="s">
        <v>74</v>
      </c>
      <c r="Q519" t="s">
        <v>74</v>
      </c>
      <c r="R519" t="s">
        <v>74</v>
      </c>
      <c r="S519" t="s">
        <v>74</v>
      </c>
      <c r="T519" t="s">
        <v>74</v>
      </c>
      <c r="U519" t="s">
        <v>74</v>
      </c>
      <c r="V519" t="s">
        <v>74</v>
      </c>
      <c r="W519" t="s">
        <v>74</v>
      </c>
      <c r="X519" t="s">
        <v>74</v>
      </c>
      <c r="Y519" t="s">
        <v>74</v>
      </c>
      <c r="Z519" t="s">
        <v>74</v>
      </c>
      <c r="AA519" t="s">
        <v>7065</v>
      </c>
      <c r="AB519" t="s">
        <v>7066</v>
      </c>
      <c r="AC519" t="s">
        <v>74</v>
      </c>
      <c r="AD519" t="s">
        <v>74</v>
      </c>
      <c r="AE519" t="s">
        <v>74</v>
      </c>
      <c r="AF519" t="s">
        <v>74</v>
      </c>
      <c r="AG519" t="s">
        <v>74</v>
      </c>
      <c r="AH519" t="s">
        <v>74</v>
      </c>
      <c r="AI519" t="s">
        <v>74</v>
      </c>
      <c r="AJ519" t="s">
        <v>74</v>
      </c>
      <c r="AK519" t="s">
        <v>74</v>
      </c>
      <c r="AL519" t="s">
        <v>74</v>
      </c>
      <c r="AM519" t="s">
        <v>74</v>
      </c>
      <c r="AN519" t="s">
        <v>74</v>
      </c>
      <c r="AO519" t="s">
        <v>3928</v>
      </c>
      <c r="AP519" t="s">
        <v>3929</v>
      </c>
      <c r="AQ519" t="s">
        <v>74</v>
      </c>
      <c r="AR519" t="s">
        <v>74</v>
      </c>
      <c r="AS519" t="s">
        <v>74</v>
      </c>
      <c r="AT519" t="s">
        <v>3930</v>
      </c>
      <c r="AU519">
        <v>2015</v>
      </c>
      <c r="AV519">
        <v>34</v>
      </c>
      <c r="AW519" t="s">
        <v>74</v>
      </c>
      <c r="AX519" t="s">
        <v>74</v>
      </c>
      <c r="AY519" t="s">
        <v>74</v>
      </c>
      <c r="AZ519" t="s">
        <v>74</v>
      </c>
      <c r="BA519" t="s">
        <v>74</v>
      </c>
      <c r="BB519">
        <v>28</v>
      </c>
      <c r="BC519">
        <v>36</v>
      </c>
      <c r="BD519" t="s">
        <v>74</v>
      </c>
      <c r="BE519" t="s">
        <v>3931</v>
      </c>
      <c r="BF519" t="str">
        <f>HYPERLINK("http://dx.doi.org/10.1016/j.jes.2015.03.003","http://dx.doi.org/10.1016/j.jes.2015.03.003")</f>
        <v>http://dx.doi.org/10.1016/j.jes.2015.03.003</v>
      </c>
      <c r="BG519" t="s">
        <v>74</v>
      </c>
      <c r="BH519" t="s">
        <v>74</v>
      </c>
      <c r="BI519" t="s">
        <v>74</v>
      </c>
      <c r="BJ519" t="s">
        <v>74</v>
      </c>
      <c r="BK519" t="s">
        <v>74</v>
      </c>
      <c r="BL519" t="s">
        <v>74</v>
      </c>
      <c r="BM519" t="s">
        <v>74</v>
      </c>
      <c r="BN519">
        <v>26257343</v>
      </c>
      <c r="BO519" t="s">
        <v>74</v>
      </c>
      <c r="BP519" t="s">
        <v>74</v>
      </c>
      <c r="BQ519" t="s">
        <v>74</v>
      </c>
      <c r="BR519" t="s">
        <v>74</v>
      </c>
      <c r="BS519" t="s">
        <v>3932</v>
      </c>
      <c r="BT519" t="str">
        <f>HYPERLINK("https%3A%2F%2Fwww.webofscience.com%2Fwos%2Fwoscc%2Ffull-record%2FWOS:000362980400004","View Full Record in Web of Science")</f>
        <v>View Full Record in Web of Science</v>
      </c>
    </row>
    <row r="520" spans="1:72" x14ac:dyDescent="0.2">
      <c r="A520" t="s">
        <v>72</v>
      </c>
      <c r="B520" t="s">
        <v>3933</v>
      </c>
      <c r="C520" t="s">
        <v>74</v>
      </c>
      <c r="D520" t="s">
        <v>74</v>
      </c>
      <c r="E520" t="s">
        <v>74</v>
      </c>
      <c r="F520" t="s">
        <v>3934</v>
      </c>
      <c r="G520" t="s">
        <v>74</v>
      </c>
      <c r="H520" t="s">
        <v>74</v>
      </c>
      <c r="I520" t="s">
        <v>3935</v>
      </c>
      <c r="J520" t="s">
        <v>3936</v>
      </c>
      <c r="K520" t="s">
        <v>74</v>
      </c>
      <c r="L520" t="s">
        <v>74</v>
      </c>
      <c r="M520" t="s">
        <v>74</v>
      </c>
      <c r="N520" t="s">
        <v>74</v>
      </c>
      <c r="O520" t="s">
        <v>74</v>
      </c>
      <c r="P520" t="s">
        <v>74</v>
      </c>
      <c r="Q520" t="s">
        <v>74</v>
      </c>
      <c r="R520" t="s">
        <v>74</v>
      </c>
      <c r="S520" t="s">
        <v>74</v>
      </c>
      <c r="T520" t="s">
        <v>74</v>
      </c>
      <c r="U520" t="s">
        <v>74</v>
      </c>
      <c r="V520" t="s">
        <v>74</v>
      </c>
      <c r="W520" t="s">
        <v>74</v>
      </c>
      <c r="X520" t="s">
        <v>74</v>
      </c>
      <c r="Y520" t="s">
        <v>74</v>
      </c>
      <c r="Z520" t="s">
        <v>74</v>
      </c>
      <c r="AA520" t="s">
        <v>3937</v>
      </c>
      <c r="AB520" t="s">
        <v>3938</v>
      </c>
      <c r="AC520" t="s">
        <v>74</v>
      </c>
      <c r="AD520" t="s">
        <v>74</v>
      </c>
      <c r="AE520" t="s">
        <v>74</v>
      </c>
      <c r="AF520" t="s">
        <v>74</v>
      </c>
      <c r="AG520" t="s">
        <v>74</v>
      </c>
      <c r="AH520" t="s">
        <v>74</v>
      </c>
      <c r="AI520" t="s">
        <v>74</v>
      </c>
      <c r="AJ520" t="s">
        <v>74</v>
      </c>
      <c r="AK520" t="s">
        <v>74</v>
      </c>
      <c r="AL520" t="s">
        <v>74</v>
      </c>
      <c r="AM520" t="s">
        <v>74</v>
      </c>
      <c r="AN520" t="s">
        <v>74</v>
      </c>
      <c r="AO520" t="s">
        <v>3939</v>
      </c>
      <c r="AP520" t="s">
        <v>3940</v>
      </c>
      <c r="AQ520" t="s">
        <v>74</v>
      </c>
      <c r="AR520" t="s">
        <v>74</v>
      </c>
      <c r="AS520" t="s">
        <v>74</v>
      </c>
      <c r="AT520" t="s">
        <v>624</v>
      </c>
      <c r="AU520">
        <v>2015</v>
      </c>
      <c r="AV520">
        <v>21</v>
      </c>
      <c r="AW520">
        <v>7</v>
      </c>
      <c r="AX520" t="s">
        <v>74</v>
      </c>
      <c r="AY520" t="s">
        <v>74</v>
      </c>
      <c r="AZ520" t="s">
        <v>74</v>
      </c>
      <c r="BA520" t="s">
        <v>74</v>
      </c>
      <c r="BB520">
        <v>803</v>
      </c>
      <c r="BC520">
        <v>812</v>
      </c>
      <c r="BD520" t="s">
        <v>74</v>
      </c>
      <c r="BE520" t="s">
        <v>3941</v>
      </c>
      <c r="BF520" t="str">
        <f>HYPERLINK("http://dx.doi.org/10.1111/ddi.12318","http://dx.doi.org/10.1111/ddi.12318")</f>
        <v>http://dx.doi.org/10.1111/ddi.12318</v>
      </c>
      <c r="BG520" t="s">
        <v>74</v>
      </c>
      <c r="BH520" t="s">
        <v>74</v>
      </c>
      <c r="BI520" t="s">
        <v>74</v>
      </c>
      <c r="BJ520" t="s">
        <v>74</v>
      </c>
      <c r="BK520" t="s">
        <v>74</v>
      </c>
      <c r="BL520" t="s">
        <v>74</v>
      </c>
      <c r="BM520" t="s">
        <v>74</v>
      </c>
      <c r="BN520" t="s">
        <v>74</v>
      </c>
      <c r="BO520" t="s">
        <v>74</v>
      </c>
      <c r="BP520" t="s">
        <v>74</v>
      </c>
      <c r="BQ520" t="s">
        <v>74</v>
      </c>
      <c r="BR520" t="s">
        <v>74</v>
      </c>
      <c r="BS520" t="s">
        <v>3942</v>
      </c>
      <c r="BT520" t="str">
        <f>HYPERLINK("https%3A%2F%2Fwww.webofscience.com%2Fwos%2Fwoscc%2Ffull-record%2FWOS:000357812400007","View Full Record in Web of Science")</f>
        <v>View Full Record in Web of Science</v>
      </c>
    </row>
    <row r="521" spans="1:72" x14ac:dyDescent="0.2">
      <c r="A521" t="s">
        <v>72</v>
      </c>
      <c r="B521" t="s">
        <v>3943</v>
      </c>
      <c r="C521" t="s">
        <v>74</v>
      </c>
      <c r="D521" t="s">
        <v>74</v>
      </c>
      <c r="E521" t="s">
        <v>74</v>
      </c>
      <c r="F521" t="s">
        <v>3944</v>
      </c>
      <c r="G521" t="s">
        <v>74</v>
      </c>
      <c r="H521" t="s">
        <v>74</v>
      </c>
      <c r="I521" t="s">
        <v>3945</v>
      </c>
      <c r="J521" t="s">
        <v>2268</v>
      </c>
      <c r="K521" t="s">
        <v>74</v>
      </c>
      <c r="L521" t="s">
        <v>74</v>
      </c>
      <c r="M521" t="s">
        <v>74</v>
      </c>
      <c r="N521" t="s">
        <v>74</v>
      </c>
      <c r="O521" t="s">
        <v>74</v>
      </c>
      <c r="P521" t="s">
        <v>74</v>
      </c>
      <c r="Q521" t="s">
        <v>74</v>
      </c>
      <c r="R521" t="s">
        <v>74</v>
      </c>
      <c r="S521" t="s">
        <v>74</v>
      </c>
      <c r="T521" t="s">
        <v>74</v>
      </c>
      <c r="U521" t="s">
        <v>74</v>
      </c>
      <c r="V521" t="s">
        <v>74</v>
      </c>
      <c r="W521" t="s">
        <v>74</v>
      </c>
      <c r="X521" t="s">
        <v>74</v>
      </c>
      <c r="Y521" t="s">
        <v>74</v>
      </c>
      <c r="Z521" t="s">
        <v>74</v>
      </c>
      <c r="AA521" t="s">
        <v>7067</v>
      </c>
      <c r="AB521" t="s">
        <v>7068</v>
      </c>
      <c r="AC521" t="s">
        <v>74</v>
      </c>
      <c r="AD521" t="s">
        <v>74</v>
      </c>
      <c r="AE521" t="s">
        <v>74</v>
      </c>
      <c r="AF521" t="s">
        <v>74</v>
      </c>
      <c r="AG521" t="s">
        <v>74</v>
      </c>
      <c r="AH521" t="s">
        <v>74</v>
      </c>
      <c r="AI521" t="s">
        <v>74</v>
      </c>
      <c r="AJ521" t="s">
        <v>74</v>
      </c>
      <c r="AK521" t="s">
        <v>74</v>
      </c>
      <c r="AL521" t="s">
        <v>74</v>
      </c>
      <c r="AM521" t="s">
        <v>74</v>
      </c>
      <c r="AN521" t="s">
        <v>74</v>
      </c>
      <c r="AO521" t="s">
        <v>2269</v>
      </c>
      <c r="AP521" t="s">
        <v>2270</v>
      </c>
      <c r="AQ521" t="s">
        <v>74</v>
      </c>
      <c r="AR521" t="s">
        <v>74</v>
      </c>
      <c r="AS521" t="s">
        <v>74</v>
      </c>
      <c r="AT521" t="s">
        <v>624</v>
      </c>
      <c r="AU521">
        <v>2015</v>
      </c>
      <c r="AV521">
        <v>186</v>
      </c>
      <c r="AW521">
        <v>1</v>
      </c>
      <c r="AX521" t="s">
        <v>74</v>
      </c>
      <c r="AY521" t="s">
        <v>74</v>
      </c>
      <c r="AZ521" t="s">
        <v>74</v>
      </c>
      <c r="BA521" t="s">
        <v>74</v>
      </c>
      <c r="BB521">
        <v>72</v>
      </c>
      <c r="BC521">
        <v>83</v>
      </c>
      <c r="BD521" t="s">
        <v>74</v>
      </c>
      <c r="BE521" t="s">
        <v>3946</v>
      </c>
      <c r="BF521" t="str">
        <f>HYPERLINK("http://dx.doi.org/10.1086/681620","http://dx.doi.org/10.1086/681620")</f>
        <v>http://dx.doi.org/10.1086/681620</v>
      </c>
      <c r="BG521" t="s">
        <v>74</v>
      </c>
      <c r="BH521" t="s">
        <v>74</v>
      </c>
      <c r="BI521" t="s">
        <v>74</v>
      </c>
      <c r="BJ521" t="s">
        <v>74</v>
      </c>
      <c r="BK521" t="s">
        <v>74</v>
      </c>
      <c r="BL521" t="s">
        <v>74</v>
      </c>
      <c r="BM521" t="s">
        <v>74</v>
      </c>
      <c r="BN521">
        <v>26098340</v>
      </c>
      <c r="BO521" t="s">
        <v>74</v>
      </c>
      <c r="BP521" t="s">
        <v>74</v>
      </c>
      <c r="BQ521" t="s">
        <v>74</v>
      </c>
      <c r="BR521" t="s">
        <v>74</v>
      </c>
      <c r="BS521" t="s">
        <v>3947</v>
      </c>
      <c r="BT521" t="str">
        <f>HYPERLINK("https%3A%2F%2Fwww.webofscience.com%2Fwos%2Fwoscc%2Ffull-record%2FWOS:000356632700009","View Full Record in Web of Science")</f>
        <v>View Full Record in Web of Science</v>
      </c>
    </row>
    <row r="522" spans="1:72" x14ac:dyDescent="0.2">
      <c r="A522" t="s">
        <v>72</v>
      </c>
      <c r="B522" t="s">
        <v>3948</v>
      </c>
      <c r="C522" t="s">
        <v>74</v>
      </c>
      <c r="D522" t="s">
        <v>74</v>
      </c>
      <c r="E522" t="s">
        <v>74</v>
      </c>
      <c r="F522" t="s">
        <v>3949</v>
      </c>
      <c r="G522" t="s">
        <v>74</v>
      </c>
      <c r="H522" t="s">
        <v>74</v>
      </c>
      <c r="I522" t="s">
        <v>3950</v>
      </c>
      <c r="J522" t="s">
        <v>596</v>
      </c>
      <c r="K522" t="s">
        <v>74</v>
      </c>
      <c r="L522" t="s">
        <v>74</v>
      </c>
      <c r="M522" t="s">
        <v>74</v>
      </c>
      <c r="N522" t="s">
        <v>74</v>
      </c>
      <c r="O522" t="s">
        <v>74</v>
      </c>
      <c r="P522" t="s">
        <v>74</v>
      </c>
      <c r="Q522" t="s">
        <v>74</v>
      </c>
      <c r="R522" t="s">
        <v>74</v>
      </c>
      <c r="S522" t="s">
        <v>74</v>
      </c>
      <c r="T522" t="s">
        <v>74</v>
      </c>
      <c r="U522" t="s">
        <v>74</v>
      </c>
      <c r="V522" t="s">
        <v>74</v>
      </c>
      <c r="W522" t="s">
        <v>74</v>
      </c>
      <c r="X522" t="s">
        <v>74</v>
      </c>
      <c r="Y522" t="s">
        <v>74</v>
      </c>
      <c r="Z522" t="s">
        <v>74</v>
      </c>
      <c r="AA522" t="s">
        <v>7069</v>
      </c>
      <c r="AB522" t="s">
        <v>7070</v>
      </c>
      <c r="AC522" t="s">
        <v>74</v>
      </c>
      <c r="AD522" t="s">
        <v>74</v>
      </c>
      <c r="AE522" t="s">
        <v>74</v>
      </c>
      <c r="AF522" t="s">
        <v>74</v>
      </c>
      <c r="AG522" t="s">
        <v>74</v>
      </c>
      <c r="AH522" t="s">
        <v>74</v>
      </c>
      <c r="AI522" t="s">
        <v>74</v>
      </c>
      <c r="AJ522" t="s">
        <v>74</v>
      </c>
      <c r="AK522" t="s">
        <v>74</v>
      </c>
      <c r="AL522" t="s">
        <v>74</v>
      </c>
      <c r="AM522" t="s">
        <v>74</v>
      </c>
      <c r="AN522" t="s">
        <v>74</v>
      </c>
      <c r="AO522" t="s">
        <v>597</v>
      </c>
      <c r="AP522" t="s">
        <v>74</v>
      </c>
      <c r="AQ522" t="s">
        <v>74</v>
      </c>
      <c r="AR522" t="s">
        <v>74</v>
      </c>
      <c r="AS522" t="s">
        <v>74</v>
      </c>
      <c r="AT522" t="s">
        <v>569</v>
      </c>
      <c r="AU522">
        <v>2015</v>
      </c>
      <c r="AV522">
        <v>6</v>
      </c>
      <c r="AW522">
        <v>6</v>
      </c>
      <c r="AX522" t="s">
        <v>74</v>
      </c>
      <c r="AY522" t="s">
        <v>74</v>
      </c>
      <c r="AZ522" t="s">
        <v>74</v>
      </c>
      <c r="BA522" t="s">
        <v>74</v>
      </c>
      <c r="BB522" t="s">
        <v>74</v>
      </c>
      <c r="BC522" t="s">
        <v>74</v>
      </c>
      <c r="BD522">
        <v>105</v>
      </c>
      <c r="BE522" t="s">
        <v>3951</v>
      </c>
      <c r="BF522" t="str">
        <f>HYPERLINK("http://dx.doi.org/10.1890/ES14-00392.1","http://dx.doi.org/10.1890/ES14-00392.1")</f>
        <v>http://dx.doi.org/10.1890/ES14-00392.1</v>
      </c>
      <c r="BG522" t="s">
        <v>74</v>
      </c>
      <c r="BH522" t="s">
        <v>74</v>
      </c>
      <c r="BI522" t="s">
        <v>74</v>
      </c>
      <c r="BJ522" t="s">
        <v>74</v>
      </c>
      <c r="BK522" t="s">
        <v>74</v>
      </c>
      <c r="BL522" t="s">
        <v>74</v>
      </c>
      <c r="BM522" t="s">
        <v>74</v>
      </c>
      <c r="BN522" t="s">
        <v>74</v>
      </c>
      <c r="BO522" t="s">
        <v>74</v>
      </c>
      <c r="BP522" t="s">
        <v>74</v>
      </c>
      <c r="BQ522" t="s">
        <v>74</v>
      </c>
      <c r="BR522" t="s">
        <v>74</v>
      </c>
      <c r="BS522" t="s">
        <v>3952</v>
      </c>
      <c r="BT522" t="str">
        <f>HYPERLINK("https%3A%2F%2Fwww.webofscience.com%2Fwos%2Fwoscc%2Ffull-record%2FWOS:000358433300017","View Full Record in Web of Science")</f>
        <v>View Full Record in Web of Science</v>
      </c>
    </row>
    <row r="523" spans="1:72" x14ac:dyDescent="0.2">
      <c r="A523" t="s">
        <v>72</v>
      </c>
      <c r="B523" t="s">
        <v>3953</v>
      </c>
      <c r="C523" t="s">
        <v>74</v>
      </c>
      <c r="D523" t="s">
        <v>74</v>
      </c>
      <c r="E523" t="s">
        <v>74</v>
      </c>
      <c r="F523" t="s">
        <v>3954</v>
      </c>
      <c r="G523" t="s">
        <v>74</v>
      </c>
      <c r="H523" t="s">
        <v>74</v>
      </c>
      <c r="I523" t="s">
        <v>3955</v>
      </c>
      <c r="J523" t="s">
        <v>502</v>
      </c>
      <c r="K523" t="s">
        <v>74</v>
      </c>
      <c r="L523" t="s">
        <v>74</v>
      </c>
      <c r="M523" t="s">
        <v>74</v>
      </c>
      <c r="N523" t="s">
        <v>74</v>
      </c>
      <c r="O523" t="s">
        <v>74</v>
      </c>
      <c r="P523" t="s">
        <v>74</v>
      </c>
      <c r="Q523" t="s">
        <v>74</v>
      </c>
      <c r="R523" t="s">
        <v>74</v>
      </c>
      <c r="S523" t="s">
        <v>74</v>
      </c>
      <c r="T523" t="s">
        <v>74</v>
      </c>
      <c r="U523" t="s">
        <v>74</v>
      </c>
      <c r="V523" t="s">
        <v>74</v>
      </c>
      <c r="W523" t="s">
        <v>74</v>
      </c>
      <c r="X523" t="s">
        <v>74</v>
      </c>
      <c r="Y523" t="s">
        <v>74</v>
      </c>
      <c r="Z523" t="s">
        <v>74</v>
      </c>
      <c r="AA523" t="s">
        <v>7071</v>
      </c>
      <c r="AB523" t="s">
        <v>7072</v>
      </c>
      <c r="AC523" t="s">
        <v>74</v>
      </c>
      <c r="AD523" t="s">
        <v>74</v>
      </c>
      <c r="AE523" t="s">
        <v>74</v>
      </c>
      <c r="AF523" t="s">
        <v>74</v>
      </c>
      <c r="AG523" t="s">
        <v>74</v>
      </c>
      <c r="AH523" t="s">
        <v>74</v>
      </c>
      <c r="AI523" t="s">
        <v>74</v>
      </c>
      <c r="AJ523" t="s">
        <v>74</v>
      </c>
      <c r="AK523" t="s">
        <v>74</v>
      </c>
      <c r="AL523" t="s">
        <v>74</v>
      </c>
      <c r="AM523" t="s">
        <v>74</v>
      </c>
      <c r="AN523" t="s">
        <v>74</v>
      </c>
      <c r="AO523" t="s">
        <v>503</v>
      </c>
      <c r="AP523" t="s">
        <v>504</v>
      </c>
      <c r="AQ523" t="s">
        <v>74</v>
      </c>
      <c r="AR523" t="s">
        <v>74</v>
      </c>
      <c r="AS523" t="s">
        <v>74</v>
      </c>
      <c r="AT523" t="s">
        <v>569</v>
      </c>
      <c r="AU523">
        <v>2015</v>
      </c>
      <c r="AV523">
        <v>53</v>
      </c>
      <c r="AW523" t="s">
        <v>74</v>
      </c>
      <c r="AX523" t="s">
        <v>74</v>
      </c>
      <c r="AY523" t="s">
        <v>74</v>
      </c>
      <c r="AZ523" t="s">
        <v>74</v>
      </c>
      <c r="BA523" t="s">
        <v>74</v>
      </c>
      <c r="BB523">
        <v>271</v>
      </c>
      <c r="BC523">
        <v>282</v>
      </c>
      <c r="BD523" t="s">
        <v>74</v>
      </c>
      <c r="BE523" t="s">
        <v>3956</v>
      </c>
      <c r="BF523" t="str">
        <f>HYPERLINK("http://dx.doi.org/10.1016/j.ecolind.2015.02.007","http://dx.doi.org/10.1016/j.ecolind.2015.02.007")</f>
        <v>http://dx.doi.org/10.1016/j.ecolind.2015.02.007</v>
      </c>
      <c r="BG523" t="s">
        <v>74</v>
      </c>
      <c r="BH523" t="s">
        <v>74</v>
      </c>
      <c r="BI523" t="s">
        <v>74</v>
      </c>
      <c r="BJ523" t="s">
        <v>74</v>
      </c>
      <c r="BK523" t="s">
        <v>74</v>
      </c>
      <c r="BL523" t="s">
        <v>74</v>
      </c>
      <c r="BM523" t="s">
        <v>74</v>
      </c>
      <c r="BN523" t="s">
        <v>74</v>
      </c>
      <c r="BO523" t="s">
        <v>74</v>
      </c>
      <c r="BP523" t="s">
        <v>74</v>
      </c>
      <c r="BQ523" t="s">
        <v>74</v>
      </c>
      <c r="BR523" t="s">
        <v>74</v>
      </c>
      <c r="BS523" t="s">
        <v>3957</v>
      </c>
      <c r="BT523" t="str">
        <f>HYPERLINK("https%3A%2F%2Fwww.webofscience.com%2Fwos%2Fwoscc%2Ffull-record%2FWOS:000352661900031","View Full Record in Web of Science")</f>
        <v>View Full Record in Web of Science</v>
      </c>
    </row>
    <row r="524" spans="1:72" x14ac:dyDescent="0.2">
      <c r="A524" t="s">
        <v>72</v>
      </c>
      <c r="B524" t="s">
        <v>3958</v>
      </c>
      <c r="C524" t="s">
        <v>74</v>
      </c>
      <c r="D524" t="s">
        <v>74</v>
      </c>
      <c r="E524" t="s">
        <v>74</v>
      </c>
      <c r="F524" t="s">
        <v>3959</v>
      </c>
      <c r="G524" t="s">
        <v>74</v>
      </c>
      <c r="H524" t="s">
        <v>74</v>
      </c>
      <c r="I524" t="s">
        <v>3960</v>
      </c>
      <c r="J524" t="s">
        <v>1299</v>
      </c>
      <c r="K524" t="s">
        <v>74</v>
      </c>
      <c r="L524" t="s">
        <v>74</v>
      </c>
      <c r="M524" t="s">
        <v>74</v>
      </c>
      <c r="N524" t="s">
        <v>74</v>
      </c>
      <c r="O524" t="s">
        <v>74</v>
      </c>
      <c r="P524" t="s">
        <v>74</v>
      </c>
      <c r="Q524" t="s">
        <v>74</v>
      </c>
      <c r="R524" t="s">
        <v>74</v>
      </c>
      <c r="S524" t="s">
        <v>74</v>
      </c>
      <c r="T524" t="s">
        <v>74</v>
      </c>
      <c r="U524" t="s">
        <v>74</v>
      </c>
      <c r="V524" t="s">
        <v>74</v>
      </c>
      <c r="W524" t="s">
        <v>74</v>
      </c>
      <c r="X524" t="s">
        <v>74</v>
      </c>
      <c r="Y524" t="s">
        <v>74</v>
      </c>
      <c r="Z524" t="s">
        <v>74</v>
      </c>
      <c r="AA524" t="s">
        <v>74</v>
      </c>
      <c r="AB524" t="s">
        <v>74</v>
      </c>
      <c r="AC524" t="s">
        <v>74</v>
      </c>
      <c r="AD524" t="s">
        <v>74</v>
      </c>
      <c r="AE524" t="s">
        <v>74</v>
      </c>
      <c r="AF524" t="s">
        <v>74</v>
      </c>
      <c r="AG524" t="s">
        <v>74</v>
      </c>
      <c r="AH524" t="s">
        <v>74</v>
      </c>
      <c r="AI524" t="s">
        <v>74</v>
      </c>
      <c r="AJ524" t="s">
        <v>74</v>
      </c>
      <c r="AK524" t="s">
        <v>74</v>
      </c>
      <c r="AL524" t="s">
        <v>74</v>
      </c>
      <c r="AM524" t="s">
        <v>74</v>
      </c>
      <c r="AN524" t="s">
        <v>74</v>
      </c>
      <c r="AO524" t="s">
        <v>1302</v>
      </c>
      <c r="AP524" t="s">
        <v>1303</v>
      </c>
      <c r="AQ524" t="s">
        <v>74</v>
      </c>
      <c r="AR524" t="s">
        <v>74</v>
      </c>
      <c r="AS524" t="s">
        <v>74</v>
      </c>
      <c r="AT524" t="s">
        <v>569</v>
      </c>
      <c r="AU524">
        <v>2015</v>
      </c>
      <c r="AV524">
        <v>178</v>
      </c>
      <c r="AW524">
        <v>2</v>
      </c>
      <c r="AX524" t="s">
        <v>74</v>
      </c>
      <c r="AY524" t="s">
        <v>74</v>
      </c>
      <c r="AZ524" t="s">
        <v>74</v>
      </c>
      <c r="BA524" t="s">
        <v>74</v>
      </c>
      <c r="BB524">
        <v>485</v>
      </c>
      <c r="BC524">
        <v>496</v>
      </c>
      <c r="BD524" t="s">
        <v>74</v>
      </c>
      <c r="BE524" t="s">
        <v>3961</v>
      </c>
      <c r="BF524" t="str">
        <f>HYPERLINK("http://dx.doi.org/10.1007/s00442-014-3211-4","http://dx.doi.org/10.1007/s00442-014-3211-4")</f>
        <v>http://dx.doi.org/10.1007/s00442-014-3211-4</v>
      </c>
      <c r="BG524" t="s">
        <v>74</v>
      </c>
      <c r="BH524" t="s">
        <v>74</v>
      </c>
      <c r="BI524" t="s">
        <v>74</v>
      </c>
      <c r="BJ524" t="s">
        <v>74</v>
      </c>
      <c r="BK524" t="s">
        <v>74</v>
      </c>
      <c r="BL524" t="s">
        <v>74</v>
      </c>
      <c r="BM524" t="s">
        <v>74</v>
      </c>
      <c r="BN524">
        <v>25564019</v>
      </c>
      <c r="BO524" t="s">
        <v>74</v>
      </c>
      <c r="BP524" t="s">
        <v>74</v>
      </c>
      <c r="BQ524" t="s">
        <v>74</v>
      </c>
      <c r="BR524" t="s">
        <v>74</v>
      </c>
      <c r="BS524" t="s">
        <v>3962</v>
      </c>
      <c r="BT524" t="str">
        <f>HYPERLINK("https%3A%2F%2Fwww.webofscience.com%2Fwos%2Fwoscc%2Ffull-record%2FWOS:000354900700016","View Full Record in Web of Science")</f>
        <v>View Full Record in Web of Science</v>
      </c>
    </row>
    <row r="525" spans="1:72" x14ac:dyDescent="0.2">
      <c r="A525" t="s">
        <v>72</v>
      </c>
      <c r="B525" t="s">
        <v>3963</v>
      </c>
      <c r="C525" t="s">
        <v>74</v>
      </c>
      <c r="D525" t="s">
        <v>74</v>
      </c>
      <c r="E525" t="s">
        <v>74</v>
      </c>
      <c r="F525" t="s">
        <v>3964</v>
      </c>
      <c r="G525" t="s">
        <v>74</v>
      </c>
      <c r="H525" t="s">
        <v>74</v>
      </c>
      <c r="I525" t="s">
        <v>3965</v>
      </c>
      <c r="J525" t="s">
        <v>3443</v>
      </c>
      <c r="K525" t="s">
        <v>74</v>
      </c>
      <c r="L525" t="s">
        <v>74</v>
      </c>
      <c r="M525" t="s">
        <v>74</v>
      </c>
      <c r="N525" t="s">
        <v>74</v>
      </c>
      <c r="O525" t="s">
        <v>74</v>
      </c>
      <c r="P525" t="s">
        <v>74</v>
      </c>
      <c r="Q525" t="s">
        <v>74</v>
      </c>
      <c r="R525" t="s">
        <v>74</v>
      </c>
      <c r="S525" t="s">
        <v>74</v>
      </c>
      <c r="T525" t="s">
        <v>74</v>
      </c>
      <c r="U525" t="s">
        <v>74</v>
      </c>
      <c r="V525" t="s">
        <v>74</v>
      </c>
      <c r="W525" t="s">
        <v>74</v>
      </c>
      <c r="X525" t="s">
        <v>74</v>
      </c>
      <c r="Y525" t="s">
        <v>74</v>
      </c>
      <c r="Z525" t="s">
        <v>74</v>
      </c>
      <c r="AA525" t="s">
        <v>74</v>
      </c>
      <c r="AB525" t="s">
        <v>3966</v>
      </c>
      <c r="AC525" t="s">
        <v>74</v>
      </c>
      <c r="AD525" t="s">
        <v>74</v>
      </c>
      <c r="AE525" t="s">
        <v>74</v>
      </c>
      <c r="AF525" t="s">
        <v>74</v>
      </c>
      <c r="AG525" t="s">
        <v>74</v>
      </c>
      <c r="AH525" t="s">
        <v>74</v>
      </c>
      <c r="AI525" t="s">
        <v>74</v>
      </c>
      <c r="AJ525" t="s">
        <v>74</v>
      </c>
      <c r="AK525" t="s">
        <v>74</v>
      </c>
      <c r="AL525" t="s">
        <v>74</v>
      </c>
      <c r="AM525" t="s">
        <v>74</v>
      </c>
      <c r="AN525" t="s">
        <v>74</v>
      </c>
      <c r="AO525" t="s">
        <v>3445</v>
      </c>
      <c r="AP525" t="s">
        <v>74</v>
      </c>
      <c r="AQ525" t="s">
        <v>74</v>
      </c>
      <c r="AR525" t="s">
        <v>74</v>
      </c>
      <c r="AS525" t="s">
        <v>74</v>
      </c>
      <c r="AT525" t="s">
        <v>3967</v>
      </c>
      <c r="AU525">
        <v>2015</v>
      </c>
      <c r="AV525">
        <v>10</v>
      </c>
      <c r="AW525">
        <v>5</v>
      </c>
      <c r="AX525" t="s">
        <v>74</v>
      </c>
      <c r="AY525" t="s">
        <v>74</v>
      </c>
      <c r="AZ525" t="s">
        <v>74</v>
      </c>
      <c r="BA525" t="s">
        <v>74</v>
      </c>
      <c r="BB525" t="s">
        <v>74</v>
      </c>
      <c r="BC525" t="s">
        <v>74</v>
      </c>
      <c r="BD525" t="s">
        <v>3968</v>
      </c>
      <c r="BE525" t="s">
        <v>3969</v>
      </c>
      <c r="BF525" t="str">
        <f>HYPERLINK("http://dx.doi.org/10.1371/journal.pone.0127193","http://dx.doi.org/10.1371/journal.pone.0127193")</f>
        <v>http://dx.doi.org/10.1371/journal.pone.0127193</v>
      </c>
      <c r="BG525" t="s">
        <v>74</v>
      </c>
      <c r="BH525" t="s">
        <v>74</v>
      </c>
      <c r="BI525" t="s">
        <v>74</v>
      </c>
      <c r="BJ525" t="s">
        <v>74</v>
      </c>
      <c r="BK525" t="s">
        <v>74</v>
      </c>
      <c r="BL525" t="s">
        <v>74</v>
      </c>
      <c r="BM525" t="s">
        <v>74</v>
      </c>
      <c r="BN525">
        <v>25974052</v>
      </c>
      <c r="BO525" t="s">
        <v>74</v>
      </c>
      <c r="BP525" t="s">
        <v>74</v>
      </c>
      <c r="BQ525" t="s">
        <v>74</v>
      </c>
      <c r="BR525" t="s">
        <v>74</v>
      </c>
      <c r="BS525" t="s">
        <v>3970</v>
      </c>
      <c r="BT525" t="str">
        <f>HYPERLINK("https%3A%2F%2Fwww.webofscience.com%2Fwos%2Fwoscc%2Ffull-record%2FWOS:000354545600102","View Full Record in Web of Science")</f>
        <v>View Full Record in Web of Science</v>
      </c>
    </row>
    <row r="526" spans="1:72" x14ac:dyDescent="0.2">
      <c r="A526" t="s">
        <v>72</v>
      </c>
      <c r="B526" t="s">
        <v>3971</v>
      </c>
      <c r="C526" t="s">
        <v>74</v>
      </c>
      <c r="D526" t="s">
        <v>74</v>
      </c>
      <c r="E526" t="s">
        <v>74</v>
      </c>
      <c r="F526" t="s">
        <v>3972</v>
      </c>
      <c r="G526" t="s">
        <v>74</v>
      </c>
      <c r="H526" t="s">
        <v>74</v>
      </c>
      <c r="I526" t="s">
        <v>3973</v>
      </c>
      <c r="J526" t="s">
        <v>3443</v>
      </c>
      <c r="K526" t="s">
        <v>74</v>
      </c>
      <c r="L526" t="s">
        <v>74</v>
      </c>
      <c r="M526" t="s">
        <v>74</v>
      </c>
      <c r="N526" t="s">
        <v>74</v>
      </c>
      <c r="O526" t="s">
        <v>74</v>
      </c>
      <c r="P526" t="s">
        <v>74</v>
      </c>
      <c r="Q526" t="s">
        <v>74</v>
      </c>
      <c r="R526" t="s">
        <v>74</v>
      </c>
      <c r="S526" t="s">
        <v>74</v>
      </c>
      <c r="T526" t="s">
        <v>74</v>
      </c>
      <c r="U526" t="s">
        <v>74</v>
      </c>
      <c r="V526" t="s">
        <v>74</v>
      </c>
      <c r="W526" t="s">
        <v>74</v>
      </c>
      <c r="X526" t="s">
        <v>74</v>
      </c>
      <c r="Y526" t="s">
        <v>74</v>
      </c>
      <c r="Z526" t="s">
        <v>74</v>
      </c>
      <c r="AA526" t="s">
        <v>3974</v>
      </c>
      <c r="AB526" t="s">
        <v>3975</v>
      </c>
      <c r="AC526" t="s">
        <v>74</v>
      </c>
      <c r="AD526" t="s">
        <v>74</v>
      </c>
      <c r="AE526" t="s">
        <v>74</v>
      </c>
      <c r="AF526" t="s">
        <v>74</v>
      </c>
      <c r="AG526" t="s">
        <v>74</v>
      </c>
      <c r="AH526" t="s">
        <v>74</v>
      </c>
      <c r="AI526" t="s">
        <v>74</v>
      </c>
      <c r="AJ526" t="s">
        <v>74</v>
      </c>
      <c r="AK526" t="s">
        <v>74</v>
      </c>
      <c r="AL526" t="s">
        <v>74</v>
      </c>
      <c r="AM526" t="s">
        <v>74</v>
      </c>
      <c r="AN526" t="s">
        <v>74</v>
      </c>
      <c r="AO526" t="s">
        <v>3445</v>
      </c>
      <c r="AP526" t="s">
        <v>74</v>
      </c>
      <c r="AQ526" t="s">
        <v>74</v>
      </c>
      <c r="AR526" t="s">
        <v>74</v>
      </c>
      <c r="AS526" t="s">
        <v>74</v>
      </c>
      <c r="AT526" t="s">
        <v>3976</v>
      </c>
      <c r="AU526">
        <v>2015</v>
      </c>
      <c r="AV526">
        <v>10</v>
      </c>
      <c r="AW526">
        <v>5</v>
      </c>
      <c r="AX526" t="s">
        <v>74</v>
      </c>
      <c r="AY526" t="s">
        <v>74</v>
      </c>
      <c r="AZ526" t="s">
        <v>74</v>
      </c>
      <c r="BA526" t="s">
        <v>74</v>
      </c>
      <c r="BB526" t="s">
        <v>74</v>
      </c>
      <c r="BC526" t="s">
        <v>74</v>
      </c>
      <c r="BD526" t="s">
        <v>3977</v>
      </c>
      <c r="BE526" t="s">
        <v>3978</v>
      </c>
      <c r="BF526" t="str">
        <f>HYPERLINK("http://dx.doi.org/10.1371/journal.pone.0126231","http://dx.doi.org/10.1371/journal.pone.0126231")</f>
        <v>http://dx.doi.org/10.1371/journal.pone.0126231</v>
      </c>
      <c r="BG526" t="s">
        <v>74</v>
      </c>
      <c r="BH526" t="s">
        <v>74</v>
      </c>
      <c r="BI526" t="s">
        <v>74</v>
      </c>
      <c r="BJ526" t="s">
        <v>74</v>
      </c>
      <c r="BK526" t="s">
        <v>74</v>
      </c>
      <c r="BL526" t="s">
        <v>74</v>
      </c>
      <c r="BM526" t="s">
        <v>74</v>
      </c>
      <c r="BN526">
        <v>25970289</v>
      </c>
      <c r="BO526" t="s">
        <v>74</v>
      </c>
      <c r="BP526" t="s">
        <v>74</v>
      </c>
      <c r="BQ526" t="s">
        <v>74</v>
      </c>
      <c r="BR526" t="s">
        <v>74</v>
      </c>
      <c r="BS526" t="s">
        <v>3979</v>
      </c>
      <c r="BT526" t="str">
        <f>HYPERLINK("https%3A%2F%2Fwww.webofscience.com%2Fwos%2Fwoscc%2Ffull-record%2FWOS:000354544200100","View Full Record in Web of Science")</f>
        <v>View Full Record in Web of Science</v>
      </c>
    </row>
    <row r="527" spans="1:72" x14ac:dyDescent="0.2">
      <c r="A527" t="s">
        <v>72</v>
      </c>
      <c r="B527" t="s">
        <v>3980</v>
      </c>
      <c r="C527" t="s">
        <v>74</v>
      </c>
      <c r="D527" t="s">
        <v>74</v>
      </c>
      <c r="E527" t="s">
        <v>74</v>
      </c>
      <c r="F527" t="s">
        <v>3981</v>
      </c>
      <c r="G527" t="s">
        <v>74</v>
      </c>
      <c r="H527" t="s">
        <v>74</v>
      </c>
      <c r="I527" t="s">
        <v>3982</v>
      </c>
      <c r="J527" t="s">
        <v>3983</v>
      </c>
      <c r="K527" t="s">
        <v>74</v>
      </c>
      <c r="L527" t="s">
        <v>74</v>
      </c>
      <c r="M527" t="s">
        <v>74</v>
      </c>
      <c r="N527" t="s">
        <v>74</v>
      </c>
      <c r="O527" t="s">
        <v>74</v>
      </c>
      <c r="P527" t="s">
        <v>74</v>
      </c>
      <c r="Q527" t="s">
        <v>74</v>
      </c>
      <c r="R527" t="s">
        <v>74</v>
      </c>
      <c r="S527" t="s">
        <v>74</v>
      </c>
      <c r="T527" t="s">
        <v>74</v>
      </c>
      <c r="U527" t="s">
        <v>74</v>
      </c>
      <c r="V527" t="s">
        <v>74</v>
      </c>
      <c r="W527" t="s">
        <v>74</v>
      </c>
      <c r="X527" t="s">
        <v>74</v>
      </c>
      <c r="Y527" t="s">
        <v>74</v>
      </c>
      <c r="Z527" t="s">
        <v>74</v>
      </c>
      <c r="AA527" t="s">
        <v>74</v>
      </c>
      <c r="AB527" t="s">
        <v>3984</v>
      </c>
      <c r="AC527" t="s">
        <v>74</v>
      </c>
      <c r="AD527" t="s">
        <v>74</v>
      </c>
      <c r="AE527" t="s">
        <v>74</v>
      </c>
      <c r="AF527" t="s">
        <v>74</v>
      </c>
      <c r="AG527" t="s">
        <v>74</v>
      </c>
      <c r="AH527" t="s">
        <v>74</v>
      </c>
      <c r="AI527" t="s">
        <v>74</v>
      </c>
      <c r="AJ527" t="s">
        <v>74</v>
      </c>
      <c r="AK527" t="s">
        <v>74</v>
      </c>
      <c r="AL527" t="s">
        <v>74</v>
      </c>
      <c r="AM527" t="s">
        <v>74</v>
      </c>
      <c r="AN527" t="s">
        <v>74</v>
      </c>
      <c r="AO527" t="s">
        <v>3985</v>
      </c>
      <c r="AP527" t="s">
        <v>3986</v>
      </c>
      <c r="AQ527" t="s">
        <v>74</v>
      </c>
      <c r="AR527" t="s">
        <v>74</v>
      </c>
      <c r="AS527" t="s">
        <v>74</v>
      </c>
      <c r="AT527" t="s">
        <v>575</v>
      </c>
      <c r="AU527">
        <v>2015</v>
      </c>
      <c r="AV527">
        <v>33</v>
      </c>
      <c r="AW527">
        <v>3</v>
      </c>
      <c r="AX527" t="s">
        <v>74</v>
      </c>
      <c r="AY527" t="s">
        <v>74</v>
      </c>
      <c r="AZ527" t="s">
        <v>74</v>
      </c>
      <c r="BA527" t="s">
        <v>74</v>
      </c>
      <c r="BB527">
        <v>802</v>
      </c>
      <c r="BC527">
        <v>808</v>
      </c>
      <c r="BD527" t="s">
        <v>74</v>
      </c>
      <c r="BE527" t="s">
        <v>3987</v>
      </c>
      <c r="BF527" t="str">
        <f>HYPERLINK("http://dx.doi.org/10.1007/s00343-015-4064-3","http://dx.doi.org/10.1007/s00343-015-4064-3")</f>
        <v>http://dx.doi.org/10.1007/s00343-015-4064-3</v>
      </c>
      <c r="BG527" t="s">
        <v>74</v>
      </c>
      <c r="BH527" t="s">
        <v>74</v>
      </c>
      <c r="BI527" t="s">
        <v>74</v>
      </c>
      <c r="BJ527" t="s">
        <v>74</v>
      </c>
      <c r="BK527" t="s">
        <v>74</v>
      </c>
      <c r="BL527" t="s">
        <v>74</v>
      </c>
      <c r="BM527" t="s">
        <v>74</v>
      </c>
      <c r="BN527" t="s">
        <v>74</v>
      </c>
      <c r="BO527" t="s">
        <v>74</v>
      </c>
      <c r="BP527" t="s">
        <v>74</v>
      </c>
      <c r="BQ527" t="s">
        <v>74</v>
      </c>
      <c r="BR527" t="s">
        <v>74</v>
      </c>
      <c r="BS527" t="s">
        <v>3988</v>
      </c>
      <c r="BT527" t="str">
        <f>HYPERLINK("https%3A%2F%2Fwww.webofscience.com%2Fwos%2Fwoscc%2Ffull-record%2FWOS:000353891400026","View Full Record in Web of Science")</f>
        <v>View Full Record in Web of Science</v>
      </c>
    </row>
    <row r="528" spans="1:72" x14ac:dyDescent="0.2">
      <c r="A528" t="s">
        <v>72</v>
      </c>
      <c r="B528" t="s">
        <v>3989</v>
      </c>
      <c r="C528" t="s">
        <v>74</v>
      </c>
      <c r="D528" t="s">
        <v>74</v>
      </c>
      <c r="E528" t="s">
        <v>74</v>
      </c>
      <c r="F528" t="s">
        <v>3990</v>
      </c>
      <c r="G528" t="s">
        <v>74</v>
      </c>
      <c r="H528" t="s">
        <v>74</v>
      </c>
      <c r="I528" t="s">
        <v>3991</v>
      </c>
      <c r="J528" t="s">
        <v>106</v>
      </c>
      <c r="K528" t="s">
        <v>74</v>
      </c>
      <c r="L528" t="s">
        <v>74</v>
      </c>
      <c r="M528" t="s">
        <v>74</v>
      </c>
      <c r="N528" t="s">
        <v>74</v>
      </c>
      <c r="O528" t="s">
        <v>74</v>
      </c>
      <c r="P528" t="s">
        <v>74</v>
      </c>
      <c r="Q528" t="s">
        <v>74</v>
      </c>
      <c r="R528" t="s">
        <v>74</v>
      </c>
      <c r="S528" t="s">
        <v>74</v>
      </c>
      <c r="T528" t="s">
        <v>74</v>
      </c>
      <c r="U528" t="s">
        <v>74</v>
      </c>
      <c r="V528" t="s">
        <v>74</v>
      </c>
      <c r="W528" t="s">
        <v>74</v>
      </c>
      <c r="X528" t="s">
        <v>74</v>
      </c>
      <c r="Y528" t="s">
        <v>74</v>
      </c>
      <c r="Z528" t="s">
        <v>74</v>
      </c>
      <c r="AA528" t="s">
        <v>3992</v>
      </c>
      <c r="AB528" t="s">
        <v>3993</v>
      </c>
      <c r="AC528" t="s">
        <v>74</v>
      </c>
      <c r="AD528" t="s">
        <v>74</v>
      </c>
      <c r="AE528" t="s">
        <v>74</v>
      </c>
      <c r="AF528" t="s">
        <v>74</v>
      </c>
      <c r="AG528" t="s">
        <v>74</v>
      </c>
      <c r="AH528" t="s">
        <v>74</v>
      </c>
      <c r="AI528" t="s">
        <v>74</v>
      </c>
      <c r="AJ528" t="s">
        <v>74</v>
      </c>
      <c r="AK528" t="s">
        <v>74</v>
      </c>
      <c r="AL528" t="s">
        <v>74</v>
      </c>
      <c r="AM528" t="s">
        <v>74</v>
      </c>
      <c r="AN528" t="s">
        <v>74</v>
      </c>
      <c r="AO528" t="s">
        <v>107</v>
      </c>
      <c r="AP528" t="s">
        <v>108</v>
      </c>
      <c r="AQ528" t="s">
        <v>74</v>
      </c>
      <c r="AR528" t="s">
        <v>74</v>
      </c>
      <c r="AS528" t="s">
        <v>74</v>
      </c>
      <c r="AT528" t="s">
        <v>2624</v>
      </c>
      <c r="AU528">
        <v>2015</v>
      </c>
      <c r="AV528">
        <v>37</v>
      </c>
      <c r="AW528">
        <v>3</v>
      </c>
      <c r="AX528" t="s">
        <v>74</v>
      </c>
      <c r="AY528" t="s">
        <v>74</v>
      </c>
      <c r="AZ528" t="s">
        <v>74</v>
      </c>
      <c r="BA528" t="s">
        <v>74</v>
      </c>
      <c r="BB528">
        <v>645</v>
      </c>
      <c r="BC528">
        <v>655</v>
      </c>
      <c r="BD528" t="s">
        <v>74</v>
      </c>
      <c r="BE528" t="s">
        <v>3994</v>
      </c>
      <c r="BF528" t="str">
        <f>HYPERLINK("http://dx.doi.org/10.1093/plankt/fbv016","http://dx.doi.org/10.1093/plankt/fbv016")</f>
        <v>http://dx.doi.org/10.1093/plankt/fbv016</v>
      </c>
      <c r="BG528" t="s">
        <v>74</v>
      </c>
      <c r="BH528" t="s">
        <v>74</v>
      </c>
      <c r="BI528" t="s">
        <v>74</v>
      </c>
      <c r="BJ528" t="s">
        <v>74</v>
      </c>
      <c r="BK528" t="s">
        <v>74</v>
      </c>
      <c r="BL528" t="s">
        <v>74</v>
      </c>
      <c r="BM528" t="s">
        <v>74</v>
      </c>
      <c r="BN528" t="s">
        <v>74</v>
      </c>
      <c r="BO528" t="s">
        <v>74</v>
      </c>
      <c r="BP528" t="s">
        <v>74</v>
      </c>
      <c r="BQ528" t="s">
        <v>74</v>
      </c>
      <c r="BR528" t="s">
        <v>74</v>
      </c>
      <c r="BS528" t="s">
        <v>3995</v>
      </c>
      <c r="BT528" t="str">
        <f>HYPERLINK("https%3A%2F%2Fwww.webofscience.com%2Fwos%2Fwoscc%2Ffull-record%2FWOS:000356039200014","View Full Record in Web of Science")</f>
        <v>View Full Record in Web of Science</v>
      </c>
    </row>
    <row r="529" spans="1:72" x14ac:dyDescent="0.2">
      <c r="A529" t="s">
        <v>72</v>
      </c>
      <c r="B529" t="s">
        <v>3996</v>
      </c>
      <c r="C529" t="s">
        <v>74</v>
      </c>
      <c r="D529" t="s">
        <v>74</v>
      </c>
      <c r="E529" t="s">
        <v>74</v>
      </c>
      <c r="F529" t="s">
        <v>3997</v>
      </c>
      <c r="G529" t="s">
        <v>74</v>
      </c>
      <c r="H529" t="s">
        <v>74</v>
      </c>
      <c r="I529" t="s">
        <v>3998</v>
      </c>
      <c r="J529" t="s">
        <v>145</v>
      </c>
      <c r="K529" t="s">
        <v>74</v>
      </c>
      <c r="L529" t="s">
        <v>74</v>
      </c>
      <c r="M529" t="s">
        <v>74</v>
      </c>
      <c r="N529" t="s">
        <v>74</v>
      </c>
      <c r="O529" t="s">
        <v>74</v>
      </c>
      <c r="P529" t="s">
        <v>74</v>
      </c>
      <c r="Q529" t="s">
        <v>74</v>
      </c>
      <c r="R529" t="s">
        <v>74</v>
      </c>
      <c r="S529" t="s">
        <v>74</v>
      </c>
      <c r="T529" t="s">
        <v>74</v>
      </c>
      <c r="U529" t="s">
        <v>74</v>
      </c>
      <c r="V529" t="s">
        <v>74</v>
      </c>
      <c r="W529" t="s">
        <v>74</v>
      </c>
      <c r="X529" t="s">
        <v>74</v>
      </c>
      <c r="Y529" t="s">
        <v>74</v>
      </c>
      <c r="Z529" t="s">
        <v>74</v>
      </c>
      <c r="AA529" t="s">
        <v>7073</v>
      </c>
      <c r="AB529" t="s">
        <v>7074</v>
      </c>
      <c r="AC529" t="s">
        <v>74</v>
      </c>
      <c r="AD529" t="s">
        <v>74</v>
      </c>
      <c r="AE529" t="s">
        <v>74</v>
      </c>
      <c r="AF529" t="s">
        <v>74</v>
      </c>
      <c r="AG529" t="s">
        <v>74</v>
      </c>
      <c r="AH529" t="s">
        <v>74</v>
      </c>
      <c r="AI529" t="s">
        <v>74</v>
      </c>
      <c r="AJ529" t="s">
        <v>74</v>
      </c>
      <c r="AK529" t="s">
        <v>74</v>
      </c>
      <c r="AL529" t="s">
        <v>74</v>
      </c>
      <c r="AM529" t="s">
        <v>74</v>
      </c>
      <c r="AN529" t="s">
        <v>74</v>
      </c>
      <c r="AO529" t="s">
        <v>146</v>
      </c>
      <c r="AP529" t="s">
        <v>147</v>
      </c>
      <c r="AQ529" t="s">
        <v>74</v>
      </c>
      <c r="AR529" t="s">
        <v>74</v>
      </c>
      <c r="AS529" t="s">
        <v>74</v>
      </c>
      <c r="AT529" t="s">
        <v>174</v>
      </c>
      <c r="AU529">
        <v>2015</v>
      </c>
      <c r="AV529">
        <v>514</v>
      </c>
      <c r="AW529" t="s">
        <v>74</v>
      </c>
      <c r="AX529" t="s">
        <v>74</v>
      </c>
      <c r="AY529" t="s">
        <v>74</v>
      </c>
      <c r="AZ529" t="s">
        <v>74</v>
      </c>
      <c r="BA529" t="s">
        <v>74</v>
      </c>
      <c r="BB529">
        <v>68</v>
      </c>
      <c r="BC529">
        <v>76</v>
      </c>
      <c r="BD529" t="s">
        <v>74</v>
      </c>
      <c r="BE529" t="s">
        <v>3999</v>
      </c>
      <c r="BF529" t="str">
        <f>HYPERLINK("http://dx.doi.org/10.1016/j.scitotenv.2015.01.055","http://dx.doi.org/10.1016/j.scitotenv.2015.01.055")</f>
        <v>http://dx.doi.org/10.1016/j.scitotenv.2015.01.055</v>
      </c>
      <c r="BG529" t="s">
        <v>74</v>
      </c>
      <c r="BH529" t="s">
        <v>74</v>
      </c>
      <c r="BI529" t="s">
        <v>74</v>
      </c>
      <c r="BJ529" t="s">
        <v>74</v>
      </c>
      <c r="BK529" t="s">
        <v>74</v>
      </c>
      <c r="BL529" t="s">
        <v>74</v>
      </c>
      <c r="BM529" t="s">
        <v>74</v>
      </c>
      <c r="BN529">
        <v>25659307</v>
      </c>
      <c r="BO529" t="s">
        <v>74</v>
      </c>
      <c r="BP529" t="s">
        <v>74</v>
      </c>
      <c r="BQ529" t="s">
        <v>74</v>
      </c>
      <c r="BR529" t="s">
        <v>74</v>
      </c>
      <c r="BS529" t="s">
        <v>4000</v>
      </c>
      <c r="BT529" t="str">
        <f>HYPERLINK("https%3A%2F%2Fwww.webofscience.com%2Fwos%2Fwoscc%2Ffull-record%2FWOS:000352039500008","View Full Record in Web of Science")</f>
        <v>View Full Record in Web of Science</v>
      </c>
    </row>
    <row r="530" spans="1:72" x14ac:dyDescent="0.2">
      <c r="A530" t="s">
        <v>72</v>
      </c>
      <c r="B530" t="s">
        <v>4001</v>
      </c>
      <c r="C530" t="s">
        <v>74</v>
      </c>
      <c r="D530" t="s">
        <v>74</v>
      </c>
      <c r="E530" t="s">
        <v>74</v>
      </c>
      <c r="F530" t="s">
        <v>4002</v>
      </c>
      <c r="G530" t="s">
        <v>74</v>
      </c>
      <c r="H530" t="s">
        <v>74</v>
      </c>
      <c r="I530" t="s">
        <v>4003</v>
      </c>
      <c r="J530" t="s">
        <v>1789</v>
      </c>
      <c r="K530" t="s">
        <v>74</v>
      </c>
      <c r="L530" t="s">
        <v>74</v>
      </c>
      <c r="M530" t="s">
        <v>74</v>
      </c>
      <c r="N530" t="s">
        <v>74</v>
      </c>
      <c r="O530" t="s">
        <v>74</v>
      </c>
      <c r="P530" t="s">
        <v>74</v>
      </c>
      <c r="Q530" t="s">
        <v>74</v>
      </c>
      <c r="R530" t="s">
        <v>74</v>
      </c>
      <c r="S530" t="s">
        <v>74</v>
      </c>
      <c r="T530" t="s">
        <v>74</v>
      </c>
      <c r="U530" t="s">
        <v>74</v>
      </c>
      <c r="V530" t="s">
        <v>74</v>
      </c>
      <c r="W530" t="s">
        <v>74</v>
      </c>
      <c r="X530" t="s">
        <v>74</v>
      </c>
      <c r="Y530" t="s">
        <v>74</v>
      </c>
      <c r="Z530" t="s">
        <v>74</v>
      </c>
      <c r="AA530" t="s">
        <v>4004</v>
      </c>
      <c r="AB530" t="s">
        <v>4005</v>
      </c>
      <c r="AC530" t="s">
        <v>74</v>
      </c>
      <c r="AD530" t="s">
        <v>74</v>
      </c>
      <c r="AE530" t="s">
        <v>74</v>
      </c>
      <c r="AF530" t="s">
        <v>74</v>
      </c>
      <c r="AG530" t="s">
        <v>74</v>
      </c>
      <c r="AH530" t="s">
        <v>74</v>
      </c>
      <c r="AI530" t="s">
        <v>74</v>
      </c>
      <c r="AJ530" t="s">
        <v>74</v>
      </c>
      <c r="AK530" t="s">
        <v>74</v>
      </c>
      <c r="AL530" t="s">
        <v>74</v>
      </c>
      <c r="AM530" t="s">
        <v>74</v>
      </c>
      <c r="AN530" t="s">
        <v>74</v>
      </c>
      <c r="AO530" t="s">
        <v>1791</v>
      </c>
      <c r="AP530" t="s">
        <v>1792</v>
      </c>
      <c r="AQ530" t="s">
        <v>74</v>
      </c>
      <c r="AR530" t="s">
        <v>74</v>
      </c>
      <c r="AS530" t="s">
        <v>74</v>
      </c>
      <c r="AT530" t="s">
        <v>575</v>
      </c>
      <c r="AU530">
        <v>2015</v>
      </c>
      <c r="AV530">
        <v>30</v>
      </c>
      <c r="AW530">
        <v>3</v>
      </c>
      <c r="AX530" t="s">
        <v>74</v>
      </c>
      <c r="AY530" t="s">
        <v>74</v>
      </c>
      <c r="AZ530" t="s">
        <v>74</v>
      </c>
      <c r="BA530" t="s">
        <v>74</v>
      </c>
      <c r="BB530">
        <v>451</v>
      </c>
      <c r="BC530">
        <v>460</v>
      </c>
      <c r="BD530" t="s">
        <v>74</v>
      </c>
      <c r="BE530" t="s">
        <v>4006</v>
      </c>
      <c r="BF530" t="str">
        <f>HYPERLINK("http://dx.doi.org/10.1007/s11284-014-1240-4","http://dx.doi.org/10.1007/s11284-014-1240-4")</f>
        <v>http://dx.doi.org/10.1007/s11284-014-1240-4</v>
      </c>
      <c r="BG530" t="s">
        <v>74</v>
      </c>
      <c r="BH530" t="s">
        <v>74</v>
      </c>
      <c r="BI530" t="s">
        <v>74</v>
      </c>
      <c r="BJ530" t="s">
        <v>74</v>
      </c>
      <c r="BK530" t="s">
        <v>74</v>
      </c>
      <c r="BL530" t="s">
        <v>74</v>
      </c>
      <c r="BM530" t="s">
        <v>74</v>
      </c>
      <c r="BN530" t="s">
        <v>74</v>
      </c>
      <c r="BO530" t="s">
        <v>74</v>
      </c>
      <c r="BP530" t="s">
        <v>74</v>
      </c>
      <c r="BQ530" t="s">
        <v>74</v>
      </c>
      <c r="BR530" t="s">
        <v>74</v>
      </c>
      <c r="BS530" t="s">
        <v>4007</v>
      </c>
      <c r="BT530" t="str">
        <f>HYPERLINK("https%3A%2F%2Fwww.webofscience.com%2Fwos%2Fwoscc%2Ffull-record%2FWOS:000354817700005","View Full Record in Web of Science")</f>
        <v>View Full Record in Web of Science</v>
      </c>
    </row>
    <row r="531" spans="1:72" x14ac:dyDescent="0.2">
      <c r="A531" t="s">
        <v>72</v>
      </c>
      <c r="B531" t="s">
        <v>4008</v>
      </c>
      <c r="C531" t="s">
        <v>74</v>
      </c>
      <c r="D531" t="s">
        <v>74</v>
      </c>
      <c r="E531" t="s">
        <v>74</v>
      </c>
      <c r="F531" t="s">
        <v>4009</v>
      </c>
      <c r="G531" t="s">
        <v>74</v>
      </c>
      <c r="H531" t="s">
        <v>74</v>
      </c>
      <c r="I531" t="s">
        <v>4010</v>
      </c>
      <c r="J531" t="s">
        <v>973</v>
      </c>
      <c r="K531" t="s">
        <v>74</v>
      </c>
      <c r="L531" t="s">
        <v>74</v>
      </c>
      <c r="M531" t="s">
        <v>74</v>
      </c>
      <c r="N531" t="s">
        <v>74</v>
      </c>
      <c r="O531" t="s">
        <v>74</v>
      </c>
      <c r="P531" t="s">
        <v>74</v>
      </c>
      <c r="Q531" t="s">
        <v>74</v>
      </c>
      <c r="R531" t="s">
        <v>74</v>
      </c>
      <c r="S531" t="s">
        <v>74</v>
      </c>
      <c r="T531" t="s">
        <v>74</v>
      </c>
      <c r="U531" t="s">
        <v>74</v>
      </c>
      <c r="V531" t="s">
        <v>74</v>
      </c>
      <c r="W531" t="s">
        <v>74</v>
      </c>
      <c r="X531" t="s">
        <v>74</v>
      </c>
      <c r="Y531" t="s">
        <v>74</v>
      </c>
      <c r="Z531" t="s">
        <v>74</v>
      </c>
      <c r="AA531" t="s">
        <v>1625</v>
      </c>
      <c r="AB531" t="s">
        <v>4011</v>
      </c>
      <c r="AC531" t="s">
        <v>74</v>
      </c>
      <c r="AD531" t="s">
        <v>74</v>
      </c>
      <c r="AE531" t="s">
        <v>74</v>
      </c>
      <c r="AF531" t="s">
        <v>74</v>
      </c>
      <c r="AG531" t="s">
        <v>74</v>
      </c>
      <c r="AH531" t="s">
        <v>74</v>
      </c>
      <c r="AI531" t="s">
        <v>74</v>
      </c>
      <c r="AJ531" t="s">
        <v>74</v>
      </c>
      <c r="AK531" t="s">
        <v>74</v>
      </c>
      <c r="AL531" t="s">
        <v>74</v>
      </c>
      <c r="AM531" t="s">
        <v>74</v>
      </c>
      <c r="AN531" t="s">
        <v>74</v>
      </c>
      <c r="AO531" t="s">
        <v>974</v>
      </c>
      <c r="AP531" t="s">
        <v>975</v>
      </c>
      <c r="AQ531" t="s">
        <v>74</v>
      </c>
      <c r="AR531" t="s">
        <v>74</v>
      </c>
      <c r="AS531" t="s">
        <v>74</v>
      </c>
      <c r="AT531" t="s">
        <v>2644</v>
      </c>
      <c r="AU531">
        <v>2015</v>
      </c>
      <c r="AV531">
        <v>156</v>
      </c>
      <c r="AW531" t="s">
        <v>74</v>
      </c>
      <c r="AX531" t="s">
        <v>74</v>
      </c>
      <c r="AY531" t="s">
        <v>74</v>
      </c>
      <c r="AZ531" t="s">
        <v>632</v>
      </c>
      <c r="BA531" t="s">
        <v>74</v>
      </c>
      <c r="BB531">
        <v>83</v>
      </c>
      <c r="BC531">
        <v>91</v>
      </c>
      <c r="BD531" t="s">
        <v>74</v>
      </c>
      <c r="BE531" t="s">
        <v>4012</v>
      </c>
      <c r="BF531" t="str">
        <f>HYPERLINK("http://dx.doi.org/10.1016/j.ecss.2014.09.022","http://dx.doi.org/10.1016/j.ecss.2014.09.022")</f>
        <v>http://dx.doi.org/10.1016/j.ecss.2014.09.022</v>
      </c>
      <c r="BG531" t="s">
        <v>74</v>
      </c>
      <c r="BH531" t="s">
        <v>74</v>
      </c>
      <c r="BI531" t="s">
        <v>74</v>
      </c>
      <c r="BJ531" t="s">
        <v>74</v>
      </c>
      <c r="BK531" t="s">
        <v>74</v>
      </c>
      <c r="BL531" t="s">
        <v>74</v>
      </c>
      <c r="BM531" t="s">
        <v>74</v>
      </c>
      <c r="BN531" t="s">
        <v>74</v>
      </c>
      <c r="BO531" t="s">
        <v>74</v>
      </c>
      <c r="BP531" t="s">
        <v>74</v>
      </c>
      <c r="BQ531" t="s">
        <v>74</v>
      </c>
      <c r="BR531" t="s">
        <v>74</v>
      </c>
      <c r="BS531" t="s">
        <v>4013</v>
      </c>
      <c r="BT531" t="str">
        <f>HYPERLINK("https%3A%2F%2Fwww.webofscience.com%2Fwos%2Fwoscc%2Ffull-record%2FWOS:000354151700009","View Full Record in Web of Science")</f>
        <v>View Full Record in Web of Science</v>
      </c>
    </row>
    <row r="532" spans="1:72" x14ac:dyDescent="0.2">
      <c r="A532" t="s">
        <v>72</v>
      </c>
      <c r="B532" t="s">
        <v>4014</v>
      </c>
      <c r="C532" t="s">
        <v>74</v>
      </c>
      <c r="D532" t="s">
        <v>74</v>
      </c>
      <c r="E532" t="s">
        <v>74</v>
      </c>
      <c r="F532" t="s">
        <v>4015</v>
      </c>
      <c r="G532" t="s">
        <v>74</v>
      </c>
      <c r="H532" t="s">
        <v>74</v>
      </c>
      <c r="I532" t="s">
        <v>4016</v>
      </c>
      <c r="J532" t="s">
        <v>3612</v>
      </c>
      <c r="K532" t="s">
        <v>74</v>
      </c>
      <c r="L532" t="s">
        <v>74</v>
      </c>
      <c r="M532" t="s">
        <v>74</v>
      </c>
      <c r="N532" t="s">
        <v>74</v>
      </c>
      <c r="O532" t="s">
        <v>74</v>
      </c>
      <c r="P532" t="s">
        <v>74</v>
      </c>
      <c r="Q532" t="s">
        <v>74</v>
      </c>
      <c r="R532" t="s">
        <v>74</v>
      </c>
      <c r="S532" t="s">
        <v>74</v>
      </c>
      <c r="T532" t="s">
        <v>74</v>
      </c>
      <c r="U532" t="s">
        <v>74</v>
      </c>
      <c r="V532" t="s">
        <v>74</v>
      </c>
      <c r="W532" t="s">
        <v>74</v>
      </c>
      <c r="X532" t="s">
        <v>74</v>
      </c>
      <c r="Y532" t="s">
        <v>74</v>
      </c>
      <c r="Z532" t="s">
        <v>74</v>
      </c>
      <c r="AA532" t="s">
        <v>4017</v>
      </c>
      <c r="AB532" t="s">
        <v>7075</v>
      </c>
      <c r="AC532" t="s">
        <v>74</v>
      </c>
      <c r="AD532" t="s">
        <v>74</v>
      </c>
      <c r="AE532" t="s">
        <v>74</v>
      </c>
      <c r="AF532" t="s">
        <v>74</v>
      </c>
      <c r="AG532" t="s">
        <v>74</v>
      </c>
      <c r="AH532" t="s">
        <v>74</v>
      </c>
      <c r="AI532" t="s">
        <v>74</v>
      </c>
      <c r="AJ532" t="s">
        <v>74</v>
      </c>
      <c r="AK532" t="s">
        <v>74</v>
      </c>
      <c r="AL532" t="s">
        <v>74</v>
      </c>
      <c r="AM532" t="s">
        <v>74</v>
      </c>
      <c r="AN532" t="s">
        <v>74</v>
      </c>
      <c r="AO532" t="s">
        <v>3615</v>
      </c>
      <c r="AP532" t="s">
        <v>3616</v>
      </c>
      <c r="AQ532" t="s">
        <v>74</v>
      </c>
      <c r="AR532" t="s">
        <v>74</v>
      </c>
      <c r="AS532" t="s">
        <v>74</v>
      </c>
      <c r="AT532" t="s">
        <v>203</v>
      </c>
      <c r="AU532">
        <v>2015</v>
      </c>
      <c r="AV532">
        <v>93</v>
      </c>
      <c r="AW532">
        <v>4</v>
      </c>
      <c r="AX532" t="s">
        <v>74</v>
      </c>
      <c r="AY532" t="s">
        <v>74</v>
      </c>
      <c r="AZ532" t="s">
        <v>74</v>
      </c>
      <c r="BA532" t="s">
        <v>74</v>
      </c>
      <c r="BB532">
        <v>289</v>
      </c>
      <c r="BC532">
        <v>297</v>
      </c>
      <c r="BD532" t="s">
        <v>74</v>
      </c>
      <c r="BE532" t="s">
        <v>4018</v>
      </c>
      <c r="BF532" t="str">
        <f>HYPERLINK("http://dx.doi.org/10.1139/cjz-2014-0236","http://dx.doi.org/10.1139/cjz-2014-0236")</f>
        <v>http://dx.doi.org/10.1139/cjz-2014-0236</v>
      </c>
      <c r="BG532" t="s">
        <v>74</v>
      </c>
      <c r="BH532" t="s">
        <v>74</v>
      </c>
      <c r="BI532" t="s">
        <v>74</v>
      </c>
      <c r="BJ532" t="s">
        <v>74</v>
      </c>
      <c r="BK532" t="s">
        <v>74</v>
      </c>
      <c r="BL532" t="s">
        <v>74</v>
      </c>
      <c r="BM532" t="s">
        <v>74</v>
      </c>
      <c r="BN532" t="s">
        <v>74</v>
      </c>
      <c r="BO532" t="s">
        <v>74</v>
      </c>
      <c r="BP532" t="s">
        <v>74</v>
      </c>
      <c r="BQ532" t="s">
        <v>74</v>
      </c>
      <c r="BR532" t="s">
        <v>74</v>
      </c>
      <c r="BS532" t="s">
        <v>4019</v>
      </c>
      <c r="BT532" t="str">
        <f>HYPERLINK("https%3A%2F%2Fwww.webofscience.com%2Fwos%2Fwoscc%2Ffull-record%2FWOS:000352216900006","View Full Record in Web of Science")</f>
        <v>View Full Record in Web of Science</v>
      </c>
    </row>
    <row r="533" spans="1:72" x14ac:dyDescent="0.2">
      <c r="A533" t="s">
        <v>72</v>
      </c>
      <c r="B533" t="s">
        <v>4020</v>
      </c>
      <c r="C533" t="s">
        <v>74</v>
      </c>
      <c r="D533" t="s">
        <v>74</v>
      </c>
      <c r="E533" t="s">
        <v>74</v>
      </c>
      <c r="F533" t="s">
        <v>4021</v>
      </c>
      <c r="G533" t="s">
        <v>74</v>
      </c>
      <c r="H533" t="s">
        <v>74</v>
      </c>
      <c r="I533" t="s">
        <v>4022</v>
      </c>
      <c r="J533" t="s">
        <v>423</v>
      </c>
      <c r="K533" t="s">
        <v>74</v>
      </c>
      <c r="L533" t="s">
        <v>74</v>
      </c>
      <c r="M533" t="s">
        <v>74</v>
      </c>
      <c r="N533" t="s">
        <v>74</v>
      </c>
      <c r="O533" t="s">
        <v>74</v>
      </c>
      <c r="P533" t="s">
        <v>74</v>
      </c>
      <c r="Q533" t="s">
        <v>74</v>
      </c>
      <c r="R533" t="s">
        <v>74</v>
      </c>
      <c r="S533" t="s">
        <v>74</v>
      </c>
      <c r="T533" t="s">
        <v>74</v>
      </c>
      <c r="U533" t="s">
        <v>74</v>
      </c>
      <c r="V533" t="s">
        <v>74</v>
      </c>
      <c r="W533" t="s">
        <v>74</v>
      </c>
      <c r="X533" t="s">
        <v>74</v>
      </c>
      <c r="Y533" t="s">
        <v>74</v>
      </c>
      <c r="Z533" t="s">
        <v>74</v>
      </c>
      <c r="AA533" t="s">
        <v>74</v>
      </c>
      <c r="AB533" t="s">
        <v>4023</v>
      </c>
      <c r="AC533" t="s">
        <v>74</v>
      </c>
      <c r="AD533" t="s">
        <v>74</v>
      </c>
      <c r="AE533" t="s">
        <v>74</v>
      </c>
      <c r="AF533" t="s">
        <v>74</v>
      </c>
      <c r="AG533" t="s">
        <v>74</v>
      </c>
      <c r="AH533" t="s">
        <v>74</v>
      </c>
      <c r="AI533" t="s">
        <v>74</v>
      </c>
      <c r="AJ533" t="s">
        <v>74</v>
      </c>
      <c r="AK533" t="s">
        <v>74</v>
      </c>
      <c r="AL533" t="s">
        <v>74</v>
      </c>
      <c r="AM533" t="s">
        <v>74</v>
      </c>
      <c r="AN533" t="s">
        <v>74</v>
      </c>
      <c r="AO533" t="s">
        <v>425</v>
      </c>
      <c r="AP533" t="s">
        <v>426</v>
      </c>
      <c r="AQ533" t="s">
        <v>74</v>
      </c>
      <c r="AR533" t="s">
        <v>74</v>
      </c>
      <c r="AS533" t="s">
        <v>74</v>
      </c>
      <c r="AT533" t="s">
        <v>203</v>
      </c>
      <c r="AU533">
        <v>2015</v>
      </c>
      <c r="AV533">
        <v>60</v>
      </c>
      <c r="AW533">
        <v>4</v>
      </c>
      <c r="AX533" t="s">
        <v>74</v>
      </c>
      <c r="AY533" t="s">
        <v>74</v>
      </c>
      <c r="AZ533" t="s">
        <v>74</v>
      </c>
      <c r="BA533" t="s">
        <v>74</v>
      </c>
      <c r="BB533">
        <v>663</v>
      </c>
      <c r="BC533">
        <v>672</v>
      </c>
      <c r="BD533" t="s">
        <v>74</v>
      </c>
      <c r="BE533" t="s">
        <v>4024</v>
      </c>
      <c r="BF533" t="str">
        <f>HYPERLINK("http://dx.doi.org/10.1111/fwb.12512","http://dx.doi.org/10.1111/fwb.12512")</f>
        <v>http://dx.doi.org/10.1111/fwb.12512</v>
      </c>
      <c r="BG533" t="s">
        <v>74</v>
      </c>
      <c r="BH533" t="s">
        <v>74</v>
      </c>
      <c r="BI533" t="s">
        <v>74</v>
      </c>
      <c r="BJ533" t="s">
        <v>74</v>
      </c>
      <c r="BK533" t="s">
        <v>74</v>
      </c>
      <c r="BL533" t="s">
        <v>74</v>
      </c>
      <c r="BM533" t="s">
        <v>74</v>
      </c>
      <c r="BN533" t="s">
        <v>74</v>
      </c>
      <c r="BO533" t="s">
        <v>74</v>
      </c>
      <c r="BP533" t="s">
        <v>74</v>
      </c>
      <c r="BQ533" t="s">
        <v>74</v>
      </c>
      <c r="BR533" t="s">
        <v>74</v>
      </c>
      <c r="BS533" t="s">
        <v>4025</v>
      </c>
      <c r="BT533" t="str">
        <f>HYPERLINK("https%3A%2F%2Fwww.webofscience.com%2Fwos%2Fwoscc%2Ffull-record%2FWOS:000351213000005","View Full Record in Web of Science")</f>
        <v>View Full Record in Web of Science</v>
      </c>
    </row>
    <row r="534" spans="1:72" x14ac:dyDescent="0.2">
      <c r="A534" t="s">
        <v>72</v>
      </c>
      <c r="B534" t="s">
        <v>4026</v>
      </c>
      <c r="C534" t="s">
        <v>74</v>
      </c>
      <c r="D534" t="s">
        <v>74</v>
      </c>
      <c r="E534" t="s">
        <v>74</v>
      </c>
      <c r="F534" t="s">
        <v>4027</v>
      </c>
      <c r="G534" t="s">
        <v>74</v>
      </c>
      <c r="H534" t="s">
        <v>74</v>
      </c>
      <c r="I534" t="s">
        <v>4028</v>
      </c>
      <c r="J534" t="s">
        <v>106</v>
      </c>
      <c r="K534" t="s">
        <v>74</v>
      </c>
      <c r="L534" t="s">
        <v>74</v>
      </c>
      <c r="M534" t="s">
        <v>74</v>
      </c>
      <c r="N534" t="s">
        <v>74</v>
      </c>
      <c r="O534" t="s">
        <v>74</v>
      </c>
      <c r="P534" t="s">
        <v>74</v>
      </c>
      <c r="Q534" t="s">
        <v>74</v>
      </c>
      <c r="R534" t="s">
        <v>74</v>
      </c>
      <c r="S534" t="s">
        <v>74</v>
      </c>
      <c r="T534" t="s">
        <v>74</v>
      </c>
      <c r="U534" t="s">
        <v>74</v>
      </c>
      <c r="V534" t="s">
        <v>74</v>
      </c>
      <c r="W534" t="s">
        <v>74</v>
      </c>
      <c r="X534" t="s">
        <v>74</v>
      </c>
      <c r="Y534" t="s">
        <v>74</v>
      </c>
      <c r="Z534" t="s">
        <v>74</v>
      </c>
      <c r="AA534" t="s">
        <v>4029</v>
      </c>
      <c r="AB534" t="s">
        <v>4030</v>
      </c>
      <c r="AC534" t="s">
        <v>74</v>
      </c>
      <c r="AD534" t="s">
        <v>74</v>
      </c>
      <c r="AE534" t="s">
        <v>74</v>
      </c>
      <c r="AF534" t="s">
        <v>74</v>
      </c>
      <c r="AG534" t="s">
        <v>74</v>
      </c>
      <c r="AH534" t="s">
        <v>74</v>
      </c>
      <c r="AI534" t="s">
        <v>74</v>
      </c>
      <c r="AJ534" t="s">
        <v>74</v>
      </c>
      <c r="AK534" t="s">
        <v>74</v>
      </c>
      <c r="AL534" t="s">
        <v>74</v>
      </c>
      <c r="AM534" t="s">
        <v>74</v>
      </c>
      <c r="AN534" t="s">
        <v>74</v>
      </c>
      <c r="AO534" t="s">
        <v>107</v>
      </c>
      <c r="AP534" t="s">
        <v>108</v>
      </c>
      <c r="AQ534" t="s">
        <v>74</v>
      </c>
      <c r="AR534" t="s">
        <v>74</v>
      </c>
      <c r="AS534" t="s">
        <v>74</v>
      </c>
      <c r="AT534" t="s">
        <v>3094</v>
      </c>
      <c r="AU534">
        <v>2015</v>
      </c>
      <c r="AV534">
        <v>37</v>
      </c>
      <c r="AW534">
        <v>2</v>
      </c>
      <c r="AX534" t="s">
        <v>74</v>
      </c>
      <c r="AY534" t="s">
        <v>74</v>
      </c>
      <c r="AZ534" t="s">
        <v>74</v>
      </c>
      <c r="BA534" t="s">
        <v>74</v>
      </c>
      <c r="BB534">
        <v>285</v>
      </c>
      <c r="BC534">
        <v>292</v>
      </c>
      <c r="BD534" t="s">
        <v>74</v>
      </c>
      <c r="BE534" t="s">
        <v>4031</v>
      </c>
      <c r="BF534" t="str">
        <f>HYPERLINK("http://dx.doi.org/10.1093/plankt/fbv009","http://dx.doi.org/10.1093/plankt/fbv009")</f>
        <v>http://dx.doi.org/10.1093/plankt/fbv009</v>
      </c>
      <c r="BG534" t="s">
        <v>74</v>
      </c>
      <c r="BH534" t="s">
        <v>74</v>
      </c>
      <c r="BI534" t="s">
        <v>74</v>
      </c>
      <c r="BJ534" t="s">
        <v>74</v>
      </c>
      <c r="BK534" t="s">
        <v>74</v>
      </c>
      <c r="BL534" t="s">
        <v>74</v>
      </c>
      <c r="BM534" t="s">
        <v>74</v>
      </c>
      <c r="BN534" t="s">
        <v>74</v>
      </c>
      <c r="BO534" t="s">
        <v>74</v>
      </c>
      <c r="BP534" t="s">
        <v>74</v>
      </c>
      <c r="BQ534" t="s">
        <v>74</v>
      </c>
      <c r="BR534" t="s">
        <v>74</v>
      </c>
      <c r="BS534" t="s">
        <v>4032</v>
      </c>
      <c r="BT534" t="str">
        <f>HYPERLINK("https%3A%2F%2Fwww.webofscience.com%2Fwos%2Fwoscc%2Ffull-record%2FWOS:000352487600002","View Full Record in Web of Science")</f>
        <v>View Full Record in Web of Science</v>
      </c>
    </row>
    <row r="535" spans="1:72" x14ac:dyDescent="0.2">
      <c r="A535" t="s">
        <v>72</v>
      </c>
      <c r="B535" t="s">
        <v>4033</v>
      </c>
      <c r="C535" t="s">
        <v>74</v>
      </c>
      <c r="D535" t="s">
        <v>74</v>
      </c>
      <c r="E535" t="s">
        <v>74</v>
      </c>
      <c r="F535" t="s">
        <v>4034</v>
      </c>
      <c r="G535" t="s">
        <v>74</v>
      </c>
      <c r="H535" t="s">
        <v>74</v>
      </c>
      <c r="I535" t="s">
        <v>4035</v>
      </c>
      <c r="J535" t="s">
        <v>4036</v>
      </c>
      <c r="K535" t="s">
        <v>74</v>
      </c>
      <c r="L535" t="s">
        <v>74</v>
      </c>
      <c r="M535" t="s">
        <v>74</v>
      </c>
      <c r="N535" t="s">
        <v>74</v>
      </c>
      <c r="O535" t="s">
        <v>74</v>
      </c>
      <c r="P535" t="s">
        <v>74</v>
      </c>
      <c r="Q535" t="s">
        <v>74</v>
      </c>
      <c r="R535" t="s">
        <v>74</v>
      </c>
      <c r="S535" t="s">
        <v>74</v>
      </c>
      <c r="T535" t="s">
        <v>74</v>
      </c>
      <c r="U535" t="s">
        <v>74</v>
      </c>
      <c r="V535" t="s">
        <v>74</v>
      </c>
      <c r="W535" t="s">
        <v>74</v>
      </c>
      <c r="X535" t="s">
        <v>74</v>
      </c>
      <c r="Y535" t="s">
        <v>74</v>
      </c>
      <c r="Z535" t="s">
        <v>74</v>
      </c>
      <c r="AA535" t="s">
        <v>74</v>
      </c>
      <c r="AB535" t="s">
        <v>4037</v>
      </c>
      <c r="AC535" t="s">
        <v>74</v>
      </c>
      <c r="AD535" t="s">
        <v>74</v>
      </c>
      <c r="AE535" t="s">
        <v>74</v>
      </c>
      <c r="AF535" t="s">
        <v>74</v>
      </c>
      <c r="AG535" t="s">
        <v>74</v>
      </c>
      <c r="AH535" t="s">
        <v>74</v>
      </c>
      <c r="AI535" t="s">
        <v>74</v>
      </c>
      <c r="AJ535" t="s">
        <v>74</v>
      </c>
      <c r="AK535" t="s">
        <v>74</v>
      </c>
      <c r="AL535" t="s">
        <v>74</v>
      </c>
      <c r="AM535" t="s">
        <v>74</v>
      </c>
      <c r="AN535" t="s">
        <v>74</v>
      </c>
      <c r="AO535" t="s">
        <v>74</v>
      </c>
      <c r="AP535" t="s">
        <v>4038</v>
      </c>
      <c r="AQ535" t="s">
        <v>74</v>
      </c>
      <c r="AR535" t="s">
        <v>74</v>
      </c>
      <c r="AS535" t="s">
        <v>74</v>
      </c>
      <c r="AT535" t="s">
        <v>157</v>
      </c>
      <c r="AU535">
        <v>2015</v>
      </c>
      <c r="AV535">
        <v>13</v>
      </c>
      <c r="AW535">
        <v>3</v>
      </c>
      <c r="AX535" t="s">
        <v>74</v>
      </c>
      <c r="AY535" t="s">
        <v>74</v>
      </c>
      <c r="AZ535" t="s">
        <v>74</v>
      </c>
      <c r="BA535" t="s">
        <v>74</v>
      </c>
      <c r="BB535">
        <v>1497</v>
      </c>
      <c r="BC535">
        <v>1518</v>
      </c>
      <c r="BD535" t="s">
        <v>74</v>
      </c>
      <c r="BE535" t="s">
        <v>4039</v>
      </c>
      <c r="BF535" t="str">
        <f>HYPERLINK("http://dx.doi.org/10.3390/md13031497","http://dx.doi.org/10.3390/md13031497")</f>
        <v>http://dx.doi.org/10.3390/md13031497</v>
      </c>
      <c r="BG535" t="s">
        <v>74</v>
      </c>
      <c r="BH535" t="s">
        <v>74</v>
      </c>
      <c r="BI535" t="s">
        <v>74</v>
      </c>
      <c r="BJ535" t="s">
        <v>74</v>
      </c>
      <c r="BK535" t="s">
        <v>74</v>
      </c>
      <c r="BL535" t="s">
        <v>74</v>
      </c>
      <c r="BM535" t="s">
        <v>74</v>
      </c>
      <c r="BN535">
        <v>25793428</v>
      </c>
      <c r="BO535" t="s">
        <v>74</v>
      </c>
      <c r="BP535" t="s">
        <v>74</v>
      </c>
      <c r="BQ535" t="s">
        <v>74</v>
      </c>
      <c r="BR535" t="s">
        <v>74</v>
      </c>
      <c r="BS535" t="s">
        <v>4040</v>
      </c>
      <c r="BT535" t="str">
        <f>HYPERLINK("https%3A%2F%2Fwww.webofscience.com%2Fwos%2Fwoscc%2Ffull-record%2FWOS:000351930500023","View Full Record in Web of Science")</f>
        <v>View Full Record in Web of Science</v>
      </c>
    </row>
    <row r="536" spans="1:72" x14ac:dyDescent="0.2">
      <c r="A536" t="s">
        <v>72</v>
      </c>
      <c r="B536" t="s">
        <v>4041</v>
      </c>
      <c r="C536" t="s">
        <v>74</v>
      </c>
      <c r="D536" t="s">
        <v>74</v>
      </c>
      <c r="E536" t="s">
        <v>74</v>
      </c>
      <c r="F536" t="s">
        <v>4042</v>
      </c>
      <c r="G536" t="s">
        <v>74</v>
      </c>
      <c r="H536" t="s">
        <v>74</v>
      </c>
      <c r="I536" t="s">
        <v>4043</v>
      </c>
      <c r="J536" t="s">
        <v>4044</v>
      </c>
      <c r="K536" t="s">
        <v>74</v>
      </c>
      <c r="L536" t="s">
        <v>74</v>
      </c>
      <c r="M536" t="s">
        <v>74</v>
      </c>
      <c r="N536" t="s">
        <v>74</v>
      </c>
      <c r="O536" t="s">
        <v>74</v>
      </c>
      <c r="P536" t="s">
        <v>74</v>
      </c>
      <c r="Q536" t="s">
        <v>74</v>
      </c>
      <c r="R536" t="s">
        <v>74</v>
      </c>
      <c r="S536" t="s">
        <v>74</v>
      </c>
      <c r="T536" t="s">
        <v>74</v>
      </c>
      <c r="U536" t="s">
        <v>74</v>
      </c>
      <c r="V536" t="s">
        <v>74</v>
      </c>
      <c r="W536" t="s">
        <v>74</v>
      </c>
      <c r="X536" t="s">
        <v>74</v>
      </c>
      <c r="Y536" t="s">
        <v>74</v>
      </c>
      <c r="Z536" t="s">
        <v>74</v>
      </c>
      <c r="AA536" t="s">
        <v>7076</v>
      </c>
      <c r="AB536" t="s">
        <v>7077</v>
      </c>
      <c r="AC536" t="s">
        <v>74</v>
      </c>
      <c r="AD536" t="s">
        <v>74</v>
      </c>
      <c r="AE536" t="s">
        <v>74</v>
      </c>
      <c r="AF536" t="s">
        <v>74</v>
      </c>
      <c r="AG536" t="s">
        <v>74</v>
      </c>
      <c r="AH536" t="s">
        <v>74</v>
      </c>
      <c r="AI536" t="s">
        <v>74</v>
      </c>
      <c r="AJ536" t="s">
        <v>74</v>
      </c>
      <c r="AK536" t="s">
        <v>74</v>
      </c>
      <c r="AL536" t="s">
        <v>74</v>
      </c>
      <c r="AM536" t="s">
        <v>74</v>
      </c>
      <c r="AN536" t="s">
        <v>74</v>
      </c>
      <c r="AO536" t="s">
        <v>4045</v>
      </c>
      <c r="AP536" t="s">
        <v>74</v>
      </c>
      <c r="AQ536" t="s">
        <v>74</v>
      </c>
      <c r="AR536" t="s">
        <v>74</v>
      </c>
      <c r="AS536" t="s">
        <v>74</v>
      </c>
      <c r="AT536" t="s">
        <v>157</v>
      </c>
      <c r="AU536">
        <v>2015</v>
      </c>
      <c r="AV536">
        <v>8</v>
      </c>
      <c r="AW536" t="s">
        <v>74</v>
      </c>
      <c r="AX536" t="s">
        <v>74</v>
      </c>
      <c r="AY536" t="s">
        <v>74</v>
      </c>
      <c r="AZ536" t="s">
        <v>74</v>
      </c>
      <c r="BA536" t="s">
        <v>74</v>
      </c>
      <c r="BB536">
        <v>140</v>
      </c>
      <c r="BC536">
        <v>144</v>
      </c>
      <c r="BD536" t="s">
        <v>74</v>
      </c>
      <c r="BE536" t="s">
        <v>4046</v>
      </c>
      <c r="BF536" t="str">
        <f>HYPERLINK("http://dx.doi.org/10.1016/j.algal.2015.02.003","http://dx.doi.org/10.1016/j.algal.2015.02.003")</f>
        <v>http://dx.doi.org/10.1016/j.algal.2015.02.003</v>
      </c>
      <c r="BG536" t="s">
        <v>74</v>
      </c>
      <c r="BH536" t="s">
        <v>74</v>
      </c>
      <c r="BI536" t="s">
        <v>74</v>
      </c>
      <c r="BJ536" t="s">
        <v>74</v>
      </c>
      <c r="BK536" t="s">
        <v>74</v>
      </c>
      <c r="BL536" t="s">
        <v>74</v>
      </c>
      <c r="BM536" t="s">
        <v>74</v>
      </c>
      <c r="BN536" t="s">
        <v>74</v>
      </c>
      <c r="BO536" t="s">
        <v>74</v>
      </c>
      <c r="BP536" t="s">
        <v>74</v>
      </c>
      <c r="BQ536" t="s">
        <v>74</v>
      </c>
      <c r="BR536" t="s">
        <v>74</v>
      </c>
      <c r="BS536" t="s">
        <v>4047</v>
      </c>
      <c r="BT536" t="str">
        <f>HYPERLINK("https%3A%2F%2Fwww.webofscience.com%2Fwos%2Fwoscc%2Ffull-record%2FWOS:000352274800021","View Full Record in Web of Science")</f>
        <v>View Full Record in Web of Science</v>
      </c>
    </row>
    <row r="537" spans="1:72" x14ac:dyDescent="0.2">
      <c r="A537" t="s">
        <v>72</v>
      </c>
      <c r="B537" t="s">
        <v>4048</v>
      </c>
      <c r="C537" t="s">
        <v>74</v>
      </c>
      <c r="D537" t="s">
        <v>74</v>
      </c>
      <c r="E537" t="s">
        <v>74</v>
      </c>
      <c r="F537" t="s">
        <v>4049</v>
      </c>
      <c r="G537" t="s">
        <v>74</v>
      </c>
      <c r="H537" t="s">
        <v>74</v>
      </c>
      <c r="I537" t="s">
        <v>4050</v>
      </c>
      <c r="J537" t="s">
        <v>1832</v>
      </c>
      <c r="K537" t="s">
        <v>74</v>
      </c>
      <c r="L537" t="s">
        <v>74</v>
      </c>
      <c r="M537" t="s">
        <v>74</v>
      </c>
      <c r="N537" t="s">
        <v>74</v>
      </c>
      <c r="O537" t="s">
        <v>74</v>
      </c>
      <c r="P537" t="s">
        <v>74</v>
      </c>
      <c r="Q537" t="s">
        <v>74</v>
      </c>
      <c r="R537" t="s">
        <v>74</v>
      </c>
      <c r="S537" t="s">
        <v>74</v>
      </c>
      <c r="T537" t="s">
        <v>74</v>
      </c>
      <c r="U537" t="s">
        <v>74</v>
      </c>
      <c r="V537" t="s">
        <v>74</v>
      </c>
      <c r="W537" t="s">
        <v>74</v>
      </c>
      <c r="X537" t="s">
        <v>74</v>
      </c>
      <c r="Y537" t="s">
        <v>74</v>
      </c>
      <c r="Z537" t="s">
        <v>74</v>
      </c>
      <c r="AA537" t="s">
        <v>1625</v>
      </c>
      <c r="AB537" t="s">
        <v>4051</v>
      </c>
      <c r="AC537" t="s">
        <v>74</v>
      </c>
      <c r="AD537" t="s">
        <v>74</v>
      </c>
      <c r="AE537" t="s">
        <v>74</v>
      </c>
      <c r="AF537" t="s">
        <v>74</v>
      </c>
      <c r="AG537" t="s">
        <v>74</v>
      </c>
      <c r="AH537" t="s">
        <v>74</v>
      </c>
      <c r="AI537" t="s">
        <v>74</v>
      </c>
      <c r="AJ537" t="s">
        <v>74</v>
      </c>
      <c r="AK537" t="s">
        <v>74</v>
      </c>
      <c r="AL537" t="s">
        <v>74</v>
      </c>
      <c r="AM537" t="s">
        <v>74</v>
      </c>
      <c r="AN537" t="s">
        <v>74</v>
      </c>
      <c r="AO537" t="s">
        <v>1834</v>
      </c>
      <c r="AP537" t="s">
        <v>1835</v>
      </c>
      <c r="AQ537" t="s">
        <v>74</v>
      </c>
      <c r="AR537" t="s">
        <v>74</v>
      </c>
      <c r="AS537" t="s">
        <v>74</v>
      </c>
      <c r="AT537" t="s">
        <v>157</v>
      </c>
      <c r="AU537">
        <v>2015</v>
      </c>
      <c r="AV537">
        <v>38</v>
      </c>
      <c r="AW537">
        <v>2</v>
      </c>
      <c r="AX537" t="s">
        <v>74</v>
      </c>
      <c r="AY537" t="s">
        <v>74</v>
      </c>
      <c r="AZ537" t="s">
        <v>74</v>
      </c>
      <c r="BA537" t="s">
        <v>74</v>
      </c>
      <c r="BB537">
        <v>546</v>
      </c>
      <c r="BC537">
        <v>557</v>
      </c>
      <c r="BD537" t="s">
        <v>74</v>
      </c>
      <c r="BE537" t="s">
        <v>4052</v>
      </c>
      <c r="BF537" t="str">
        <f>HYPERLINK("http://dx.doi.org/10.1007/s12237-014-9838-x","http://dx.doi.org/10.1007/s12237-014-9838-x")</f>
        <v>http://dx.doi.org/10.1007/s12237-014-9838-x</v>
      </c>
      <c r="BG537" t="s">
        <v>74</v>
      </c>
      <c r="BH537" t="s">
        <v>74</v>
      </c>
      <c r="BI537" t="s">
        <v>74</v>
      </c>
      <c r="BJ537" t="s">
        <v>74</v>
      </c>
      <c r="BK537" t="s">
        <v>74</v>
      </c>
      <c r="BL537" t="s">
        <v>74</v>
      </c>
      <c r="BM537" t="s">
        <v>74</v>
      </c>
      <c r="BN537" t="s">
        <v>74</v>
      </c>
      <c r="BO537" t="s">
        <v>74</v>
      </c>
      <c r="BP537" t="s">
        <v>74</v>
      </c>
      <c r="BQ537" t="s">
        <v>74</v>
      </c>
      <c r="BR537" t="s">
        <v>74</v>
      </c>
      <c r="BS537" t="s">
        <v>4053</v>
      </c>
      <c r="BT537" t="str">
        <f>HYPERLINK("https%3A%2F%2Fwww.webofscience.com%2Fwos%2Fwoscc%2Ffull-record%2FWOS:000348789300011","View Full Record in Web of Science")</f>
        <v>View Full Record in Web of Science</v>
      </c>
    </row>
    <row r="538" spans="1:72" x14ac:dyDescent="0.2">
      <c r="A538" t="s">
        <v>72</v>
      </c>
      <c r="B538" t="s">
        <v>4054</v>
      </c>
      <c r="C538" t="s">
        <v>74</v>
      </c>
      <c r="D538" t="s">
        <v>74</v>
      </c>
      <c r="E538" t="s">
        <v>74</v>
      </c>
      <c r="F538" t="s">
        <v>4055</v>
      </c>
      <c r="G538" t="s">
        <v>74</v>
      </c>
      <c r="H538" t="s">
        <v>74</v>
      </c>
      <c r="I538" t="s">
        <v>4056</v>
      </c>
      <c r="J538" t="s">
        <v>2526</v>
      </c>
      <c r="K538" t="s">
        <v>74</v>
      </c>
      <c r="L538" t="s">
        <v>74</v>
      </c>
      <c r="M538" t="s">
        <v>74</v>
      </c>
      <c r="N538" t="s">
        <v>74</v>
      </c>
      <c r="O538" t="s">
        <v>74</v>
      </c>
      <c r="P538" t="s">
        <v>74</v>
      </c>
      <c r="Q538" t="s">
        <v>74</v>
      </c>
      <c r="R538" t="s">
        <v>74</v>
      </c>
      <c r="S538" t="s">
        <v>74</v>
      </c>
      <c r="T538" t="s">
        <v>74</v>
      </c>
      <c r="U538" t="s">
        <v>74</v>
      </c>
      <c r="V538" t="s">
        <v>74</v>
      </c>
      <c r="W538" t="s">
        <v>74</v>
      </c>
      <c r="X538" t="s">
        <v>74</v>
      </c>
      <c r="Y538" t="s">
        <v>74</v>
      </c>
      <c r="Z538" t="s">
        <v>74</v>
      </c>
      <c r="AA538" t="s">
        <v>74</v>
      </c>
      <c r="AB538" t="s">
        <v>6770</v>
      </c>
      <c r="AC538" t="s">
        <v>74</v>
      </c>
      <c r="AD538" t="s">
        <v>74</v>
      </c>
      <c r="AE538" t="s">
        <v>74</v>
      </c>
      <c r="AF538" t="s">
        <v>74</v>
      </c>
      <c r="AG538" t="s">
        <v>74</v>
      </c>
      <c r="AH538" t="s">
        <v>74</v>
      </c>
      <c r="AI538" t="s">
        <v>74</v>
      </c>
      <c r="AJ538" t="s">
        <v>74</v>
      </c>
      <c r="AK538" t="s">
        <v>74</v>
      </c>
      <c r="AL538" t="s">
        <v>74</v>
      </c>
      <c r="AM538" t="s">
        <v>74</v>
      </c>
      <c r="AN538" t="s">
        <v>74</v>
      </c>
      <c r="AO538" t="s">
        <v>2527</v>
      </c>
      <c r="AP538" t="s">
        <v>74</v>
      </c>
      <c r="AQ538" t="s">
        <v>74</v>
      </c>
      <c r="AR538" t="s">
        <v>74</v>
      </c>
      <c r="AS538" t="s">
        <v>74</v>
      </c>
      <c r="AT538" t="s">
        <v>4057</v>
      </c>
      <c r="AU538">
        <v>2015</v>
      </c>
      <c r="AV538">
        <v>112</v>
      </c>
      <c r="AW538">
        <v>8</v>
      </c>
      <c r="AX538" t="s">
        <v>74</v>
      </c>
      <c r="AY538" t="s">
        <v>74</v>
      </c>
      <c r="AZ538" t="s">
        <v>74</v>
      </c>
      <c r="BA538" t="s">
        <v>74</v>
      </c>
      <c r="BB538">
        <v>2617</v>
      </c>
      <c r="BC538">
        <v>2622</v>
      </c>
      <c r="BD538" t="s">
        <v>74</v>
      </c>
      <c r="BE538" t="s">
        <v>4058</v>
      </c>
      <c r="BF538" t="str">
        <f>HYPERLINK("http://dx.doi.org/10.1073/pnas.1423502112","http://dx.doi.org/10.1073/pnas.1423502112")</f>
        <v>http://dx.doi.org/10.1073/pnas.1423502112</v>
      </c>
      <c r="BG538" t="s">
        <v>74</v>
      </c>
      <c r="BH538" t="s">
        <v>74</v>
      </c>
      <c r="BI538" t="s">
        <v>74</v>
      </c>
      <c r="BJ538" t="s">
        <v>74</v>
      </c>
      <c r="BK538" t="s">
        <v>74</v>
      </c>
      <c r="BL538" t="s">
        <v>74</v>
      </c>
      <c r="BM538" t="s">
        <v>74</v>
      </c>
      <c r="BN538">
        <v>25624499</v>
      </c>
      <c r="BO538" t="s">
        <v>74</v>
      </c>
      <c r="BP538" t="s">
        <v>74</v>
      </c>
      <c r="BQ538" t="s">
        <v>74</v>
      </c>
      <c r="BR538" t="s">
        <v>74</v>
      </c>
      <c r="BS538" t="s">
        <v>4059</v>
      </c>
      <c r="BT538" t="str">
        <f>HYPERLINK("https%3A%2F%2Fwww.webofscience.com%2Fwos%2Fwoscc%2Ffull-record%2FWOS:000349911700076","View Full Record in Web of Science")</f>
        <v>View Full Record in Web of Science</v>
      </c>
    </row>
    <row r="539" spans="1:72" x14ac:dyDescent="0.2">
      <c r="A539" t="s">
        <v>72</v>
      </c>
      <c r="B539" t="s">
        <v>4060</v>
      </c>
      <c r="C539" t="s">
        <v>74</v>
      </c>
      <c r="D539" t="s">
        <v>74</v>
      </c>
      <c r="E539" t="s">
        <v>74</v>
      </c>
      <c r="F539" t="s">
        <v>4061</v>
      </c>
      <c r="G539" t="s">
        <v>74</v>
      </c>
      <c r="H539" t="s">
        <v>74</v>
      </c>
      <c r="I539" t="s">
        <v>4062</v>
      </c>
      <c r="J539" t="s">
        <v>3360</v>
      </c>
      <c r="K539" t="s">
        <v>74</v>
      </c>
      <c r="L539" t="s">
        <v>74</v>
      </c>
      <c r="M539" t="s">
        <v>74</v>
      </c>
      <c r="N539" t="s">
        <v>74</v>
      </c>
      <c r="O539" t="s">
        <v>74</v>
      </c>
      <c r="P539" t="s">
        <v>74</v>
      </c>
      <c r="Q539" t="s">
        <v>74</v>
      </c>
      <c r="R539" t="s">
        <v>74</v>
      </c>
      <c r="S539" t="s">
        <v>74</v>
      </c>
      <c r="T539" t="s">
        <v>74</v>
      </c>
      <c r="U539" t="s">
        <v>74</v>
      </c>
      <c r="V539" t="s">
        <v>74</v>
      </c>
      <c r="W539" t="s">
        <v>74</v>
      </c>
      <c r="X539" t="s">
        <v>74</v>
      </c>
      <c r="Y539" t="s">
        <v>74</v>
      </c>
      <c r="Z539" t="s">
        <v>74</v>
      </c>
      <c r="AA539" t="s">
        <v>4063</v>
      </c>
      <c r="AB539" t="s">
        <v>4064</v>
      </c>
      <c r="AC539" t="s">
        <v>74</v>
      </c>
      <c r="AD539" t="s">
        <v>74</v>
      </c>
      <c r="AE539" t="s">
        <v>74</v>
      </c>
      <c r="AF539" t="s">
        <v>74</v>
      </c>
      <c r="AG539" t="s">
        <v>74</v>
      </c>
      <c r="AH539" t="s">
        <v>74</v>
      </c>
      <c r="AI539" t="s">
        <v>74</v>
      </c>
      <c r="AJ539" t="s">
        <v>74</v>
      </c>
      <c r="AK539" t="s">
        <v>74</v>
      </c>
      <c r="AL539" t="s">
        <v>74</v>
      </c>
      <c r="AM539" t="s">
        <v>74</v>
      </c>
      <c r="AN539" t="s">
        <v>74</v>
      </c>
      <c r="AO539" t="s">
        <v>3363</v>
      </c>
      <c r="AP539" t="s">
        <v>3364</v>
      </c>
      <c r="AQ539" t="s">
        <v>74</v>
      </c>
      <c r="AR539" t="s">
        <v>74</v>
      </c>
      <c r="AS539" t="s">
        <v>74</v>
      </c>
      <c r="AT539" t="s">
        <v>416</v>
      </c>
      <c r="AU539">
        <v>2015</v>
      </c>
      <c r="AV539">
        <v>162</v>
      </c>
      <c r="AW539">
        <v>2</v>
      </c>
      <c r="AX539" t="s">
        <v>74</v>
      </c>
      <c r="AY539" t="s">
        <v>74</v>
      </c>
      <c r="AZ539" t="s">
        <v>74</v>
      </c>
      <c r="BA539" t="s">
        <v>74</v>
      </c>
      <c r="BB539">
        <v>331</v>
      </c>
      <c r="BC539">
        <v>341</v>
      </c>
      <c r="BD539" t="s">
        <v>74</v>
      </c>
      <c r="BE539" t="s">
        <v>4065</v>
      </c>
      <c r="BF539" t="str">
        <f>HYPERLINK("http://dx.doi.org/10.1007/s00227-014-2568-6","http://dx.doi.org/10.1007/s00227-014-2568-6")</f>
        <v>http://dx.doi.org/10.1007/s00227-014-2568-6</v>
      </c>
      <c r="BG539" t="s">
        <v>74</v>
      </c>
      <c r="BH539" t="s">
        <v>74</v>
      </c>
      <c r="BI539" t="s">
        <v>74</v>
      </c>
      <c r="BJ539" t="s">
        <v>74</v>
      </c>
      <c r="BK539" t="s">
        <v>74</v>
      </c>
      <c r="BL539" t="s">
        <v>74</v>
      </c>
      <c r="BM539" t="s">
        <v>74</v>
      </c>
      <c r="BN539" t="s">
        <v>74</v>
      </c>
      <c r="BO539" t="s">
        <v>74</v>
      </c>
      <c r="BP539" t="s">
        <v>74</v>
      </c>
      <c r="BQ539" t="s">
        <v>74</v>
      </c>
      <c r="BR539" t="s">
        <v>74</v>
      </c>
      <c r="BS539" t="s">
        <v>4066</v>
      </c>
      <c r="BT539" t="str">
        <f>HYPERLINK("https%3A%2F%2Fwww.webofscience.com%2Fwos%2Fwoscc%2Ffull-record%2FWOS:000348564300009","View Full Record in Web of Science")</f>
        <v>View Full Record in Web of Science</v>
      </c>
    </row>
    <row r="540" spans="1:72" x14ac:dyDescent="0.2">
      <c r="A540" t="s">
        <v>3144</v>
      </c>
      <c r="B540" t="s">
        <v>4067</v>
      </c>
      <c r="C540" t="s">
        <v>74</v>
      </c>
      <c r="D540" t="s">
        <v>4067</v>
      </c>
      <c r="E540" t="s">
        <v>74</v>
      </c>
      <c r="F540" t="s">
        <v>4068</v>
      </c>
      <c r="G540" t="s">
        <v>74</v>
      </c>
      <c r="H540" t="s">
        <v>74</v>
      </c>
      <c r="I540" t="s">
        <v>4069</v>
      </c>
      <c r="J540" t="s">
        <v>4070</v>
      </c>
      <c r="K540" t="s">
        <v>4071</v>
      </c>
      <c r="L540" t="s">
        <v>74</v>
      </c>
      <c r="M540" t="s">
        <v>74</v>
      </c>
      <c r="N540" t="s">
        <v>74</v>
      </c>
      <c r="O540" t="s">
        <v>74</v>
      </c>
      <c r="P540" t="s">
        <v>74</v>
      </c>
      <c r="Q540" t="s">
        <v>74</v>
      </c>
      <c r="R540" t="s">
        <v>74</v>
      </c>
      <c r="S540" t="s">
        <v>74</v>
      </c>
      <c r="T540" t="s">
        <v>74</v>
      </c>
      <c r="U540" t="s">
        <v>74</v>
      </c>
      <c r="V540" t="s">
        <v>74</v>
      </c>
      <c r="W540" t="s">
        <v>74</v>
      </c>
      <c r="X540" t="s">
        <v>74</v>
      </c>
      <c r="Y540" t="s">
        <v>74</v>
      </c>
      <c r="Z540" t="s">
        <v>74</v>
      </c>
      <c r="AA540" t="s">
        <v>4072</v>
      </c>
      <c r="AB540" t="s">
        <v>4073</v>
      </c>
      <c r="AC540" t="s">
        <v>74</v>
      </c>
      <c r="AD540" t="s">
        <v>74</v>
      </c>
      <c r="AE540" t="s">
        <v>74</v>
      </c>
      <c r="AF540" t="s">
        <v>74</v>
      </c>
      <c r="AG540" t="s">
        <v>74</v>
      </c>
      <c r="AH540" t="s">
        <v>74</v>
      </c>
      <c r="AI540" t="s">
        <v>74</v>
      </c>
      <c r="AJ540" t="s">
        <v>74</v>
      </c>
      <c r="AK540" t="s">
        <v>74</v>
      </c>
      <c r="AL540" t="s">
        <v>74</v>
      </c>
      <c r="AM540" t="s">
        <v>74</v>
      </c>
      <c r="AN540" t="s">
        <v>74</v>
      </c>
      <c r="AO540" t="s">
        <v>4074</v>
      </c>
      <c r="AP540" t="s">
        <v>74</v>
      </c>
      <c r="AQ540" t="s">
        <v>4075</v>
      </c>
      <c r="AR540" t="s">
        <v>74</v>
      </c>
      <c r="AS540" t="s">
        <v>74</v>
      </c>
      <c r="AT540" t="s">
        <v>74</v>
      </c>
      <c r="AU540">
        <v>2015</v>
      </c>
      <c r="AV540">
        <v>10</v>
      </c>
      <c r="AW540" t="s">
        <v>74</v>
      </c>
      <c r="AX540" t="s">
        <v>74</v>
      </c>
      <c r="AY540" t="s">
        <v>74</v>
      </c>
      <c r="AZ540" t="s">
        <v>74</v>
      </c>
      <c r="BA540" t="s">
        <v>74</v>
      </c>
      <c r="BB540">
        <v>301</v>
      </c>
      <c r="BC540">
        <v>311</v>
      </c>
      <c r="BD540" t="s">
        <v>74</v>
      </c>
      <c r="BE540" t="s">
        <v>4076</v>
      </c>
      <c r="BF540" t="str">
        <f>HYPERLINK("http://dx.doi.org/10.1007/978-3-319-13494-9_16","http://dx.doi.org/10.1007/978-3-319-13494-9_16")</f>
        <v>http://dx.doi.org/10.1007/978-3-319-13494-9_16</v>
      </c>
      <c r="BG540" t="s">
        <v>4077</v>
      </c>
      <c r="BH540" t="s">
        <v>74</v>
      </c>
      <c r="BI540" t="s">
        <v>74</v>
      </c>
      <c r="BJ540" t="s">
        <v>74</v>
      </c>
      <c r="BK540" t="s">
        <v>74</v>
      </c>
      <c r="BL540" t="s">
        <v>74</v>
      </c>
      <c r="BM540" t="s">
        <v>74</v>
      </c>
      <c r="BN540" t="s">
        <v>74</v>
      </c>
      <c r="BO540" t="s">
        <v>74</v>
      </c>
      <c r="BP540" t="s">
        <v>74</v>
      </c>
      <c r="BQ540" t="s">
        <v>74</v>
      </c>
      <c r="BR540" t="s">
        <v>74</v>
      </c>
      <c r="BS540" t="s">
        <v>4078</v>
      </c>
      <c r="BT540" t="str">
        <f>HYPERLINK("https%3A%2F%2Fwww.webofscience.com%2Fwos%2Fwoscc%2Ffull-record%2FWOS:000365671700018","View Full Record in Web of Science")</f>
        <v>View Full Record in Web of Science</v>
      </c>
    </row>
    <row r="541" spans="1:72" x14ac:dyDescent="0.2">
      <c r="A541" t="s">
        <v>72</v>
      </c>
      <c r="B541" t="s">
        <v>4079</v>
      </c>
      <c r="C541" t="s">
        <v>74</v>
      </c>
      <c r="D541" t="s">
        <v>74</v>
      </c>
      <c r="E541" t="s">
        <v>74</v>
      </c>
      <c r="F541" t="s">
        <v>4080</v>
      </c>
      <c r="G541" t="s">
        <v>74</v>
      </c>
      <c r="H541" t="s">
        <v>74</v>
      </c>
      <c r="I541" t="s">
        <v>4081</v>
      </c>
      <c r="J541" t="s">
        <v>2769</v>
      </c>
      <c r="K541" t="s">
        <v>74</v>
      </c>
      <c r="L541" t="s">
        <v>74</v>
      </c>
      <c r="M541" t="s">
        <v>74</v>
      </c>
      <c r="N541" t="s">
        <v>74</v>
      </c>
      <c r="O541" t="s">
        <v>74</v>
      </c>
      <c r="P541" t="s">
        <v>74</v>
      </c>
      <c r="Q541" t="s">
        <v>74</v>
      </c>
      <c r="R541" t="s">
        <v>74</v>
      </c>
      <c r="S541" t="s">
        <v>74</v>
      </c>
      <c r="T541" t="s">
        <v>74</v>
      </c>
      <c r="U541" t="s">
        <v>74</v>
      </c>
      <c r="V541" t="s">
        <v>74</v>
      </c>
      <c r="W541" t="s">
        <v>74</v>
      </c>
      <c r="X541" t="s">
        <v>74</v>
      </c>
      <c r="Y541" t="s">
        <v>74</v>
      </c>
      <c r="Z541" t="s">
        <v>74</v>
      </c>
      <c r="AA541" t="s">
        <v>4082</v>
      </c>
      <c r="AB541" t="s">
        <v>7078</v>
      </c>
      <c r="AC541" t="s">
        <v>74</v>
      </c>
      <c r="AD541" t="s">
        <v>74</v>
      </c>
      <c r="AE541" t="s">
        <v>74</v>
      </c>
      <c r="AF541" t="s">
        <v>74</v>
      </c>
      <c r="AG541" t="s">
        <v>74</v>
      </c>
      <c r="AH541" t="s">
        <v>74</v>
      </c>
      <c r="AI541" t="s">
        <v>74</v>
      </c>
      <c r="AJ541" t="s">
        <v>74</v>
      </c>
      <c r="AK541" t="s">
        <v>74</v>
      </c>
      <c r="AL541" t="s">
        <v>74</v>
      </c>
      <c r="AM541" t="s">
        <v>74</v>
      </c>
      <c r="AN541" t="s">
        <v>74</v>
      </c>
      <c r="AO541" t="s">
        <v>2772</v>
      </c>
      <c r="AP541" t="s">
        <v>2773</v>
      </c>
      <c r="AQ541" t="s">
        <v>74</v>
      </c>
      <c r="AR541" t="s">
        <v>74</v>
      </c>
      <c r="AS541" t="s">
        <v>74</v>
      </c>
      <c r="AT541" t="s">
        <v>74</v>
      </c>
      <c r="AU541">
        <v>2015</v>
      </c>
      <c r="AV541">
        <v>76</v>
      </c>
      <c r="AW541">
        <v>1</v>
      </c>
      <c r="AX541" t="s">
        <v>74</v>
      </c>
      <c r="AY541" t="s">
        <v>74</v>
      </c>
      <c r="AZ541" t="s">
        <v>74</v>
      </c>
      <c r="BA541" t="s">
        <v>74</v>
      </c>
      <c r="BB541">
        <v>71</v>
      </c>
      <c r="BC541">
        <v>83</v>
      </c>
      <c r="BD541" t="s">
        <v>74</v>
      </c>
      <c r="BE541" t="s">
        <v>4083</v>
      </c>
      <c r="BF541" t="str">
        <f>HYPERLINK("http://dx.doi.org/10.3354/ame01770","http://dx.doi.org/10.3354/ame01770")</f>
        <v>http://dx.doi.org/10.3354/ame01770</v>
      </c>
      <c r="BG541" t="s">
        <v>74</v>
      </c>
      <c r="BH541" t="s">
        <v>74</v>
      </c>
      <c r="BI541" t="s">
        <v>74</v>
      </c>
      <c r="BJ541" t="s">
        <v>74</v>
      </c>
      <c r="BK541" t="s">
        <v>74</v>
      </c>
      <c r="BL541" t="s">
        <v>74</v>
      </c>
      <c r="BM541" t="s">
        <v>74</v>
      </c>
      <c r="BN541" t="s">
        <v>74</v>
      </c>
      <c r="BO541" t="s">
        <v>74</v>
      </c>
      <c r="BP541" t="s">
        <v>74</v>
      </c>
      <c r="BQ541" t="s">
        <v>74</v>
      </c>
      <c r="BR541" t="s">
        <v>74</v>
      </c>
      <c r="BS541" t="s">
        <v>4084</v>
      </c>
      <c r="BT541" t="str">
        <f>HYPERLINK("https%3A%2F%2Fwww.webofscience.com%2Fwos%2Fwoscc%2Ffull-record%2FWOS:000362667300006","View Full Record in Web of Science")</f>
        <v>View Full Record in Web of Science</v>
      </c>
    </row>
    <row r="542" spans="1:72" x14ac:dyDescent="0.2">
      <c r="A542" t="s">
        <v>72</v>
      </c>
      <c r="B542" t="s">
        <v>4085</v>
      </c>
      <c r="C542" t="s">
        <v>74</v>
      </c>
      <c r="D542" t="s">
        <v>74</v>
      </c>
      <c r="E542" t="s">
        <v>74</v>
      </c>
      <c r="F542" t="s">
        <v>4086</v>
      </c>
      <c r="G542" t="s">
        <v>74</v>
      </c>
      <c r="H542" t="s">
        <v>74</v>
      </c>
      <c r="I542" t="s">
        <v>4087</v>
      </c>
      <c r="J542" t="s">
        <v>124</v>
      </c>
      <c r="K542" t="s">
        <v>74</v>
      </c>
      <c r="L542" t="s">
        <v>74</v>
      </c>
      <c r="M542" t="s">
        <v>74</v>
      </c>
      <c r="N542" t="s">
        <v>74</v>
      </c>
      <c r="O542" t="s">
        <v>74</v>
      </c>
      <c r="P542" t="s">
        <v>74</v>
      </c>
      <c r="Q542" t="s">
        <v>74</v>
      </c>
      <c r="R542" t="s">
        <v>74</v>
      </c>
      <c r="S542" t="s">
        <v>74</v>
      </c>
      <c r="T542" t="s">
        <v>74</v>
      </c>
      <c r="U542" t="s">
        <v>74</v>
      </c>
      <c r="V542" t="s">
        <v>74</v>
      </c>
      <c r="W542" t="s">
        <v>74</v>
      </c>
      <c r="X542" t="s">
        <v>74</v>
      </c>
      <c r="Y542" t="s">
        <v>74</v>
      </c>
      <c r="Z542" t="s">
        <v>74</v>
      </c>
      <c r="AA542" t="s">
        <v>7079</v>
      </c>
      <c r="AB542" t="s">
        <v>7080</v>
      </c>
      <c r="AC542" t="s">
        <v>74</v>
      </c>
      <c r="AD542" t="s">
        <v>74</v>
      </c>
      <c r="AE542" t="s">
        <v>74</v>
      </c>
      <c r="AF542" t="s">
        <v>74</v>
      </c>
      <c r="AG542" t="s">
        <v>74</v>
      </c>
      <c r="AH542" t="s">
        <v>74</v>
      </c>
      <c r="AI542" t="s">
        <v>74</v>
      </c>
      <c r="AJ542" t="s">
        <v>74</v>
      </c>
      <c r="AK542" t="s">
        <v>74</v>
      </c>
      <c r="AL542" t="s">
        <v>74</v>
      </c>
      <c r="AM542" t="s">
        <v>74</v>
      </c>
      <c r="AN542" t="s">
        <v>74</v>
      </c>
      <c r="AO542" t="s">
        <v>127</v>
      </c>
      <c r="AP542" t="s">
        <v>128</v>
      </c>
      <c r="AQ542" t="s">
        <v>74</v>
      </c>
      <c r="AR542" t="s">
        <v>74</v>
      </c>
      <c r="AS542" t="s">
        <v>74</v>
      </c>
      <c r="AT542" t="s">
        <v>315</v>
      </c>
      <c r="AU542">
        <v>2015</v>
      </c>
      <c r="AV542">
        <v>743</v>
      </c>
      <c r="AW542">
        <v>1</v>
      </c>
      <c r="AX542" t="s">
        <v>74</v>
      </c>
      <c r="AY542" t="s">
        <v>74</v>
      </c>
      <c r="AZ542" t="s">
        <v>74</v>
      </c>
      <c r="BA542" t="s">
        <v>74</v>
      </c>
      <c r="BB542">
        <v>27</v>
      </c>
      <c r="BC542">
        <v>35</v>
      </c>
      <c r="BD542" t="s">
        <v>74</v>
      </c>
      <c r="BE542" t="s">
        <v>4088</v>
      </c>
      <c r="BF542" t="str">
        <f>HYPERLINK("http://dx.doi.org/10.1007/s10750-014-2000-8","http://dx.doi.org/10.1007/s10750-014-2000-8")</f>
        <v>http://dx.doi.org/10.1007/s10750-014-2000-8</v>
      </c>
      <c r="BG542" t="s">
        <v>74</v>
      </c>
      <c r="BH542" t="s">
        <v>74</v>
      </c>
      <c r="BI542" t="s">
        <v>74</v>
      </c>
      <c r="BJ542" t="s">
        <v>74</v>
      </c>
      <c r="BK542" t="s">
        <v>74</v>
      </c>
      <c r="BL542" t="s">
        <v>74</v>
      </c>
      <c r="BM542" t="s">
        <v>74</v>
      </c>
      <c r="BN542" t="s">
        <v>74</v>
      </c>
      <c r="BO542" t="s">
        <v>74</v>
      </c>
      <c r="BP542" t="s">
        <v>74</v>
      </c>
      <c r="BQ542" t="s">
        <v>74</v>
      </c>
      <c r="BR542" t="s">
        <v>74</v>
      </c>
      <c r="BS542" t="s">
        <v>4089</v>
      </c>
      <c r="BT542" t="str">
        <f>HYPERLINK("https%3A%2F%2Fwww.webofscience.com%2Fwos%2Fwoscc%2Ffull-record%2FWOS:000345036000003","View Full Record in Web of Science")</f>
        <v>View Full Record in Web of Science</v>
      </c>
    </row>
    <row r="543" spans="1:72" x14ac:dyDescent="0.2">
      <c r="A543" t="s">
        <v>72</v>
      </c>
      <c r="B543" t="s">
        <v>4090</v>
      </c>
      <c r="C543" t="s">
        <v>74</v>
      </c>
      <c r="D543" t="s">
        <v>74</v>
      </c>
      <c r="E543" t="s">
        <v>74</v>
      </c>
      <c r="F543" t="s">
        <v>4091</v>
      </c>
      <c r="G543" t="s">
        <v>74</v>
      </c>
      <c r="H543" t="s">
        <v>74</v>
      </c>
      <c r="I543" t="s">
        <v>4092</v>
      </c>
      <c r="J543" t="s">
        <v>106</v>
      </c>
      <c r="K543" t="s">
        <v>74</v>
      </c>
      <c r="L543" t="s">
        <v>74</v>
      </c>
      <c r="M543" t="s">
        <v>74</v>
      </c>
      <c r="N543" t="s">
        <v>74</v>
      </c>
      <c r="O543" t="s">
        <v>74</v>
      </c>
      <c r="P543" t="s">
        <v>74</v>
      </c>
      <c r="Q543" t="s">
        <v>74</v>
      </c>
      <c r="R543" t="s">
        <v>74</v>
      </c>
      <c r="S543" t="s">
        <v>74</v>
      </c>
      <c r="T543" t="s">
        <v>74</v>
      </c>
      <c r="U543" t="s">
        <v>74</v>
      </c>
      <c r="V543" t="s">
        <v>74</v>
      </c>
      <c r="W543" t="s">
        <v>74</v>
      </c>
      <c r="X543" t="s">
        <v>74</v>
      </c>
      <c r="Y543" t="s">
        <v>74</v>
      </c>
      <c r="Z543" t="s">
        <v>74</v>
      </c>
      <c r="AA543" t="s">
        <v>74</v>
      </c>
      <c r="AB543" t="s">
        <v>4093</v>
      </c>
      <c r="AC543" t="s">
        <v>74</v>
      </c>
      <c r="AD543" t="s">
        <v>74</v>
      </c>
      <c r="AE543" t="s">
        <v>74</v>
      </c>
      <c r="AF543" t="s">
        <v>74</v>
      </c>
      <c r="AG543" t="s">
        <v>74</v>
      </c>
      <c r="AH543" t="s">
        <v>74</v>
      </c>
      <c r="AI543" t="s">
        <v>74</v>
      </c>
      <c r="AJ543" t="s">
        <v>74</v>
      </c>
      <c r="AK543" t="s">
        <v>74</v>
      </c>
      <c r="AL543" t="s">
        <v>74</v>
      </c>
      <c r="AM543" t="s">
        <v>74</v>
      </c>
      <c r="AN543" t="s">
        <v>74</v>
      </c>
      <c r="AO543" t="s">
        <v>107</v>
      </c>
      <c r="AP543" t="s">
        <v>108</v>
      </c>
      <c r="AQ543" t="s">
        <v>74</v>
      </c>
      <c r="AR543" t="s">
        <v>74</v>
      </c>
      <c r="AS543" t="s">
        <v>74</v>
      </c>
      <c r="AT543" t="s">
        <v>3834</v>
      </c>
      <c r="AU543">
        <v>2015</v>
      </c>
      <c r="AV543">
        <v>37</v>
      </c>
      <c r="AW543">
        <v>1</v>
      </c>
      <c r="AX543" t="s">
        <v>74</v>
      </c>
      <c r="AY543" t="s">
        <v>74</v>
      </c>
      <c r="AZ543" t="s">
        <v>74</v>
      </c>
      <c r="BA543" t="s">
        <v>74</v>
      </c>
      <c r="BB543">
        <v>248</v>
      </c>
      <c r="BC543">
        <v>257</v>
      </c>
      <c r="BD543" t="s">
        <v>74</v>
      </c>
      <c r="BE543" t="s">
        <v>4094</v>
      </c>
      <c r="BF543" t="str">
        <f>HYPERLINK("http://dx.doi.org/10.1093/plankt/fbu096","http://dx.doi.org/10.1093/plankt/fbu096")</f>
        <v>http://dx.doi.org/10.1093/plankt/fbu096</v>
      </c>
      <c r="BG543" t="s">
        <v>74</v>
      </c>
      <c r="BH543" t="s">
        <v>74</v>
      </c>
      <c r="BI543" t="s">
        <v>74</v>
      </c>
      <c r="BJ543" t="s">
        <v>74</v>
      </c>
      <c r="BK543" t="s">
        <v>74</v>
      </c>
      <c r="BL543" t="s">
        <v>74</v>
      </c>
      <c r="BM543" t="s">
        <v>74</v>
      </c>
      <c r="BN543" t="s">
        <v>74</v>
      </c>
      <c r="BO543" t="s">
        <v>74</v>
      </c>
      <c r="BP543" t="s">
        <v>74</v>
      </c>
      <c r="BQ543" t="s">
        <v>74</v>
      </c>
      <c r="BR543" t="s">
        <v>74</v>
      </c>
      <c r="BS543" t="s">
        <v>4095</v>
      </c>
      <c r="BT543" t="str">
        <f>HYPERLINK("https%3A%2F%2Fwww.webofscience.com%2Fwos%2Fwoscc%2Ffull-record%2FWOS:000350124100023","View Full Record in Web of Science")</f>
        <v>View Full Record in Web of Science</v>
      </c>
    </row>
    <row r="544" spans="1:72" x14ac:dyDescent="0.2">
      <c r="A544" t="s">
        <v>72</v>
      </c>
      <c r="B544" t="s">
        <v>4096</v>
      </c>
      <c r="C544" t="s">
        <v>74</v>
      </c>
      <c r="D544" t="s">
        <v>74</v>
      </c>
      <c r="E544" t="s">
        <v>74</v>
      </c>
      <c r="F544" t="s">
        <v>4097</v>
      </c>
      <c r="G544" t="s">
        <v>74</v>
      </c>
      <c r="H544" t="s">
        <v>74</v>
      </c>
      <c r="I544" t="s">
        <v>4098</v>
      </c>
      <c r="J544" t="s">
        <v>1323</v>
      </c>
      <c r="K544" t="s">
        <v>74</v>
      </c>
      <c r="L544" t="s">
        <v>74</v>
      </c>
      <c r="M544" t="s">
        <v>74</v>
      </c>
      <c r="N544" t="s">
        <v>74</v>
      </c>
      <c r="O544" t="s">
        <v>74</v>
      </c>
      <c r="P544" t="s">
        <v>74</v>
      </c>
      <c r="Q544" t="s">
        <v>74</v>
      </c>
      <c r="R544" t="s">
        <v>74</v>
      </c>
      <c r="S544" t="s">
        <v>74</v>
      </c>
      <c r="T544" t="s">
        <v>74</v>
      </c>
      <c r="U544" t="s">
        <v>74</v>
      </c>
      <c r="V544" t="s">
        <v>74</v>
      </c>
      <c r="W544" t="s">
        <v>74</v>
      </c>
      <c r="X544" t="s">
        <v>74</v>
      </c>
      <c r="Y544" t="s">
        <v>74</v>
      </c>
      <c r="Z544" t="s">
        <v>74</v>
      </c>
      <c r="AA544" t="s">
        <v>4099</v>
      </c>
      <c r="AB544" t="s">
        <v>4100</v>
      </c>
      <c r="AC544" t="s">
        <v>74</v>
      </c>
      <c r="AD544" t="s">
        <v>74</v>
      </c>
      <c r="AE544" t="s">
        <v>74</v>
      </c>
      <c r="AF544" t="s">
        <v>74</v>
      </c>
      <c r="AG544" t="s">
        <v>74</v>
      </c>
      <c r="AH544" t="s">
        <v>74</v>
      </c>
      <c r="AI544" t="s">
        <v>74</v>
      </c>
      <c r="AJ544" t="s">
        <v>74</v>
      </c>
      <c r="AK544" t="s">
        <v>74</v>
      </c>
      <c r="AL544" t="s">
        <v>74</v>
      </c>
      <c r="AM544" t="s">
        <v>74</v>
      </c>
      <c r="AN544" t="s">
        <v>74</v>
      </c>
      <c r="AO544" t="s">
        <v>1326</v>
      </c>
      <c r="AP544" t="s">
        <v>1327</v>
      </c>
      <c r="AQ544" t="s">
        <v>74</v>
      </c>
      <c r="AR544" t="s">
        <v>74</v>
      </c>
      <c r="AS544" t="s">
        <v>74</v>
      </c>
      <c r="AT544" t="s">
        <v>315</v>
      </c>
      <c r="AU544">
        <v>2015</v>
      </c>
      <c r="AV544">
        <v>77</v>
      </c>
      <c r="AW544">
        <v>1</v>
      </c>
      <c r="AX544" t="s">
        <v>74</v>
      </c>
      <c r="AY544" t="s">
        <v>74</v>
      </c>
      <c r="AZ544" t="s">
        <v>74</v>
      </c>
      <c r="BA544" t="s">
        <v>74</v>
      </c>
      <c r="BB544">
        <v>115</v>
      </c>
      <c r="BC544">
        <v>128</v>
      </c>
      <c r="BD544" t="s">
        <v>74</v>
      </c>
      <c r="BE544" t="s">
        <v>4101</v>
      </c>
      <c r="BF544" t="str">
        <f>HYPERLINK("http://dx.doi.org/10.1007/s00027-014-0376-1","http://dx.doi.org/10.1007/s00027-014-0376-1")</f>
        <v>http://dx.doi.org/10.1007/s00027-014-0376-1</v>
      </c>
      <c r="BG544" t="s">
        <v>74</v>
      </c>
      <c r="BH544" t="s">
        <v>74</v>
      </c>
      <c r="BI544" t="s">
        <v>74</v>
      </c>
      <c r="BJ544" t="s">
        <v>74</v>
      </c>
      <c r="BK544" t="s">
        <v>74</v>
      </c>
      <c r="BL544" t="s">
        <v>74</v>
      </c>
      <c r="BM544" t="s">
        <v>74</v>
      </c>
      <c r="BN544" t="s">
        <v>74</v>
      </c>
      <c r="BO544" t="s">
        <v>74</v>
      </c>
      <c r="BP544" t="s">
        <v>74</v>
      </c>
      <c r="BQ544" t="s">
        <v>74</v>
      </c>
      <c r="BR544" t="s">
        <v>74</v>
      </c>
      <c r="BS544" t="s">
        <v>4102</v>
      </c>
      <c r="BT544" t="str">
        <f>HYPERLINK("https%3A%2F%2Fwww.webofscience.com%2Fwos%2Fwoscc%2Ffull-record%2FWOS:000347149700010","View Full Record in Web of Science")</f>
        <v>View Full Record in Web of Science</v>
      </c>
    </row>
    <row r="545" spans="1:72" x14ac:dyDescent="0.2">
      <c r="A545" t="s">
        <v>72</v>
      </c>
      <c r="B545" t="s">
        <v>4103</v>
      </c>
      <c r="C545" t="s">
        <v>74</v>
      </c>
      <c r="D545" t="s">
        <v>74</v>
      </c>
      <c r="E545" t="s">
        <v>74</v>
      </c>
      <c r="F545" t="s">
        <v>4104</v>
      </c>
      <c r="G545" t="s">
        <v>74</v>
      </c>
      <c r="H545" t="s">
        <v>74</v>
      </c>
      <c r="I545" t="s">
        <v>4105</v>
      </c>
      <c r="J545" t="s">
        <v>1323</v>
      </c>
      <c r="K545" t="s">
        <v>74</v>
      </c>
      <c r="L545" t="s">
        <v>74</v>
      </c>
      <c r="M545" t="s">
        <v>74</v>
      </c>
      <c r="N545" t="s">
        <v>74</v>
      </c>
      <c r="O545" t="s">
        <v>74</v>
      </c>
      <c r="P545" t="s">
        <v>74</v>
      </c>
      <c r="Q545" t="s">
        <v>74</v>
      </c>
      <c r="R545" t="s">
        <v>74</v>
      </c>
      <c r="S545" t="s">
        <v>74</v>
      </c>
      <c r="T545" t="s">
        <v>74</v>
      </c>
      <c r="U545" t="s">
        <v>74</v>
      </c>
      <c r="V545" t="s">
        <v>74</v>
      </c>
      <c r="W545" t="s">
        <v>74</v>
      </c>
      <c r="X545" t="s">
        <v>74</v>
      </c>
      <c r="Y545" t="s">
        <v>74</v>
      </c>
      <c r="Z545" t="s">
        <v>74</v>
      </c>
      <c r="AA545" t="s">
        <v>7081</v>
      </c>
      <c r="AB545" t="s">
        <v>7082</v>
      </c>
      <c r="AC545" t="s">
        <v>74</v>
      </c>
      <c r="AD545" t="s">
        <v>74</v>
      </c>
      <c r="AE545" t="s">
        <v>74</v>
      </c>
      <c r="AF545" t="s">
        <v>74</v>
      </c>
      <c r="AG545" t="s">
        <v>74</v>
      </c>
      <c r="AH545" t="s">
        <v>74</v>
      </c>
      <c r="AI545" t="s">
        <v>74</v>
      </c>
      <c r="AJ545" t="s">
        <v>74</v>
      </c>
      <c r="AK545" t="s">
        <v>74</v>
      </c>
      <c r="AL545" t="s">
        <v>74</v>
      </c>
      <c r="AM545" t="s">
        <v>74</v>
      </c>
      <c r="AN545" t="s">
        <v>74</v>
      </c>
      <c r="AO545" t="s">
        <v>1326</v>
      </c>
      <c r="AP545" t="s">
        <v>1327</v>
      </c>
      <c r="AQ545" t="s">
        <v>74</v>
      </c>
      <c r="AR545" t="s">
        <v>74</v>
      </c>
      <c r="AS545" t="s">
        <v>74</v>
      </c>
      <c r="AT545" t="s">
        <v>315</v>
      </c>
      <c r="AU545">
        <v>2015</v>
      </c>
      <c r="AV545">
        <v>77</v>
      </c>
      <c r="AW545">
        <v>1</v>
      </c>
      <c r="AX545" t="s">
        <v>74</v>
      </c>
      <c r="AY545" t="s">
        <v>74</v>
      </c>
      <c r="AZ545" t="s">
        <v>74</v>
      </c>
      <c r="BA545" t="s">
        <v>74</v>
      </c>
      <c r="BB545">
        <v>45</v>
      </c>
      <c r="BC545">
        <v>57</v>
      </c>
      <c r="BD545" t="s">
        <v>74</v>
      </c>
      <c r="BE545" t="s">
        <v>4106</v>
      </c>
      <c r="BF545" t="str">
        <f>HYPERLINK("http://dx.doi.org/10.1007/s00027-014-0368-1","http://dx.doi.org/10.1007/s00027-014-0368-1")</f>
        <v>http://dx.doi.org/10.1007/s00027-014-0368-1</v>
      </c>
      <c r="BG545" t="s">
        <v>74</v>
      </c>
      <c r="BH545" t="s">
        <v>74</v>
      </c>
      <c r="BI545" t="s">
        <v>74</v>
      </c>
      <c r="BJ545" t="s">
        <v>74</v>
      </c>
      <c r="BK545" t="s">
        <v>74</v>
      </c>
      <c r="BL545" t="s">
        <v>74</v>
      </c>
      <c r="BM545" t="s">
        <v>74</v>
      </c>
      <c r="BN545" t="s">
        <v>74</v>
      </c>
      <c r="BO545" t="s">
        <v>74</v>
      </c>
      <c r="BP545" t="s">
        <v>74</v>
      </c>
      <c r="BQ545" t="s">
        <v>74</v>
      </c>
      <c r="BR545" t="s">
        <v>74</v>
      </c>
      <c r="BS545" t="s">
        <v>4107</v>
      </c>
      <c r="BT545" t="str">
        <f>HYPERLINK("https%3A%2F%2Fwww.webofscience.com%2Fwos%2Fwoscc%2Ffull-record%2FWOS:000347149700005","View Full Record in Web of Science")</f>
        <v>View Full Record in Web of Science</v>
      </c>
    </row>
    <row r="546" spans="1:72" x14ac:dyDescent="0.2">
      <c r="A546" t="s">
        <v>72</v>
      </c>
      <c r="B546" t="s">
        <v>4108</v>
      </c>
      <c r="C546" t="s">
        <v>74</v>
      </c>
      <c r="D546" t="s">
        <v>74</v>
      </c>
      <c r="E546" t="s">
        <v>74</v>
      </c>
      <c r="F546" t="s">
        <v>4109</v>
      </c>
      <c r="G546" t="s">
        <v>74</v>
      </c>
      <c r="H546" t="s">
        <v>74</v>
      </c>
      <c r="I546" t="s">
        <v>4110</v>
      </c>
      <c r="J546" t="s">
        <v>2769</v>
      </c>
      <c r="K546" t="s">
        <v>74</v>
      </c>
      <c r="L546" t="s">
        <v>74</v>
      </c>
      <c r="M546" t="s">
        <v>74</v>
      </c>
      <c r="N546" t="s">
        <v>74</v>
      </c>
      <c r="O546" t="s">
        <v>74</v>
      </c>
      <c r="P546" t="s">
        <v>74</v>
      </c>
      <c r="Q546" t="s">
        <v>74</v>
      </c>
      <c r="R546" t="s">
        <v>74</v>
      </c>
      <c r="S546" t="s">
        <v>74</v>
      </c>
      <c r="T546" t="s">
        <v>74</v>
      </c>
      <c r="U546" t="s">
        <v>74</v>
      </c>
      <c r="V546" t="s">
        <v>74</v>
      </c>
      <c r="W546" t="s">
        <v>74</v>
      </c>
      <c r="X546" t="s">
        <v>74</v>
      </c>
      <c r="Y546" t="s">
        <v>74</v>
      </c>
      <c r="Z546" t="s">
        <v>74</v>
      </c>
      <c r="AA546" t="s">
        <v>7083</v>
      </c>
      <c r="AB546" t="s">
        <v>7084</v>
      </c>
      <c r="AC546" t="s">
        <v>74</v>
      </c>
      <c r="AD546" t="s">
        <v>74</v>
      </c>
      <c r="AE546" t="s">
        <v>74</v>
      </c>
      <c r="AF546" t="s">
        <v>74</v>
      </c>
      <c r="AG546" t="s">
        <v>74</v>
      </c>
      <c r="AH546" t="s">
        <v>74</v>
      </c>
      <c r="AI546" t="s">
        <v>74</v>
      </c>
      <c r="AJ546" t="s">
        <v>74</v>
      </c>
      <c r="AK546" t="s">
        <v>74</v>
      </c>
      <c r="AL546" t="s">
        <v>74</v>
      </c>
      <c r="AM546" t="s">
        <v>74</v>
      </c>
      <c r="AN546" t="s">
        <v>74</v>
      </c>
      <c r="AO546" t="s">
        <v>2772</v>
      </c>
      <c r="AP546" t="s">
        <v>2773</v>
      </c>
      <c r="AQ546" t="s">
        <v>74</v>
      </c>
      <c r="AR546" t="s">
        <v>74</v>
      </c>
      <c r="AS546" t="s">
        <v>74</v>
      </c>
      <c r="AT546" t="s">
        <v>74</v>
      </c>
      <c r="AU546">
        <v>2015</v>
      </c>
      <c r="AV546">
        <v>75</v>
      </c>
      <c r="AW546">
        <v>1</v>
      </c>
      <c r="AX546" t="s">
        <v>74</v>
      </c>
      <c r="AY546" t="s">
        <v>74</v>
      </c>
      <c r="AZ546" t="s">
        <v>74</v>
      </c>
      <c r="BA546" t="s">
        <v>74</v>
      </c>
      <c r="BB546">
        <v>69</v>
      </c>
      <c r="BC546">
        <v>79</v>
      </c>
      <c r="BD546" t="s">
        <v>74</v>
      </c>
      <c r="BE546" t="s">
        <v>4111</v>
      </c>
      <c r="BF546" t="str">
        <f>HYPERLINK("http://dx.doi.org/10.3354/ame01749","http://dx.doi.org/10.3354/ame01749")</f>
        <v>http://dx.doi.org/10.3354/ame01749</v>
      </c>
      <c r="BG546" t="s">
        <v>74</v>
      </c>
      <c r="BH546" t="s">
        <v>74</v>
      </c>
      <c r="BI546" t="s">
        <v>74</v>
      </c>
      <c r="BJ546" t="s">
        <v>74</v>
      </c>
      <c r="BK546" t="s">
        <v>74</v>
      </c>
      <c r="BL546" t="s">
        <v>74</v>
      </c>
      <c r="BM546" t="s">
        <v>74</v>
      </c>
      <c r="BN546" t="s">
        <v>74</v>
      </c>
      <c r="BO546" t="s">
        <v>74</v>
      </c>
      <c r="BP546" t="s">
        <v>74</v>
      </c>
      <c r="BQ546" t="s">
        <v>74</v>
      </c>
      <c r="BR546" t="s">
        <v>74</v>
      </c>
      <c r="BS546" t="s">
        <v>4112</v>
      </c>
      <c r="BT546" t="str">
        <f>HYPERLINK("https%3A%2F%2Fwww.webofscience.com%2Fwos%2Fwoscc%2Ffull-record%2FWOS:000354392600006","View Full Record in Web of Science")</f>
        <v>View Full Record in Web of Science</v>
      </c>
    </row>
    <row r="547" spans="1:72" x14ac:dyDescent="0.2">
      <c r="A547" t="s">
        <v>2716</v>
      </c>
      <c r="B547" t="s">
        <v>4113</v>
      </c>
      <c r="C547" t="s">
        <v>74</v>
      </c>
      <c r="D547" t="s">
        <v>4114</v>
      </c>
      <c r="E547" t="s">
        <v>74</v>
      </c>
      <c r="F547" t="s">
        <v>4115</v>
      </c>
      <c r="G547" t="s">
        <v>74</v>
      </c>
      <c r="H547" t="s">
        <v>74</v>
      </c>
      <c r="I547" t="s">
        <v>4116</v>
      </c>
      <c r="J547" t="s">
        <v>4117</v>
      </c>
      <c r="K547" t="s">
        <v>74</v>
      </c>
      <c r="L547" t="s">
        <v>74</v>
      </c>
      <c r="M547" t="s">
        <v>74</v>
      </c>
      <c r="N547" t="s">
        <v>74</v>
      </c>
      <c r="O547" t="s">
        <v>74</v>
      </c>
      <c r="P547" t="s">
        <v>74</v>
      </c>
      <c r="Q547" t="s">
        <v>74</v>
      </c>
      <c r="R547" t="s">
        <v>74</v>
      </c>
      <c r="S547" t="s">
        <v>74</v>
      </c>
      <c r="T547" t="s">
        <v>74</v>
      </c>
      <c r="U547" t="s">
        <v>74</v>
      </c>
      <c r="V547" t="s">
        <v>74</v>
      </c>
      <c r="W547" t="s">
        <v>74</v>
      </c>
      <c r="X547" t="s">
        <v>74</v>
      </c>
      <c r="Y547" t="s">
        <v>74</v>
      </c>
      <c r="Z547" t="s">
        <v>74</v>
      </c>
      <c r="AA547" t="s">
        <v>74</v>
      </c>
      <c r="AB547" t="s">
        <v>74</v>
      </c>
      <c r="AC547" t="s">
        <v>74</v>
      </c>
      <c r="AD547" t="s">
        <v>74</v>
      </c>
      <c r="AE547" t="s">
        <v>74</v>
      </c>
      <c r="AF547" t="s">
        <v>74</v>
      </c>
      <c r="AG547" t="s">
        <v>74</v>
      </c>
      <c r="AH547" t="s">
        <v>74</v>
      </c>
      <c r="AI547" t="s">
        <v>74</v>
      </c>
      <c r="AJ547" t="s">
        <v>74</v>
      </c>
      <c r="AK547" t="s">
        <v>74</v>
      </c>
      <c r="AL547" t="s">
        <v>74</v>
      </c>
      <c r="AM547" t="s">
        <v>74</v>
      </c>
      <c r="AN547" t="s">
        <v>74</v>
      </c>
      <c r="AO547" t="s">
        <v>74</v>
      </c>
      <c r="AP547" t="s">
        <v>74</v>
      </c>
      <c r="AQ547" t="s">
        <v>4118</v>
      </c>
      <c r="AR547" t="s">
        <v>74</v>
      </c>
      <c r="AS547" t="s">
        <v>74</v>
      </c>
      <c r="AT547" t="s">
        <v>74</v>
      </c>
      <c r="AU547">
        <v>2015</v>
      </c>
      <c r="AV547" t="s">
        <v>74</v>
      </c>
      <c r="AW547" t="s">
        <v>74</v>
      </c>
      <c r="AX547" t="s">
        <v>74</v>
      </c>
      <c r="AY547" t="s">
        <v>74</v>
      </c>
      <c r="AZ547" t="s">
        <v>74</v>
      </c>
      <c r="BA547" t="s">
        <v>74</v>
      </c>
      <c r="BB547">
        <v>65</v>
      </c>
      <c r="BC547">
        <v>82</v>
      </c>
      <c r="BD547" t="s">
        <v>74</v>
      </c>
      <c r="BE547" t="s">
        <v>4119</v>
      </c>
      <c r="BF547" t="str">
        <f>HYPERLINK("http://dx.doi.org/10.1016/B978-0-12-385026-3.00004-8","http://dx.doi.org/10.1016/B978-0-12-385026-3.00004-8")</f>
        <v>http://dx.doi.org/10.1016/B978-0-12-385026-3.00004-8</v>
      </c>
      <c r="BG547" t="s">
        <v>74</v>
      </c>
      <c r="BH547" t="s">
        <v>74</v>
      </c>
      <c r="BI547" t="s">
        <v>74</v>
      </c>
      <c r="BJ547" t="s">
        <v>74</v>
      </c>
      <c r="BK547" t="s">
        <v>74</v>
      </c>
      <c r="BL547" t="s">
        <v>74</v>
      </c>
      <c r="BM547" t="s">
        <v>74</v>
      </c>
      <c r="BN547" t="s">
        <v>74</v>
      </c>
      <c r="BO547" t="s">
        <v>74</v>
      </c>
      <c r="BP547" t="s">
        <v>74</v>
      </c>
      <c r="BQ547" t="s">
        <v>74</v>
      </c>
      <c r="BR547" t="s">
        <v>74</v>
      </c>
      <c r="BS547" t="s">
        <v>4120</v>
      </c>
      <c r="BT547" t="str">
        <f>HYPERLINK("https%3A%2F%2Fwww.webofscience.com%2Fwos%2Fwoscc%2Ffull-record%2FWOS:000348391900006","View Full Record in Web of Science")</f>
        <v>View Full Record in Web of Science</v>
      </c>
    </row>
    <row r="548" spans="1:72" x14ac:dyDescent="0.2">
      <c r="A548" t="s">
        <v>72</v>
      </c>
      <c r="B548" t="s">
        <v>4121</v>
      </c>
      <c r="C548" t="s">
        <v>74</v>
      </c>
      <c r="D548" t="s">
        <v>74</v>
      </c>
      <c r="E548" t="s">
        <v>74</v>
      </c>
      <c r="F548" t="s">
        <v>4122</v>
      </c>
      <c r="G548" t="s">
        <v>74</v>
      </c>
      <c r="H548" t="s">
        <v>74</v>
      </c>
      <c r="I548" t="s">
        <v>4123</v>
      </c>
      <c r="J548" t="s">
        <v>124</v>
      </c>
      <c r="K548" t="s">
        <v>74</v>
      </c>
      <c r="L548" t="s">
        <v>74</v>
      </c>
      <c r="M548" t="s">
        <v>74</v>
      </c>
      <c r="N548" t="s">
        <v>74</v>
      </c>
      <c r="O548" t="s">
        <v>4124</v>
      </c>
      <c r="P548" t="s">
        <v>4125</v>
      </c>
      <c r="Q548" t="s">
        <v>4126</v>
      </c>
      <c r="R548" t="s">
        <v>74</v>
      </c>
      <c r="S548" t="s">
        <v>74</v>
      </c>
      <c r="T548" t="s">
        <v>74</v>
      </c>
      <c r="U548" t="s">
        <v>74</v>
      </c>
      <c r="V548" t="s">
        <v>74</v>
      </c>
      <c r="W548" t="s">
        <v>74</v>
      </c>
      <c r="X548" t="s">
        <v>74</v>
      </c>
      <c r="Y548" t="s">
        <v>74</v>
      </c>
      <c r="Z548" t="s">
        <v>74</v>
      </c>
      <c r="AA548" t="s">
        <v>74</v>
      </c>
      <c r="AB548" t="s">
        <v>4127</v>
      </c>
      <c r="AC548" t="s">
        <v>74</v>
      </c>
      <c r="AD548" t="s">
        <v>74</v>
      </c>
      <c r="AE548" t="s">
        <v>74</v>
      </c>
      <c r="AF548" t="s">
        <v>74</v>
      </c>
      <c r="AG548" t="s">
        <v>74</v>
      </c>
      <c r="AH548" t="s">
        <v>74</v>
      </c>
      <c r="AI548" t="s">
        <v>74</v>
      </c>
      <c r="AJ548" t="s">
        <v>74</v>
      </c>
      <c r="AK548" t="s">
        <v>74</v>
      </c>
      <c r="AL548" t="s">
        <v>74</v>
      </c>
      <c r="AM548" t="s">
        <v>74</v>
      </c>
      <c r="AN548" t="s">
        <v>74</v>
      </c>
      <c r="AO548" t="s">
        <v>127</v>
      </c>
      <c r="AP548" t="s">
        <v>128</v>
      </c>
      <c r="AQ548" t="s">
        <v>74</v>
      </c>
      <c r="AR548" t="s">
        <v>74</v>
      </c>
      <c r="AS548" t="s">
        <v>74</v>
      </c>
      <c r="AT548" t="s">
        <v>82</v>
      </c>
      <c r="AU548">
        <v>2014</v>
      </c>
      <c r="AV548">
        <v>741</v>
      </c>
      <c r="AW548">
        <v>1</v>
      </c>
      <c r="AX548" t="s">
        <v>74</v>
      </c>
      <c r="AY548" t="s">
        <v>74</v>
      </c>
      <c r="AZ548" t="s">
        <v>74</v>
      </c>
      <c r="BA548" t="s">
        <v>74</v>
      </c>
      <c r="BB548">
        <v>33</v>
      </c>
      <c r="BC548">
        <v>49</v>
      </c>
      <c r="BD548" t="s">
        <v>74</v>
      </c>
      <c r="BE548" t="s">
        <v>4128</v>
      </c>
      <c r="BF548" t="str">
        <f>HYPERLINK("http://dx.doi.org/10.1007/s10750-013-1759-3","http://dx.doi.org/10.1007/s10750-013-1759-3")</f>
        <v>http://dx.doi.org/10.1007/s10750-013-1759-3</v>
      </c>
      <c r="BG548" t="s">
        <v>74</v>
      </c>
      <c r="BH548" t="s">
        <v>74</v>
      </c>
      <c r="BI548" t="s">
        <v>74</v>
      </c>
      <c r="BJ548" t="s">
        <v>74</v>
      </c>
      <c r="BK548" t="s">
        <v>74</v>
      </c>
      <c r="BL548" t="s">
        <v>74</v>
      </c>
      <c r="BM548" t="s">
        <v>74</v>
      </c>
      <c r="BN548" t="s">
        <v>74</v>
      </c>
      <c r="BO548" t="s">
        <v>74</v>
      </c>
      <c r="BP548" t="s">
        <v>74</v>
      </c>
      <c r="BQ548" t="s">
        <v>74</v>
      </c>
      <c r="BR548" t="s">
        <v>74</v>
      </c>
      <c r="BS548" t="s">
        <v>4129</v>
      </c>
      <c r="BT548" t="str">
        <f>HYPERLINK("https%3A%2F%2Fwww.webofscience.com%2Fwos%2Fwoscc%2Ffull-record%2FWOS:000343998000005","View Full Record in Web of Science")</f>
        <v>View Full Record in Web of Science</v>
      </c>
    </row>
    <row r="549" spans="1:72" x14ac:dyDescent="0.2">
      <c r="A549" t="s">
        <v>72</v>
      </c>
      <c r="B549" t="s">
        <v>4130</v>
      </c>
      <c r="C549" t="s">
        <v>74</v>
      </c>
      <c r="D549" t="s">
        <v>74</v>
      </c>
      <c r="E549" t="s">
        <v>74</v>
      </c>
      <c r="F549" t="s">
        <v>4131</v>
      </c>
      <c r="G549" t="s">
        <v>74</v>
      </c>
      <c r="H549" t="s">
        <v>74</v>
      </c>
      <c r="I549" t="s">
        <v>4132</v>
      </c>
      <c r="J549" t="s">
        <v>4133</v>
      </c>
      <c r="K549" t="s">
        <v>74</v>
      </c>
      <c r="L549" t="s">
        <v>74</v>
      </c>
      <c r="M549" t="s">
        <v>74</v>
      </c>
      <c r="N549" t="s">
        <v>74</v>
      </c>
      <c r="O549" t="s">
        <v>74</v>
      </c>
      <c r="P549" t="s">
        <v>74</v>
      </c>
      <c r="Q549" t="s">
        <v>74</v>
      </c>
      <c r="R549" t="s">
        <v>74</v>
      </c>
      <c r="S549" t="s">
        <v>74</v>
      </c>
      <c r="T549" t="s">
        <v>74</v>
      </c>
      <c r="U549" t="s">
        <v>74</v>
      </c>
      <c r="V549" t="s">
        <v>74</v>
      </c>
      <c r="W549" t="s">
        <v>74</v>
      </c>
      <c r="X549" t="s">
        <v>74</v>
      </c>
      <c r="Y549" t="s">
        <v>74</v>
      </c>
      <c r="Z549" t="s">
        <v>74</v>
      </c>
      <c r="AA549" t="s">
        <v>7085</v>
      </c>
      <c r="AB549" t="s">
        <v>4134</v>
      </c>
      <c r="AC549" t="s">
        <v>74</v>
      </c>
      <c r="AD549" t="s">
        <v>74</v>
      </c>
      <c r="AE549" t="s">
        <v>74</v>
      </c>
      <c r="AF549" t="s">
        <v>74</v>
      </c>
      <c r="AG549" t="s">
        <v>74</v>
      </c>
      <c r="AH549" t="s">
        <v>74</v>
      </c>
      <c r="AI549" t="s">
        <v>74</v>
      </c>
      <c r="AJ549" t="s">
        <v>74</v>
      </c>
      <c r="AK549" t="s">
        <v>74</v>
      </c>
      <c r="AL549" t="s">
        <v>74</v>
      </c>
      <c r="AM549" t="s">
        <v>74</v>
      </c>
      <c r="AN549" t="s">
        <v>74</v>
      </c>
      <c r="AO549" t="s">
        <v>4135</v>
      </c>
      <c r="AP549" t="s">
        <v>4136</v>
      </c>
      <c r="AQ549" t="s">
        <v>74</v>
      </c>
      <c r="AR549" t="s">
        <v>74</v>
      </c>
      <c r="AS549" t="s">
        <v>74</v>
      </c>
      <c r="AT549" t="s">
        <v>335</v>
      </c>
      <c r="AU549">
        <v>2014</v>
      </c>
      <c r="AV549">
        <v>18</v>
      </c>
      <c r="AW549">
        <v>6</v>
      </c>
      <c r="AX549" t="s">
        <v>74</v>
      </c>
      <c r="AY549" t="s">
        <v>74</v>
      </c>
      <c r="AZ549" t="s">
        <v>74</v>
      </c>
      <c r="BA549" t="s">
        <v>74</v>
      </c>
      <c r="BB549">
        <v>1075</v>
      </c>
      <c r="BC549">
        <v>1084</v>
      </c>
      <c r="BD549" t="s">
        <v>74</v>
      </c>
      <c r="BE549" t="s">
        <v>4137</v>
      </c>
      <c r="BF549" t="str">
        <f>HYPERLINK("http://dx.doi.org/10.1007/s00792-014-0685-2","http://dx.doi.org/10.1007/s00792-014-0685-2")</f>
        <v>http://dx.doi.org/10.1007/s00792-014-0685-2</v>
      </c>
      <c r="BG549" t="s">
        <v>74</v>
      </c>
      <c r="BH549" t="s">
        <v>74</v>
      </c>
      <c r="BI549" t="s">
        <v>74</v>
      </c>
      <c r="BJ549" t="s">
        <v>74</v>
      </c>
      <c r="BK549" t="s">
        <v>74</v>
      </c>
      <c r="BL549" t="s">
        <v>74</v>
      </c>
      <c r="BM549" t="s">
        <v>74</v>
      </c>
      <c r="BN549">
        <v>25116056</v>
      </c>
      <c r="BO549" t="s">
        <v>74</v>
      </c>
      <c r="BP549" t="s">
        <v>74</v>
      </c>
      <c r="BQ549" t="s">
        <v>74</v>
      </c>
      <c r="BR549" t="s">
        <v>74</v>
      </c>
      <c r="BS549" t="s">
        <v>4138</v>
      </c>
      <c r="BT549" t="str">
        <f>HYPERLINK("https%3A%2F%2Fwww.webofscience.com%2Fwos%2Fwoscc%2Ffull-record%2FWOS:000343812300014","View Full Record in Web of Science")</f>
        <v>View Full Record in Web of Science</v>
      </c>
    </row>
    <row r="550" spans="1:72" x14ac:dyDescent="0.2">
      <c r="A550" t="s">
        <v>72</v>
      </c>
      <c r="B550" t="s">
        <v>4139</v>
      </c>
      <c r="C550" t="s">
        <v>74</v>
      </c>
      <c r="D550" t="s">
        <v>74</v>
      </c>
      <c r="E550" t="s">
        <v>74</v>
      </c>
      <c r="F550" t="s">
        <v>4140</v>
      </c>
      <c r="G550" t="s">
        <v>74</v>
      </c>
      <c r="H550" t="s">
        <v>74</v>
      </c>
      <c r="I550" t="s">
        <v>4141</v>
      </c>
      <c r="J550" t="s">
        <v>2199</v>
      </c>
      <c r="K550" t="s">
        <v>74</v>
      </c>
      <c r="L550" t="s">
        <v>74</v>
      </c>
      <c r="M550" t="s">
        <v>74</v>
      </c>
      <c r="N550" t="s">
        <v>74</v>
      </c>
      <c r="O550" t="s">
        <v>74</v>
      </c>
      <c r="P550" t="s">
        <v>74</v>
      </c>
      <c r="Q550" t="s">
        <v>74</v>
      </c>
      <c r="R550" t="s">
        <v>74</v>
      </c>
      <c r="S550" t="s">
        <v>74</v>
      </c>
      <c r="T550" t="s">
        <v>74</v>
      </c>
      <c r="U550" t="s">
        <v>74</v>
      </c>
      <c r="V550" t="s">
        <v>74</v>
      </c>
      <c r="W550" t="s">
        <v>74</v>
      </c>
      <c r="X550" t="s">
        <v>74</v>
      </c>
      <c r="Y550" t="s">
        <v>74</v>
      </c>
      <c r="Z550" t="s">
        <v>74</v>
      </c>
      <c r="AA550" t="s">
        <v>4142</v>
      </c>
      <c r="AB550" t="s">
        <v>7086</v>
      </c>
      <c r="AC550" t="s">
        <v>74</v>
      </c>
      <c r="AD550" t="s">
        <v>74</v>
      </c>
      <c r="AE550" t="s">
        <v>74</v>
      </c>
      <c r="AF550" t="s">
        <v>74</v>
      </c>
      <c r="AG550" t="s">
        <v>74</v>
      </c>
      <c r="AH550" t="s">
        <v>74</v>
      </c>
      <c r="AI550" t="s">
        <v>74</v>
      </c>
      <c r="AJ550" t="s">
        <v>74</v>
      </c>
      <c r="AK550" t="s">
        <v>74</v>
      </c>
      <c r="AL550" t="s">
        <v>74</v>
      </c>
      <c r="AM550" t="s">
        <v>74</v>
      </c>
      <c r="AN550" t="s">
        <v>74</v>
      </c>
      <c r="AO550" t="s">
        <v>2200</v>
      </c>
      <c r="AP550" t="s">
        <v>2201</v>
      </c>
      <c r="AQ550" t="s">
        <v>74</v>
      </c>
      <c r="AR550" t="s">
        <v>74</v>
      </c>
      <c r="AS550" t="s">
        <v>74</v>
      </c>
      <c r="AT550" t="s">
        <v>335</v>
      </c>
      <c r="AU550">
        <v>2014</v>
      </c>
      <c r="AV550">
        <v>23</v>
      </c>
      <c r="AW550">
        <v>9</v>
      </c>
      <c r="AX550" t="s">
        <v>74</v>
      </c>
      <c r="AY550" t="s">
        <v>74</v>
      </c>
      <c r="AZ550" t="s">
        <v>74</v>
      </c>
      <c r="BA550" t="s">
        <v>74</v>
      </c>
      <c r="BB550">
        <v>1764</v>
      </c>
      <c r="BC550">
        <v>1773</v>
      </c>
      <c r="BD550" t="s">
        <v>74</v>
      </c>
      <c r="BE550" t="s">
        <v>4143</v>
      </c>
      <c r="BF550" t="str">
        <f>HYPERLINK("http://dx.doi.org/10.1007/s10646-014-1341-4","http://dx.doi.org/10.1007/s10646-014-1341-4")</f>
        <v>http://dx.doi.org/10.1007/s10646-014-1341-4</v>
      </c>
      <c r="BG550" t="s">
        <v>74</v>
      </c>
      <c r="BH550" t="s">
        <v>74</v>
      </c>
      <c r="BI550" t="s">
        <v>74</v>
      </c>
      <c r="BJ550" t="s">
        <v>74</v>
      </c>
      <c r="BK550" t="s">
        <v>74</v>
      </c>
      <c r="BL550" t="s">
        <v>74</v>
      </c>
      <c r="BM550" t="s">
        <v>74</v>
      </c>
      <c r="BN550">
        <v>25248828</v>
      </c>
      <c r="BO550" t="s">
        <v>74</v>
      </c>
      <c r="BP550" t="s">
        <v>74</v>
      </c>
      <c r="BQ550" t="s">
        <v>74</v>
      </c>
      <c r="BR550" t="s">
        <v>74</v>
      </c>
      <c r="BS550" t="s">
        <v>4144</v>
      </c>
      <c r="BT550" t="str">
        <f>HYPERLINK("https%3A%2F%2Fwww.webofscience.com%2Fwos%2Fwoscc%2Ffull-record%2FWOS:000343877400017","View Full Record in Web of Science")</f>
        <v>View Full Record in Web of Science</v>
      </c>
    </row>
    <row r="551" spans="1:72" x14ac:dyDescent="0.2">
      <c r="A551" t="s">
        <v>72</v>
      </c>
      <c r="B551" t="s">
        <v>4145</v>
      </c>
      <c r="C551" t="s">
        <v>74</v>
      </c>
      <c r="D551" t="s">
        <v>74</v>
      </c>
      <c r="E551" t="s">
        <v>74</v>
      </c>
      <c r="F551" t="s">
        <v>4146</v>
      </c>
      <c r="G551" t="s">
        <v>74</v>
      </c>
      <c r="H551" t="s">
        <v>74</v>
      </c>
      <c r="I551" t="s">
        <v>4147</v>
      </c>
      <c r="J551" t="s">
        <v>2759</v>
      </c>
      <c r="K551" t="s">
        <v>74</v>
      </c>
      <c r="L551" t="s">
        <v>74</v>
      </c>
      <c r="M551" t="s">
        <v>74</v>
      </c>
      <c r="N551" t="s">
        <v>74</v>
      </c>
      <c r="O551" t="s">
        <v>74</v>
      </c>
      <c r="P551" t="s">
        <v>74</v>
      </c>
      <c r="Q551" t="s">
        <v>74</v>
      </c>
      <c r="R551" t="s">
        <v>74</v>
      </c>
      <c r="S551" t="s">
        <v>74</v>
      </c>
      <c r="T551" t="s">
        <v>74</v>
      </c>
      <c r="U551" t="s">
        <v>74</v>
      </c>
      <c r="V551" t="s">
        <v>74</v>
      </c>
      <c r="W551" t="s">
        <v>74</v>
      </c>
      <c r="X551" t="s">
        <v>74</v>
      </c>
      <c r="Y551" t="s">
        <v>74</v>
      </c>
      <c r="Z551" t="s">
        <v>74</v>
      </c>
      <c r="AA551" t="s">
        <v>74</v>
      </c>
      <c r="AB551" t="s">
        <v>4148</v>
      </c>
      <c r="AC551" t="s">
        <v>74</v>
      </c>
      <c r="AD551" t="s">
        <v>74</v>
      </c>
      <c r="AE551" t="s">
        <v>74</v>
      </c>
      <c r="AF551" t="s">
        <v>74</v>
      </c>
      <c r="AG551" t="s">
        <v>74</v>
      </c>
      <c r="AH551" t="s">
        <v>74</v>
      </c>
      <c r="AI551" t="s">
        <v>74</v>
      </c>
      <c r="AJ551" t="s">
        <v>74</v>
      </c>
      <c r="AK551" t="s">
        <v>74</v>
      </c>
      <c r="AL551" t="s">
        <v>74</v>
      </c>
      <c r="AM551" t="s">
        <v>74</v>
      </c>
      <c r="AN551" t="s">
        <v>74</v>
      </c>
      <c r="AO551" t="s">
        <v>2762</v>
      </c>
      <c r="AP551" t="s">
        <v>2763</v>
      </c>
      <c r="AQ551" t="s">
        <v>74</v>
      </c>
      <c r="AR551" t="s">
        <v>74</v>
      </c>
      <c r="AS551" t="s">
        <v>74</v>
      </c>
      <c r="AT551" t="s">
        <v>335</v>
      </c>
      <c r="AU551">
        <v>2014</v>
      </c>
      <c r="AV551">
        <v>83</v>
      </c>
      <c r="AW551">
        <v>6</v>
      </c>
      <c r="AX551" t="s">
        <v>74</v>
      </c>
      <c r="AY551" t="s">
        <v>74</v>
      </c>
      <c r="AZ551" t="s">
        <v>74</v>
      </c>
      <c r="BA551" t="s">
        <v>74</v>
      </c>
      <c r="BB551">
        <v>1279</v>
      </c>
      <c r="BC551">
        <v>1288</v>
      </c>
      <c r="BD551" t="s">
        <v>74</v>
      </c>
      <c r="BE551" t="s">
        <v>4149</v>
      </c>
      <c r="BF551" t="str">
        <f>HYPERLINK("http://dx.doi.org/10.1111/1365-2656.12247","http://dx.doi.org/10.1111/1365-2656.12247")</f>
        <v>http://dx.doi.org/10.1111/1365-2656.12247</v>
      </c>
      <c r="BG551" t="s">
        <v>74</v>
      </c>
      <c r="BH551" t="s">
        <v>74</v>
      </c>
      <c r="BI551" t="s">
        <v>74</v>
      </c>
      <c r="BJ551" t="s">
        <v>74</v>
      </c>
      <c r="BK551" t="s">
        <v>74</v>
      </c>
      <c r="BL551" t="s">
        <v>74</v>
      </c>
      <c r="BM551" t="s">
        <v>74</v>
      </c>
      <c r="BN551">
        <v>24810960</v>
      </c>
      <c r="BO551" t="s">
        <v>74</v>
      </c>
      <c r="BP551" t="s">
        <v>74</v>
      </c>
      <c r="BQ551" t="s">
        <v>74</v>
      </c>
      <c r="BR551" t="s">
        <v>74</v>
      </c>
      <c r="BS551" t="s">
        <v>4150</v>
      </c>
      <c r="BT551" t="str">
        <f>HYPERLINK("https%3A%2F%2Fwww.webofscience.com%2Fwos%2Fwoscc%2Ffull-record%2FWOS:000344339500005","View Full Record in Web of Science")</f>
        <v>View Full Record in Web of Science</v>
      </c>
    </row>
    <row r="552" spans="1:72" x14ac:dyDescent="0.2">
      <c r="A552" t="s">
        <v>72</v>
      </c>
      <c r="B552" t="s">
        <v>4151</v>
      </c>
      <c r="C552" t="s">
        <v>74</v>
      </c>
      <c r="D552" t="s">
        <v>74</v>
      </c>
      <c r="E552" t="s">
        <v>74</v>
      </c>
      <c r="F552" t="s">
        <v>4152</v>
      </c>
      <c r="G552" t="s">
        <v>74</v>
      </c>
      <c r="H552" t="s">
        <v>74</v>
      </c>
      <c r="I552" t="s">
        <v>4153</v>
      </c>
      <c r="J552" t="s">
        <v>3271</v>
      </c>
      <c r="K552" t="s">
        <v>74</v>
      </c>
      <c r="L552" t="s">
        <v>74</v>
      </c>
      <c r="M552" t="s">
        <v>74</v>
      </c>
      <c r="N552" t="s">
        <v>74</v>
      </c>
      <c r="O552" t="s">
        <v>74</v>
      </c>
      <c r="P552" t="s">
        <v>74</v>
      </c>
      <c r="Q552" t="s">
        <v>74</v>
      </c>
      <c r="R552" t="s">
        <v>74</v>
      </c>
      <c r="S552" t="s">
        <v>74</v>
      </c>
      <c r="T552" t="s">
        <v>74</v>
      </c>
      <c r="U552" t="s">
        <v>74</v>
      </c>
      <c r="V552" t="s">
        <v>74</v>
      </c>
      <c r="W552" t="s">
        <v>74</v>
      </c>
      <c r="X552" t="s">
        <v>74</v>
      </c>
      <c r="Y552" t="s">
        <v>74</v>
      </c>
      <c r="Z552" t="s">
        <v>74</v>
      </c>
      <c r="AA552" t="s">
        <v>7087</v>
      </c>
      <c r="AB552" t="s">
        <v>7088</v>
      </c>
      <c r="AC552" t="s">
        <v>74</v>
      </c>
      <c r="AD552" t="s">
        <v>74</v>
      </c>
      <c r="AE552" t="s">
        <v>74</v>
      </c>
      <c r="AF552" t="s">
        <v>74</v>
      </c>
      <c r="AG552" t="s">
        <v>74</v>
      </c>
      <c r="AH552" t="s">
        <v>74</v>
      </c>
      <c r="AI552" t="s">
        <v>74</v>
      </c>
      <c r="AJ552" t="s">
        <v>74</v>
      </c>
      <c r="AK552" t="s">
        <v>74</v>
      </c>
      <c r="AL552" t="s">
        <v>74</v>
      </c>
      <c r="AM552" t="s">
        <v>74</v>
      </c>
      <c r="AN552" t="s">
        <v>74</v>
      </c>
      <c r="AO552" t="s">
        <v>3274</v>
      </c>
      <c r="AP552" t="s">
        <v>3275</v>
      </c>
      <c r="AQ552" t="s">
        <v>74</v>
      </c>
      <c r="AR552" t="s">
        <v>74</v>
      </c>
      <c r="AS552" t="s">
        <v>74</v>
      </c>
      <c r="AT552" t="s">
        <v>451</v>
      </c>
      <c r="AU552">
        <v>2014</v>
      </c>
      <c r="AV552">
        <v>64</v>
      </c>
      <c r="AW552" t="s">
        <v>74</v>
      </c>
      <c r="AX552">
        <v>9</v>
      </c>
      <c r="AY552" t="s">
        <v>74</v>
      </c>
      <c r="AZ552" t="s">
        <v>74</v>
      </c>
      <c r="BA552" t="s">
        <v>74</v>
      </c>
      <c r="BB552">
        <v>3254</v>
      </c>
      <c r="BC552">
        <v>3263</v>
      </c>
      <c r="BD552" t="s">
        <v>74</v>
      </c>
      <c r="BE552" t="s">
        <v>4154</v>
      </c>
      <c r="BF552" t="str">
        <f>HYPERLINK("http://dx.doi.org/10.1099/ijs.0.065292-0","http://dx.doi.org/10.1099/ijs.0.065292-0")</f>
        <v>http://dx.doi.org/10.1099/ijs.0.065292-0</v>
      </c>
      <c r="BG552" t="s">
        <v>74</v>
      </c>
      <c r="BH552" t="s">
        <v>74</v>
      </c>
      <c r="BI552" t="s">
        <v>74</v>
      </c>
      <c r="BJ552" t="s">
        <v>74</v>
      </c>
      <c r="BK552" t="s">
        <v>74</v>
      </c>
      <c r="BL552" t="s">
        <v>74</v>
      </c>
      <c r="BM552" t="s">
        <v>74</v>
      </c>
      <c r="BN552">
        <v>24984700</v>
      </c>
      <c r="BO552" t="s">
        <v>74</v>
      </c>
      <c r="BP552" t="s">
        <v>74</v>
      </c>
      <c r="BQ552" t="s">
        <v>74</v>
      </c>
      <c r="BR552" t="s">
        <v>74</v>
      </c>
      <c r="BS552" t="s">
        <v>4155</v>
      </c>
      <c r="BT552" t="str">
        <f>HYPERLINK("https%3A%2F%2Fwww.webofscience.com%2Fwos%2Fwoscc%2Ffull-record%2FWOS:000344912300049","View Full Record in Web of Science")</f>
        <v>View Full Record in Web of Science</v>
      </c>
    </row>
    <row r="553" spans="1:72" x14ac:dyDescent="0.2">
      <c r="A553" t="s">
        <v>72</v>
      </c>
      <c r="B553" t="s">
        <v>4156</v>
      </c>
      <c r="C553" t="s">
        <v>74</v>
      </c>
      <c r="D553" t="s">
        <v>74</v>
      </c>
      <c r="E553" t="s">
        <v>74</v>
      </c>
      <c r="F553" t="s">
        <v>4157</v>
      </c>
      <c r="G553" t="s">
        <v>74</v>
      </c>
      <c r="H553" t="s">
        <v>74</v>
      </c>
      <c r="I553" t="s">
        <v>4158</v>
      </c>
      <c r="J553" t="s">
        <v>1063</v>
      </c>
      <c r="K553" t="s">
        <v>74</v>
      </c>
      <c r="L553" t="s">
        <v>74</v>
      </c>
      <c r="M553" t="s">
        <v>74</v>
      </c>
      <c r="N553" t="s">
        <v>74</v>
      </c>
      <c r="O553" t="s">
        <v>74</v>
      </c>
      <c r="P553" t="s">
        <v>74</v>
      </c>
      <c r="Q553" t="s">
        <v>74</v>
      </c>
      <c r="R553" t="s">
        <v>74</v>
      </c>
      <c r="S553" t="s">
        <v>74</v>
      </c>
      <c r="T553" t="s">
        <v>74</v>
      </c>
      <c r="U553" t="s">
        <v>74</v>
      </c>
      <c r="V553" t="s">
        <v>74</v>
      </c>
      <c r="W553" t="s">
        <v>74</v>
      </c>
      <c r="X553" t="s">
        <v>74</v>
      </c>
      <c r="Y553" t="s">
        <v>74</v>
      </c>
      <c r="Z553" t="s">
        <v>74</v>
      </c>
      <c r="AA553" t="s">
        <v>4159</v>
      </c>
      <c r="AB553" t="s">
        <v>4160</v>
      </c>
      <c r="AC553" t="s">
        <v>74</v>
      </c>
      <c r="AD553" t="s">
        <v>74</v>
      </c>
      <c r="AE553" t="s">
        <v>74</v>
      </c>
      <c r="AF553" t="s">
        <v>74</v>
      </c>
      <c r="AG553" t="s">
        <v>74</v>
      </c>
      <c r="AH553" t="s">
        <v>74</v>
      </c>
      <c r="AI553" t="s">
        <v>74</v>
      </c>
      <c r="AJ553" t="s">
        <v>74</v>
      </c>
      <c r="AK553" t="s">
        <v>74</v>
      </c>
      <c r="AL553" t="s">
        <v>74</v>
      </c>
      <c r="AM553" t="s">
        <v>74</v>
      </c>
      <c r="AN553" t="s">
        <v>74</v>
      </c>
      <c r="AO553" t="s">
        <v>1065</v>
      </c>
      <c r="AP553" t="s">
        <v>1066</v>
      </c>
      <c r="AQ553" t="s">
        <v>74</v>
      </c>
      <c r="AR553" t="s">
        <v>74</v>
      </c>
      <c r="AS553" t="s">
        <v>74</v>
      </c>
      <c r="AT553" t="s">
        <v>569</v>
      </c>
      <c r="AU553">
        <v>2014</v>
      </c>
      <c r="AV553">
        <v>104</v>
      </c>
      <c r="AW553" t="s">
        <v>74</v>
      </c>
      <c r="AX553" t="s">
        <v>74</v>
      </c>
      <c r="AY553" t="s">
        <v>74</v>
      </c>
      <c r="AZ553" t="s">
        <v>74</v>
      </c>
      <c r="BA553" t="s">
        <v>74</v>
      </c>
      <c r="BB553">
        <v>212</v>
      </c>
      <c r="BC553">
        <v>220</v>
      </c>
      <c r="BD553" t="s">
        <v>74</v>
      </c>
      <c r="BE553" t="s">
        <v>4161</v>
      </c>
      <c r="BF553" t="str">
        <f>HYPERLINK("http://dx.doi.org/10.1016/j.chemosphere.2013.11.029","http://dx.doi.org/10.1016/j.chemosphere.2013.11.029")</f>
        <v>http://dx.doi.org/10.1016/j.chemosphere.2013.11.029</v>
      </c>
      <c r="BG553" t="s">
        <v>74</v>
      </c>
      <c r="BH553" t="s">
        <v>74</v>
      </c>
      <c r="BI553" t="s">
        <v>74</v>
      </c>
      <c r="BJ553" t="s">
        <v>74</v>
      </c>
      <c r="BK553" t="s">
        <v>74</v>
      </c>
      <c r="BL553" t="s">
        <v>74</v>
      </c>
      <c r="BM553" t="s">
        <v>74</v>
      </c>
      <c r="BN553">
        <v>24332729</v>
      </c>
      <c r="BO553" t="s">
        <v>74</v>
      </c>
      <c r="BP553" t="s">
        <v>74</v>
      </c>
      <c r="BQ553" t="s">
        <v>74</v>
      </c>
      <c r="BR553" t="s">
        <v>74</v>
      </c>
      <c r="BS553" t="s">
        <v>4162</v>
      </c>
      <c r="BT553" t="str">
        <f>HYPERLINK("https%3A%2F%2Fwww.webofscience.com%2Fwos%2Fwoscc%2Ffull-record%2FWOS:000334084500031","View Full Record in Web of Science")</f>
        <v>View Full Record in Web of Science</v>
      </c>
    </row>
    <row r="554" spans="1:72" x14ac:dyDescent="0.2">
      <c r="A554" t="s">
        <v>72</v>
      </c>
      <c r="B554" t="s">
        <v>4163</v>
      </c>
      <c r="C554" t="s">
        <v>74</v>
      </c>
      <c r="D554" t="s">
        <v>74</v>
      </c>
      <c r="E554" t="s">
        <v>74</v>
      </c>
      <c r="F554" t="s">
        <v>4164</v>
      </c>
      <c r="G554" t="s">
        <v>74</v>
      </c>
      <c r="H554" t="s">
        <v>74</v>
      </c>
      <c r="I554" t="s">
        <v>4165</v>
      </c>
      <c r="J554" t="s">
        <v>1532</v>
      </c>
      <c r="K554" t="s">
        <v>74</v>
      </c>
      <c r="L554" t="s">
        <v>74</v>
      </c>
      <c r="M554" t="s">
        <v>74</v>
      </c>
      <c r="N554" t="s">
        <v>74</v>
      </c>
      <c r="O554" t="s">
        <v>74</v>
      </c>
      <c r="P554" t="s">
        <v>74</v>
      </c>
      <c r="Q554" t="s">
        <v>74</v>
      </c>
      <c r="R554" t="s">
        <v>74</v>
      </c>
      <c r="S554" t="s">
        <v>74</v>
      </c>
      <c r="T554" t="s">
        <v>74</v>
      </c>
      <c r="U554" t="s">
        <v>74</v>
      </c>
      <c r="V554" t="s">
        <v>74</v>
      </c>
      <c r="W554" t="s">
        <v>74</v>
      </c>
      <c r="X554" t="s">
        <v>74</v>
      </c>
      <c r="Y554" t="s">
        <v>74</v>
      </c>
      <c r="Z554" t="s">
        <v>74</v>
      </c>
      <c r="AA554" t="s">
        <v>4166</v>
      </c>
      <c r="AB554" t="s">
        <v>4167</v>
      </c>
      <c r="AC554" t="s">
        <v>74</v>
      </c>
      <c r="AD554" t="s">
        <v>74</v>
      </c>
      <c r="AE554" t="s">
        <v>74</v>
      </c>
      <c r="AF554" t="s">
        <v>74</v>
      </c>
      <c r="AG554" t="s">
        <v>74</v>
      </c>
      <c r="AH554" t="s">
        <v>74</v>
      </c>
      <c r="AI554" t="s">
        <v>74</v>
      </c>
      <c r="AJ554" t="s">
        <v>74</v>
      </c>
      <c r="AK554" t="s">
        <v>74</v>
      </c>
      <c r="AL554" t="s">
        <v>74</v>
      </c>
      <c r="AM554" t="s">
        <v>74</v>
      </c>
      <c r="AN554" t="s">
        <v>74</v>
      </c>
      <c r="AO554" t="s">
        <v>1535</v>
      </c>
      <c r="AP554" t="s">
        <v>1536</v>
      </c>
      <c r="AQ554" t="s">
        <v>74</v>
      </c>
      <c r="AR554" t="s">
        <v>74</v>
      </c>
      <c r="AS554" t="s">
        <v>74</v>
      </c>
      <c r="AT554" t="s">
        <v>569</v>
      </c>
      <c r="AU554">
        <v>2014</v>
      </c>
      <c r="AV554">
        <v>99</v>
      </c>
      <c r="AW554">
        <v>3</v>
      </c>
      <c r="AX554" t="s">
        <v>74</v>
      </c>
      <c r="AY554" t="s">
        <v>74</v>
      </c>
      <c r="AZ554" t="s">
        <v>74</v>
      </c>
      <c r="BA554" t="s">
        <v>74</v>
      </c>
      <c r="BB554">
        <v>212</v>
      </c>
      <c r="BC554">
        <v>221</v>
      </c>
      <c r="BD554" t="s">
        <v>74</v>
      </c>
      <c r="BE554" t="s">
        <v>4168</v>
      </c>
      <c r="BF554" t="str">
        <f>HYPERLINK("http://dx.doi.org/10.1002/iroh.201301644","http://dx.doi.org/10.1002/iroh.201301644")</f>
        <v>http://dx.doi.org/10.1002/iroh.201301644</v>
      </c>
      <c r="BG554" t="s">
        <v>74</v>
      </c>
      <c r="BH554" t="s">
        <v>74</v>
      </c>
      <c r="BI554" t="s">
        <v>74</v>
      </c>
      <c r="BJ554" t="s">
        <v>74</v>
      </c>
      <c r="BK554" t="s">
        <v>74</v>
      </c>
      <c r="BL554" t="s">
        <v>74</v>
      </c>
      <c r="BM554" t="s">
        <v>74</v>
      </c>
      <c r="BN554" t="s">
        <v>74</v>
      </c>
      <c r="BO554" t="s">
        <v>74</v>
      </c>
      <c r="BP554" t="s">
        <v>74</v>
      </c>
      <c r="BQ554" t="s">
        <v>74</v>
      </c>
      <c r="BR554" t="s">
        <v>74</v>
      </c>
      <c r="BS554" t="s">
        <v>4169</v>
      </c>
      <c r="BT554" t="str">
        <f>HYPERLINK("https%3A%2F%2Fwww.webofscience.com%2Fwos%2Fwoscc%2Ffull-record%2FWOS:000337684700002","View Full Record in Web of Science")</f>
        <v>View Full Record in Web of Science</v>
      </c>
    </row>
    <row r="555" spans="1:72" x14ac:dyDescent="0.2">
      <c r="A555" t="s">
        <v>72</v>
      </c>
      <c r="B555" t="s">
        <v>4170</v>
      </c>
      <c r="C555" t="s">
        <v>74</v>
      </c>
      <c r="D555" t="s">
        <v>74</v>
      </c>
      <c r="E555" t="s">
        <v>74</v>
      </c>
      <c r="F555" t="s">
        <v>4171</v>
      </c>
      <c r="G555" t="s">
        <v>74</v>
      </c>
      <c r="H555" t="s">
        <v>74</v>
      </c>
      <c r="I555" t="s">
        <v>4172</v>
      </c>
      <c r="J555" t="s">
        <v>190</v>
      </c>
      <c r="K555" t="s">
        <v>74</v>
      </c>
      <c r="L555" t="s">
        <v>74</v>
      </c>
      <c r="M555" t="s">
        <v>74</v>
      </c>
      <c r="N555" t="s">
        <v>74</v>
      </c>
      <c r="O555" t="s">
        <v>74</v>
      </c>
      <c r="P555" t="s">
        <v>74</v>
      </c>
      <c r="Q555" t="s">
        <v>74</v>
      </c>
      <c r="R555" t="s">
        <v>74</v>
      </c>
      <c r="S555" t="s">
        <v>74</v>
      </c>
      <c r="T555" t="s">
        <v>74</v>
      </c>
      <c r="U555" t="s">
        <v>74</v>
      </c>
      <c r="V555" t="s">
        <v>74</v>
      </c>
      <c r="W555" t="s">
        <v>74</v>
      </c>
      <c r="X555" t="s">
        <v>74</v>
      </c>
      <c r="Y555" t="s">
        <v>74</v>
      </c>
      <c r="Z555" t="s">
        <v>74</v>
      </c>
      <c r="AA555" t="s">
        <v>4173</v>
      </c>
      <c r="AB555" t="s">
        <v>4174</v>
      </c>
      <c r="AC555" t="s">
        <v>74</v>
      </c>
      <c r="AD555" t="s">
        <v>74</v>
      </c>
      <c r="AE555" t="s">
        <v>74</v>
      </c>
      <c r="AF555" t="s">
        <v>74</v>
      </c>
      <c r="AG555" t="s">
        <v>74</v>
      </c>
      <c r="AH555" t="s">
        <v>74</v>
      </c>
      <c r="AI555" t="s">
        <v>74</v>
      </c>
      <c r="AJ555" t="s">
        <v>74</v>
      </c>
      <c r="AK555" t="s">
        <v>74</v>
      </c>
      <c r="AL555" t="s">
        <v>74</v>
      </c>
      <c r="AM555" t="s">
        <v>74</v>
      </c>
      <c r="AN555" t="s">
        <v>74</v>
      </c>
      <c r="AO555" t="s">
        <v>191</v>
      </c>
      <c r="AP555" t="s">
        <v>74</v>
      </c>
      <c r="AQ555" t="s">
        <v>74</v>
      </c>
      <c r="AR555" t="s">
        <v>74</v>
      </c>
      <c r="AS555" t="s">
        <v>74</v>
      </c>
      <c r="AT555" t="s">
        <v>4175</v>
      </c>
      <c r="AU555">
        <v>2014</v>
      </c>
      <c r="AV555">
        <v>5</v>
      </c>
      <c r="AW555" t="s">
        <v>74</v>
      </c>
      <c r="AX555" t="s">
        <v>74</v>
      </c>
      <c r="AY555" t="s">
        <v>74</v>
      </c>
      <c r="AZ555" t="s">
        <v>74</v>
      </c>
      <c r="BA555" t="s">
        <v>74</v>
      </c>
      <c r="BB555" t="s">
        <v>74</v>
      </c>
      <c r="BC555" t="s">
        <v>74</v>
      </c>
      <c r="BD555">
        <v>229</v>
      </c>
      <c r="BE555" t="s">
        <v>4176</v>
      </c>
      <c r="BF555" t="str">
        <f>HYPERLINK("http://dx.doi.org/10.3389/fmicb.2014.00229","http://dx.doi.org/10.3389/fmicb.2014.00229")</f>
        <v>http://dx.doi.org/10.3389/fmicb.2014.00229</v>
      </c>
      <c r="BG555" t="s">
        <v>74</v>
      </c>
      <c r="BH555" t="s">
        <v>74</v>
      </c>
      <c r="BI555" t="s">
        <v>74</v>
      </c>
      <c r="BJ555" t="s">
        <v>74</v>
      </c>
      <c r="BK555" t="s">
        <v>74</v>
      </c>
      <c r="BL555" t="s">
        <v>74</v>
      </c>
      <c r="BM555" t="s">
        <v>74</v>
      </c>
      <c r="BN555">
        <v>24904543</v>
      </c>
      <c r="BO555" t="s">
        <v>74</v>
      </c>
      <c r="BP555" t="s">
        <v>74</v>
      </c>
      <c r="BQ555" t="s">
        <v>74</v>
      </c>
      <c r="BR555" t="s">
        <v>74</v>
      </c>
      <c r="BS555" t="s">
        <v>4177</v>
      </c>
      <c r="BT555" t="str">
        <f>HYPERLINK("https%3A%2F%2Fwww.webofscience.com%2Fwos%2Fwoscc%2Ffull-record%2FWOS:000336656400001","View Full Record in Web of Science")</f>
        <v>View Full Record in Web of Science</v>
      </c>
    </row>
    <row r="556" spans="1:72" x14ac:dyDescent="0.2">
      <c r="A556" t="s">
        <v>72</v>
      </c>
      <c r="B556" t="s">
        <v>4178</v>
      </c>
      <c r="C556" t="s">
        <v>74</v>
      </c>
      <c r="D556" t="s">
        <v>74</v>
      </c>
      <c r="E556" t="s">
        <v>74</v>
      </c>
      <c r="F556" t="s">
        <v>4179</v>
      </c>
      <c r="G556" t="s">
        <v>74</v>
      </c>
      <c r="H556" t="s">
        <v>74</v>
      </c>
      <c r="I556" t="s">
        <v>4180</v>
      </c>
      <c r="J556" t="s">
        <v>4181</v>
      </c>
      <c r="K556" t="s">
        <v>74</v>
      </c>
      <c r="L556" t="s">
        <v>74</v>
      </c>
      <c r="M556" t="s">
        <v>74</v>
      </c>
      <c r="N556" t="s">
        <v>74</v>
      </c>
      <c r="O556" t="s">
        <v>74</v>
      </c>
      <c r="P556" t="s">
        <v>74</v>
      </c>
      <c r="Q556" t="s">
        <v>74</v>
      </c>
      <c r="R556" t="s">
        <v>74</v>
      </c>
      <c r="S556" t="s">
        <v>74</v>
      </c>
      <c r="T556" t="s">
        <v>74</v>
      </c>
      <c r="U556" t="s">
        <v>74</v>
      </c>
      <c r="V556" t="s">
        <v>74</v>
      </c>
      <c r="W556" t="s">
        <v>74</v>
      </c>
      <c r="X556" t="s">
        <v>74</v>
      </c>
      <c r="Y556" t="s">
        <v>74</v>
      </c>
      <c r="Z556" t="s">
        <v>74</v>
      </c>
      <c r="AA556" t="s">
        <v>4182</v>
      </c>
      <c r="AB556" t="s">
        <v>74</v>
      </c>
      <c r="AC556" t="s">
        <v>74</v>
      </c>
      <c r="AD556" t="s">
        <v>74</v>
      </c>
      <c r="AE556" t="s">
        <v>74</v>
      </c>
      <c r="AF556" t="s">
        <v>74</v>
      </c>
      <c r="AG556" t="s">
        <v>74</v>
      </c>
      <c r="AH556" t="s">
        <v>74</v>
      </c>
      <c r="AI556" t="s">
        <v>74</v>
      </c>
      <c r="AJ556" t="s">
        <v>74</v>
      </c>
      <c r="AK556" t="s">
        <v>74</v>
      </c>
      <c r="AL556" t="s">
        <v>74</v>
      </c>
      <c r="AM556" t="s">
        <v>74</v>
      </c>
      <c r="AN556" t="s">
        <v>74</v>
      </c>
      <c r="AO556" t="s">
        <v>4183</v>
      </c>
      <c r="AP556" t="s">
        <v>4184</v>
      </c>
      <c r="AQ556" t="s">
        <v>74</v>
      </c>
      <c r="AR556" t="s">
        <v>74</v>
      </c>
      <c r="AS556" t="s">
        <v>74</v>
      </c>
      <c r="AT556" t="s">
        <v>575</v>
      </c>
      <c r="AU556">
        <v>2014</v>
      </c>
      <c r="AV556">
        <v>101</v>
      </c>
      <c r="AW556">
        <v>5</v>
      </c>
      <c r="AX556" t="s">
        <v>74</v>
      </c>
      <c r="AY556" t="s">
        <v>74</v>
      </c>
      <c r="AZ556" t="s">
        <v>74</v>
      </c>
      <c r="BA556" t="s">
        <v>74</v>
      </c>
      <c r="BB556">
        <v>357</v>
      </c>
      <c r="BC556">
        <v>372</v>
      </c>
      <c r="BD556" t="s">
        <v>74</v>
      </c>
      <c r="BE556" t="s">
        <v>4185</v>
      </c>
      <c r="BF556" t="str">
        <f>HYPERLINK("http://dx.doi.org/10.1007/s00114-014-1164-4","http://dx.doi.org/10.1007/s00114-014-1164-4")</f>
        <v>http://dx.doi.org/10.1007/s00114-014-1164-4</v>
      </c>
      <c r="BG556" t="s">
        <v>74</v>
      </c>
      <c r="BH556" t="s">
        <v>74</v>
      </c>
      <c r="BI556" t="s">
        <v>74</v>
      </c>
      <c r="BJ556" t="s">
        <v>74</v>
      </c>
      <c r="BK556" t="s">
        <v>74</v>
      </c>
      <c r="BL556" t="s">
        <v>74</v>
      </c>
      <c r="BM556" t="s">
        <v>74</v>
      </c>
      <c r="BN556">
        <v>24633620</v>
      </c>
      <c r="BO556" t="s">
        <v>74</v>
      </c>
      <c r="BP556" t="s">
        <v>74</v>
      </c>
      <c r="BQ556" t="s">
        <v>74</v>
      </c>
      <c r="BR556" t="s">
        <v>74</v>
      </c>
      <c r="BS556" t="s">
        <v>4186</v>
      </c>
      <c r="BT556" t="str">
        <f>HYPERLINK("https%3A%2F%2Fwww.webofscience.com%2Fwos%2Fwoscc%2Ffull-record%2FWOS:000335671800001","View Full Record in Web of Science")</f>
        <v>View Full Record in Web of Science</v>
      </c>
    </row>
    <row r="557" spans="1:72" x14ac:dyDescent="0.2">
      <c r="A557" t="s">
        <v>72</v>
      </c>
      <c r="B557" t="s">
        <v>4187</v>
      </c>
      <c r="C557" t="s">
        <v>74</v>
      </c>
      <c r="D557" t="s">
        <v>74</v>
      </c>
      <c r="E557" t="s">
        <v>74</v>
      </c>
      <c r="F557" t="s">
        <v>4188</v>
      </c>
      <c r="G557" t="s">
        <v>74</v>
      </c>
      <c r="H557" t="s">
        <v>74</v>
      </c>
      <c r="I557" t="s">
        <v>4189</v>
      </c>
      <c r="J557" t="s">
        <v>106</v>
      </c>
      <c r="K557" t="s">
        <v>74</v>
      </c>
      <c r="L557" t="s">
        <v>74</v>
      </c>
      <c r="M557" t="s">
        <v>74</v>
      </c>
      <c r="N557" t="s">
        <v>74</v>
      </c>
      <c r="O557" t="s">
        <v>74</v>
      </c>
      <c r="P557" t="s">
        <v>74</v>
      </c>
      <c r="Q557" t="s">
        <v>74</v>
      </c>
      <c r="R557" t="s">
        <v>74</v>
      </c>
      <c r="S557" t="s">
        <v>74</v>
      </c>
      <c r="T557" t="s">
        <v>74</v>
      </c>
      <c r="U557" t="s">
        <v>74</v>
      </c>
      <c r="V557" t="s">
        <v>74</v>
      </c>
      <c r="W557" t="s">
        <v>74</v>
      </c>
      <c r="X557" t="s">
        <v>74</v>
      </c>
      <c r="Y557" t="s">
        <v>74</v>
      </c>
      <c r="Z557" t="s">
        <v>74</v>
      </c>
      <c r="AA557" t="s">
        <v>74</v>
      </c>
      <c r="AB557" t="s">
        <v>74</v>
      </c>
      <c r="AC557" t="s">
        <v>74</v>
      </c>
      <c r="AD557" t="s">
        <v>74</v>
      </c>
      <c r="AE557" t="s">
        <v>74</v>
      </c>
      <c r="AF557" t="s">
        <v>74</v>
      </c>
      <c r="AG557" t="s">
        <v>74</v>
      </c>
      <c r="AH557" t="s">
        <v>74</v>
      </c>
      <c r="AI557" t="s">
        <v>74</v>
      </c>
      <c r="AJ557" t="s">
        <v>74</v>
      </c>
      <c r="AK557" t="s">
        <v>74</v>
      </c>
      <c r="AL557" t="s">
        <v>74</v>
      </c>
      <c r="AM557" t="s">
        <v>74</v>
      </c>
      <c r="AN557" t="s">
        <v>74</v>
      </c>
      <c r="AO557" t="s">
        <v>107</v>
      </c>
      <c r="AP557" t="s">
        <v>108</v>
      </c>
      <c r="AQ557" t="s">
        <v>74</v>
      </c>
      <c r="AR557" t="s">
        <v>74</v>
      </c>
      <c r="AS557" t="s">
        <v>74</v>
      </c>
      <c r="AT557" t="s">
        <v>2624</v>
      </c>
      <c r="AU557">
        <v>2014</v>
      </c>
      <c r="AV557">
        <v>36</v>
      </c>
      <c r="AW557">
        <v>3</v>
      </c>
      <c r="AX557" t="s">
        <v>74</v>
      </c>
      <c r="AY557" t="s">
        <v>74</v>
      </c>
      <c r="AZ557" t="s">
        <v>74</v>
      </c>
      <c r="BA557" t="s">
        <v>74</v>
      </c>
      <c r="BB557">
        <v>709</v>
      </c>
      <c r="BC557">
        <v>721</v>
      </c>
      <c r="BD557" t="s">
        <v>74</v>
      </c>
      <c r="BE557" t="s">
        <v>4190</v>
      </c>
      <c r="BF557" t="str">
        <f>HYPERLINK("http://dx.doi.org/10.1093/plankt/fbt131","http://dx.doi.org/10.1093/plankt/fbt131")</f>
        <v>http://dx.doi.org/10.1093/plankt/fbt131</v>
      </c>
      <c r="BG557" t="s">
        <v>74</v>
      </c>
      <c r="BH557" t="s">
        <v>74</v>
      </c>
      <c r="BI557" t="s">
        <v>74</v>
      </c>
      <c r="BJ557" t="s">
        <v>74</v>
      </c>
      <c r="BK557" t="s">
        <v>74</v>
      </c>
      <c r="BL557" t="s">
        <v>74</v>
      </c>
      <c r="BM557" t="s">
        <v>74</v>
      </c>
      <c r="BN557" t="s">
        <v>74</v>
      </c>
      <c r="BO557" t="s">
        <v>74</v>
      </c>
      <c r="BP557" t="s">
        <v>74</v>
      </c>
      <c r="BQ557" t="s">
        <v>74</v>
      </c>
      <c r="BR557" t="s">
        <v>74</v>
      </c>
      <c r="BS557" t="s">
        <v>4191</v>
      </c>
      <c r="BT557" t="str">
        <f>HYPERLINK("https%3A%2F%2Fwww.webofscience.com%2Fwos%2Fwoscc%2Ffull-record%2FWOS:000336490000010","View Full Record in Web of Science")</f>
        <v>View Full Record in Web of Science</v>
      </c>
    </row>
    <row r="558" spans="1:72" x14ac:dyDescent="0.2">
      <c r="A558" t="s">
        <v>72</v>
      </c>
      <c r="B558" t="s">
        <v>4192</v>
      </c>
      <c r="C558" t="s">
        <v>74</v>
      </c>
      <c r="D558" t="s">
        <v>74</v>
      </c>
      <c r="E558" t="s">
        <v>74</v>
      </c>
      <c r="F558" t="s">
        <v>4193</v>
      </c>
      <c r="G558" t="s">
        <v>74</v>
      </c>
      <c r="H558" t="s">
        <v>74</v>
      </c>
      <c r="I558" t="s">
        <v>4194</v>
      </c>
      <c r="J558" t="s">
        <v>1523</v>
      </c>
      <c r="K558" t="s">
        <v>74</v>
      </c>
      <c r="L558" t="s">
        <v>74</v>
      </c>
      <c r="M558" t="s">
        <v>74</v>
      </c>
      <c r="N558" t="s">
        <v>74</v>
      </c>
      <c r="O558" t="s">
        <v>74</v>
      </c>
      <c r="P558" t="s">
        <v>74</v>
      </c>
      <c r="Q558" t="s">
        <v>74</v>
      </c>
      <c r="R558" t="s">
        <v>74</v>
      </c>
      <c r="S558" t="s">
        <v>74</v>
      </c>
      <c r="T558" t="s">
        <v>74</v>
      </c>
      <c r="U558" t="s">
        <v>74</v>
      </c>
      <c r="V558" t="s">
        <v>74</v>
      </c>
      <c r="W558" t="s">
        <v>74</v>
      </c>
      <c r="X558" t="s">
        <v>74</v>
      </c>
      <c r="Y558" t="s">
        <v>74</v>
      </c>
      <c r="Z558" t="s">
        <v>74</v>
      </c>
      <c r="AA558" t="s">
        <v>7089</v>
      </c>
      <c r="AB558" t="s">
        <v>7090</v>
      </c>
      <c r="AC558" t="s">
        <v>74</v>
      </c>
      <c r="AD558" t="s">
        <v>74</v>
      </c>
      <c r="AE558" t="s">
        <v>74</v>
      </c>
      <c r="AF558" t="s">
        <v>74</v>
      </c>
      <c r="AG558" t="s">
        <v>74</v>
      </c>
      <c r="AH558" t="s">
        <v>74</v>
      </c>
      <c r="AI558" t="s">
        <v>74</v>
      </c>
      <c r="AJ558" t="s">
        <v>74</v>
      </c>
      <c r="AK558" t="s">
        <v>74</v>
      </c>
      <c r="AL558" t="s">
        <v>74</v>
      </c>
      <c r="AM558" t="s">
        <v>74</v>
      </c>
      <c r="AN558" t="s">
        <v>74</v>
      </c>
      <c r="AO558" t="s">
        <v>1524</v>
      </c>
      <c r="AP558" t="s">
        <v>1525</v>
      </c>
      <c r="AQ558" t="s">
        <v>74</v>
      </c>
      <c r="AR558" t="s">
        <v>74</v>
      </c>
      <c r="AS558" t="s">
        <v>74</v>
      </c>
      <c r="AT558" t="s">
        <v>203</v>
      </c>
      <c r="AU558">
        <v>2014</v>
      </c>
      <c r="AV558">
        <v>95</v>
      </c>
      <c r="AW558">
        <v>4</v>
      </c>
      <c r="AX558" t="s">
        <v>74</v>
      </c>
      <c r="AY558" t="s">
        <v>74</v>
      </c>
      <c r="AZ558" t="s">
        <v>74</v>
      </c>
      <c r="BA558" t="s">
        <v>74</v>
      </c>
      <c r="BB558">
        <v>897</v>
      </c>
      <c r="BC558">
        <v>909</v>
      </c>
      <c r="BD558" t="s">
        <v>74</v>
      </c>
      <c r="BE558" t="s">
        <v>4195</v>
      </c>
      <c r="BF558" t="str">
        <f>HYPERLINK("http://dx.doi.org/10.1890/13-0742.1","http://dx.doi.org/10.1890/13-0742.1")</f>
        <v>http://dx.doi.org/10.1890/13-0742.1</v>
      </c>
      <c r="BG558" t="s">
        <v>74</v>
      </c>
      <c r="BH558" t="s">
        <v>74</v>
      </c>
      <c r="BI558" t="s">
        <v>74</v>
      </c>
      <c r="BJ558" t="s">
        <v>74</v>
      </c>
      <c r="BK558" t="s">
        <v>74</v>
      </c>
      <c r="BL558" t="s">
        <v>74</v>
      </c>
      <c r="BM558" t="s">
        <v>74</v>
      </c>
      <c r="BN558">
        <v>24933809</v>
      </c>
      <c r="BO558" t="s">
        <v>74</v>
      </c>
      <c r="BP558" t="s">
        <v>74</v>
      </c>
      <c r="BQ558" t="s">
        <v>74</v>
      </c>
      <c r="BR558" t="s">
        <v>74</v>
      </c>
      <c r="BS558" t="s">
        <v>4196</v>
      </c>
      <c r="BT558" t="str">
        <f>HYPERLINK("https%3A%2F%2Fwww.webofscience.com%2Fwos%2Fwoscc%2Ffull-record%2FWOS:000334573600010","View Full Record in Web of Science")</f>
        <v>View Full Record in Web of Science</v>
      </c>
    </row>
    <row r="559" spans="1:72" x14ac:dyDescent="0.2">
      <c r="A559" t="s">
        <v>72</v>
      </c>
      <c r="B559" t="s">
        <v>4197</v>
      </c>
      <c r="C559" t="s">
        <v>74</v>
      </c>
      <c r="D559" t="s">
        <v>74</v>
      </c>
      <c r="E559" t="s">
        <v>74</v>
      </c>
      <c r="F559" t="s">
        <v>4198</v>
      </c>
      <c r="G559" t="s">
        <v>74</v>
      </c>
      <c r="H559" t="s">
        <v>74</v>
      </c>
      <c r="I559" t="s">
        <v>4199</v>
      </c>
      <c r="J559" t="s">
        <v>106</v>
      </c>
      <c r="K559" t="s">
        <v>74</v>
      </c>
      <c r="L559" t="s">
        <v>74</v>
      </c>
      <c r="M559" t="s">
        <v>74</v>
      </c>
      <c r="N559" t="s">
        <v>74</v>
      </c>
      <c r="O559" t="s">
        <v>74</v>
      </c>
      <c r="P559" t="s">
        <v>74</v>
      </c>
      <c r="Q559" t="s">
        <v>74</v>
      </c>
      <c r="R559" t="s">
        <v>74</v>
      </c>
      <c r="S559" t="s">
        <v>74</v>
      </c>
      <c r="T559" t="s">
        <v>74</v>
      </c>
      <c r="U559" t="s">
        <v>74</v>
      </c>
      <c r="V559" t="s">
        <v>74</v>
      </c>
      <c r="W559" t="s">
        <v>74</v>
      </c>
      <c r="X559" t="s">
        <v>74</v>
      </c>
      <c r="Y559" t="s">
        <v>74</v>
      </c>
      <c r="Z559" t="s">
        <v>74</v>
      </c>
      <c r="AA559" t="s">
        <v>4200</v>
      </c>
      <c r="AB559" t="s">
        <v>4201</v>
      </c>
      <c r="AC559" t="s">
        <v>74</v>
      </c>
      <c r="AD559" t="s">
        <v>74</v>
      </c>
      <c r="AE559" t="s">
        <v>74</v>
      </c>
      <c r="AF559" t="s">
        <v>74</v>
      </c>
      <c r="AG559" t="s">
        <v>74</v>
      </c>
      <c r="AH559" t="s">
        <v>74</v>
      </c>
      <c r="AI559" t="s">
        <v>74</v>
      </c>
      <c r="AJ559" t="s">
        <v>74</v>
      </c>
      <c r="AK559" t="s">
        <v>74</v>
      </c>
      <c r="AL559" t="s">
        <v>74</v>
      </c>
      <c r="AM559" t="s">
        <v>74</v>
      </c>
      <c r="AN559" t="s">
        <v>74</v>
      </c>
      <c r="AO559" t="s">
        <v>107</v>
      </c>
      <c r="AP559" t="s">
        <v>108</v>
      </c>
      <c r="AQ559" t="s">
        <v>74</v>
      </c>
      <c r="AR559" t="s">
        <v>74</v>
      </c>
      <c r="AS559" t="s">
        <v>74</v>
      </c>
      <c r="AT559" t="s">
        <v>3094</v>
      </c>
      <c r="AU559">
        <v>2014</v>
      </c>
      <c r="AV559">
        <v>36</v>
      </c>
      <c r="AW559">
        <v>2</v>
      </c>
      <c r="AX559" t="s">
        <v>74</v>
      </c>
      <c r="AY559" t="s">
        <v>74</v>
      </c>
      <c r="AZ559" t="s">
        <v>74</v>
      </c>
      <c r="BA559" t="s">
        <v>74</v>
      </c>
      <c r="BB559">
        <v>364</v>
      </c>
      <c r="BC559">
        <v>377</v>
      </c>
      <c r="BD559" t="s">
        <v>74</v>
      </c>
      <c r="BE559" t="s">
        <v>4202</v>
      </c>
      <c r="BF559" t="str">
        <f>HYPERLINK("http://dx.doi.org/10.1093/plankt/fbt105","http://dx.doi.org/10.1093/plankt/fbt105")</f>
        <v>http://dx.doi.org/10.1093/plankt/fbt105</v>
      </c>
      <c r="BG559" t="s">
        <v>74</v>
      </c>
      <c r="BH559" t="s">
        <v>74</v>
      </c>
      <c r="BI559" t="s">
        <v>74</v>
      </c>
      <c r="BJ559" t="s">
        <v>74</v>
      </c>
      <c r="BK559" t="s">
        <v>74</v>
      </c>
      <c r="BL559" t="s">
        <v>74</v>
      </c>
      <c r="BM559" t="s">
        <v>74</v>
      </c>
      <c r="BN559" t="s">
        <v>74</v>
      </c>
      <c r="BO559" t="s">
        <v>74</v>
      </c>
      <c r="BP559" t="s">
        <v>74</v>
      </c>
      <c r="BQ559" t="s">
        <v>74</v>
      </c>
      <c r="BR559" t="s">
        <v>74</v>
      </c>
      <c r="BS559" t="s">
        <v>4203</v>
      </c>
      <c r="BT559" t="str">
        <f>HYPERLINK("https%3A%2F%2Fwww.webofscience.com%2Fwos%2Fwoscc%2Ffull-record%2FWOS:000336489800006","View Full Record in Web of Science")</f>
        <v>View Full Record in Web of Science</v>
      </c>
    </row>
    <row r="560" spans="1:72" x14ac:dyDescent="0.2">
      <c r="A560" t="s">
        <v>72</v>
      </c>
      <c r="B560" t="s">
        <v>4204</v>
      </c>
      <c r="C560" t="s">
        <v>74</v>
      </c>
      <c r="D560" t="s">
        <v>74</v>
      </c>
      <c r="E560" t="s">
        <v>74</v>
      </c>
      <c r="F560" t="s">
        <v>4205</v>
      </c>
      <c r="G560" t="s">
        <v>74</v>
      </c>
      <c r="H560" t="s">
        <v>74</v>
      </c>
      <c r="I560" t="s">
        <v>4206</v>
      </c>
      <c r="J560" t="s">
        <v>854</v>
      </c>
      <c r="K560" t="s">
        <v>74</v>
      </c>
      <c r="L560" t="s">
        <v>74</v>
      </c>
      <c r="M560" t="s">
        <v>74</v>
      </c>
      <c r="N560" t="s">
        <v>74</v>
      </c>
      <c r="O560" t="s">
        <v>74</v>
      </c>
      <c r="P560" t="s">
        <v>74</v>
      </c>
      <c r="Q560" t="s">
        <v>74</v>
      </c>
      <c r="R560" t="s">
        <v>74</v>
      </c>
      <c r="S560" t="s">
        <v>74</v>
      </c>
      <c r="T560" t="s">
        <v>74</v>
      </c>
      <c r="U560" t="s">
        <v>74</v>
      </c>
      <c r="V560" t="s">
        <v>74</v>
      </c>
      <c r="W560" t="s">
        <v>74</v>
      </c>
      <c r="X560" t="s">
        <v>74</v>
      </c>
      <c r="Y560" t="s">
        <v>74</v>
      </c>
      <c r="Z560" t="s">
        <v>74</v>
      </c>
      <c r="AA560" t="s">
        <v>4207</v>
      </c>
      <c r="AB560" t="s">
        <v>4208</v>
      </c>
      <c r="AC560" t="s">
        <v>74</v>
      </c>
      <c r="AD560" t="s">
        <v>74</v>
      </c>
      <c r="AE560" t="s">
        <v>74</v>
      </c>
      <c r="AF560" t="s">
        <v>74</v>
      </c>
      <c r="AG560" t="s">
        <v>74</v>
      </c>
      <c r="AH560" t="s">
        <v>74</v>
      </c>
      <c r="AI560" t="s">
        <v>74</v>
      </c>
      <c r="AJ560" t="s">
        <v>74</v>
      </c>
      <c r="AK560" t="s">
        <v>74</v>
      </c>
      <c r="AL560" t="s">
        <v>74</v>
      </c>
      <c r="AM560" t="s">
        <v>74</v>
      </c>
      <c r="AN560" t="s">
        <v>74</v>
      </c>
      <c r="AO560" t="s">
        <v>855</v>
      </c>
      <c r="AP560" t="s">
        <v>856</v>
      </c>
      <c r="AQ560" t="s">
        <v>74</v>
      </c>
      <c r="AR560" t="s">
        <v>74</v>
      </c>
      <c r="AS560" t="s">
        <v>74</v>
      </c>
      <c r="AT560" t="s">
        <v>157</v>
      </c>
      <c r="AU560">
        <v>2014</v>
      </c>
      <c r="AV560">
        <v>87</v>
      </c>
      <c r="AW560">
        <v>3</v>
      </c>
      <c r="AX560" t="s">
        <v>74</v>
      </c>
      <c r="AY560" t="s">
        <v>74</v>
      </c>
      <c r="AZ560" t="s">
        <v>74</v>
      </c>
      <c r="BA560" t="s">
        <v>74</v>
      </c>
      <c r="BB560">
        <v>557</v>
      </c>
      <c r="BC560">
        <v>567</v>
      </c>
      <c r="BD560" t="s">
        <v>74</v>
      </c>
      <c r="BE560" t="s">
        <v>4209</v>
      </c>
      <c r="BF560" t="str">
        <f>HYPERLINK("http://dx.doi.org/10.1111/1574-6941.12243","http://dx.doi.org/10.1111/1574-6941.12243")</f>
        <v>http://dx.doi.org/10.1111/1574-6941.12243</v>
      </c>
      <c r="BG560" t="s">
        <v>74</v>
      </c>
      <c r="BH560" t="s">
        <v>74</v>
      </c>
      <c r="BI560" t="s">
        <v>74</v>
      </c>
      <c r="BJ560" t="s">
        <v>74</v>
      </c>
      <c r="BK560" t="s">
        <v>74</v>
      </c>
      <c r="BL560" t="s">
        <v>74</v>
      </c>
      <c r="BM560" t="s">
        <v>74</v>
      </c>
      <c r="BN560">
        <v>24329601</v>
      </c>
      <c r="BO560" t="s">
        <v>74</v>
      </c>
      <c r="BP560" t="s">
        <v>74</v>
      </c>
      <c r="BQ560" t="s">
        <v>74</v>
      </c>
      <c r="BR560" t="s">
        <v>74</v>
      </c>
      <c r="BS560" t="s">
        <v>4210</v>
      </c>
      <c r="BT560" t="str">
        <f>HYPERLINK("https%3A%2F%2Fwww.webofscience.com%2Fwos%2Fwoscc%2Ffull-record%2FWOS:000332207200001","View Full Record in Web of Science")</f>
        <v>View Full Record in Web of Science</v>
      </c>
    </row>
    <row r="561" spans="1:72" x14ac:dyDescent="0.2">
      <c r="A561" t="s">
        <v>72</v>
      </c>
      <c r="B561" t="s">
        <v>4211</v>
      </c>
      <c r="C561" t="s">
        <v>74</v>
      </c>
      <c r="D561" t="s">
        <v>74</v>
      </c>
      <c r="E561" t="s">
        <v>74</v>
      </c>
      <c r="F561" t="s">
        <v>4212</v>
      </c>
      <c r="G561" t="s">
        <v>74</v>
      </c>
      <c r="H561" t="s">
        <v>74</v>
      </c>
      <c r="I561" t="s">
        <v>4213</v>
      </c>
      <c r="J561" t="s">
        <v>1569</v>
      </c>
      <c r="K561" t="s">
        <v>74</v>
      </c>
      <c r="L561" t="s">
        <v>74</v>
      </c>
      <c r="M561" t="s">
        <v>74</v>
      </c>
      <c r="N561" t="s">
        <v>74</v>
      </c>
      <c r="O561" t="s">
        <v>74</v>
      </c>
      <c r="P561" t="s">
        <v>74</v>
      </c>
      <c r="Q561" t="s">
        <v>74</v>
      </c>
      <c r="R561" t="s">
        <v>74</v>
      </c>
      <c r="S561" t="s">
        <v>74</v>
      </c>
      <c r="T561" t="s">
        <v>74</v>
      </c>
      <c r="U561" t="s">
        <v>74</v>
      </c>
      <c r="V561" t="s">
        <v>74</v>
      </c>
      <c r="W561" t="s">
        <v>74</v>
      </c>
      <c r="X561" t="s">
        <v>74</v>
      </c>
      <c r="Y561" t="s">
        <v>74</v>
      </c>
      <c r="Z561" t="s">
        <v>74</v>
      </c>
      <c r="AA561" t="s">
        <v>74</v>
      </c>
      <c r="AB561" t="s">
        <v>74</v>
      </c>
      <c r="AC561" t="s">
        <v>74</v>
      </c>
      <c r="AD561" t="s">
        <v>74</v>
      </c>
      <c r="AE561" t="s">
        <v>74</v>
      </c>
      <c r="AF561" t="s">
        <v>74</v>
      </c>
      <c r="AG561" t="s">
        <v>74</v>
      </c>
      <c r="AH561" t="s">
        <v>74</v>
      </c>
      <c r="AI561" t="s">
        <v>74</v>
      </c>
      <c r="AJ561" t="s">
        <v>74</v>
      </c>
      <c r="AK561" t="s">
        <v>74</v>
      </c>
      <c r="AL561" t="s">
        <v>74</v>
      </c>
      <c r="AM561" t="s">
        <v>74</v>
      </c>
      <c r="AN561" t="s">
        <v>74</v>
      </c>
      <c r="AO561" t="s">
        <v>1571</v>
      </c>
      <c r="AP561" t="s">
        <v>1572</v>
      </c>
      <c r="AQ561" t="s">
        <v>74</v>
      </c>
      <c r="AR561" t="s">
        <v>74</v>
      </c>
      <c r="AS561" t="s">
        <v>74</v>
      </c>
      <c r="AT561" t="s">
        <v>157</v>
      </c>
      <c r="AU561">
        <v>2014</v>
      </c>
      <c r="AV561">
        <v>33</v>
      </c>
      <c r="AW561">
        <v>1</v>
      </c>
      <c r="AX561" t="s">
        <v>74</v>
      </c>
      <c r="AY561" t="s">
        <v>74</v>
      </c>
      <c r="AZ561" t="s">
        <v>74</v>
      </c>
      <c r="BA561" t="s">
        <v>74</v>
      </c>
      <c r="BB561">
        <v>66</v>
      </c>
      <c r="BC561">
        <v>72</v>
      </c>
      <c r="BD561" t="s">
        <v>74</v>
      </c>
      <c r="BE561" t="s">
        <v>4214</v>
      </c>
      <c r="BF561" t="str">
        <f>HYPERLINK("http://dx.doi.org/10.1086/674341","http://dx.doi.org/10.1086/674341")</f>
        <v>http://dx.doi.org/10.1086/674341</v>
      </c>
      <c r="BG561" t="s">
        <v>74</v>
      </c>
      <c r="BH561" t="s">
        <v>74</v>
      </c>
      <c r="BI561" t="s">
        <v>74</v>
      </c>
      <c r="BJ561" t="s">
        <v>74</v>
      </c>
      <c r="BK561" t="s">
        <v>74</v>
      </c>
      <c r="BL561" t="s">
        <v>74</v>
      </c>
      <c r="BM561" t="s">
        <v>74</v>
      </c>
      <c r="BN561" t="s">
        <v>74</v>
      </c>
      <c r="BO561" t="s">
        <v>74</v>
      </c>
      <c r="BP561" t="s">
        <v>74</v>
      </c>
      <c r="BQ561" t="s">
        <v>74</v>
      </c>
      <c r="BR561" t="s">
        <v>74</v>
      </c>
      <c r="BS561" t="s">
        <v>4215</v>
      </c>
      <c r="BT561" t="str">
        <f>HYPERLINK("https%3A%2F%2Fwww.webofscience.com%2Fwos%2Fwoscc%2Ffull-record%2FWOS:000332322400006","View Full Record in Web of Science")</f>
        <v>View Full Record in Web of Science</v>
      </c>
    </row>
    <row r="562" spans="1:72" x14ac:dyDescent="0.2">
      <c r="A562" t="s">
        <v>72</v>
      </c>
      <c r="B562" t="s">
        <v>4216</v>
      </c>
      <c r="C562" t="s">
        <v>74</v>
      </c>
      <c r="D562" t="s">
        <v>74</v>
      </c>
      <c r="E562" t="s">
        <v>74</v>
      </c>
      <c r="F562" t="s">
        <v>4217</v>
      </c>
      <c r="G562" t="s">
        <v>74</v>
      </c>
      <c r="H562" t="s">
        <v>74</v>
      </c>
      <c r="I562" t="s">
        <v>4218</v>
      </c>
      <c r="J562" t="s">
        <v>3443</v>
      </c>
      <c r="K562" t="s">
        <v>74</v>
      </c>
      <c r="L562" t="s">
        <v>74</v>
      </c>
      <c r="M562" t="s">
        <v>74</v>
      </c>
      <c r="N562" t="s">
        <v>74</v>
      </c>
      <c r="O562" t="s">
        <v>74</v>
      </c>
      <c r="P562" t="s">
        <v>74</v>
      </c>
      <c r="Q562" t="s">
        <v>74</v>
      </c>
      <c r="R562" t="s">
        <v>74</v>
      </c>
      <c r="S562" t="s">
        <v>74</v>
      </c>
      <c r="T562" t="s">
        <v>74</v>
      </c>
      <c r="U562" t="s">
        <v>74</v>
      </c>
      <c r="V562" t="s">
        <v>74</v>
      </c>
      <c r="W562" t="s">
        <v>74</v>
      </c>
      <c r="X562" t="s">
        <v>74</v>
      </c>
      <c r="Y562" t="s">
        <v>74</v>
      </c>
      <c r="Z562" t="s">
        <v>74</v>
      </c>
      <c r="AA562" t="s">
        <v>4219</v>
      </c>
      <c r="AB562" t="s">
        <v>4220</v>
      </c>
      <c r="AC562" t="s">
        <v>74</v>
      </c>
      <c r="AD562" t="s">
        <v>74</v>
      </c>
      <c r="AE562" t="s">
        <v>74</v>
      </c>
      <c r="AF562" t="s">
        <v>74</v>
      </c>
      <c r="AG562" t="s">
        <v>74</v>
      </c>
      <c r="AH562" t="s">
        <v>74</v>
      </c>
      <c r="AI562" t="s">
        <v>74</v>
      </c>
      <c r="AJ562" t="s">
        <v>74</v>
      </c>
      <c r="AK562" t="s">
        <v>74</v>
      </c>
      <c r="AL562" t="s">
        <v>74</v>
      </c>
      <c r="AM562" t="s">
        <v>74</v>
      </c>
      <c r="AN562" t="s">
        <v>74</v>
      </c>
      <c r="AO562" t="s">
        <v>3445</v>
      </c>
      <c r="AP562" t="s">
        <v>74</v>
      </c>
      <c r="AQ562" t="s">
        <v>74</v>
      </c>
      <c r="AR562" t="s">
        <v>74</v>
      </c>
      <c r="AS562" t="s">
        <v>74</v>
      </c>
      <c r="AT562" t="s">
        <v>4221</v>
      </c>
      <c r="AU562">
        <v>2014</v>
      </c>
      <c r="AV562">
        <v>9</v>
      </c>
      <c r="AW562">
        <v>2</v>
      </c>
      <c r="AX562" t="s">
        <v>74</v>
      </c>
      <c r="AY562" t="s">
        <v>74</v>
      </c>
      <c r="AZ562" t="s">
        <v>74</v>
      </c>
      <c r="BA562" t="s">
        <v>74</v>
      </c>
      <c r="BB562" t="s">
        <v>74</v>
      </c>
      <c r="BC562" t="s">
        <v>74</v>
      </c>
      <c r="BD562" t="s">
        <v>4222</v>
      </c>
      <c r="BE562" t="s">
        <v>4223</v>
      </c>
      <c r="BF562" t="str">
        <f>HYPERLINK("http://dx.doi.org/10.1371/journal.pone.0090010","http://dx.doi.org/10.1371/journal.pone.0090010")</f>
        <v>http://dx.doi.org/10.1371/journal.pone.0090010</v>
      </c>
      <c r="BG562" t="s">
        <v>74</v>
      </c>
      <c r="BH562" t="s">
        <v>74</v>
      </c>
      <c r="BI562" t="s">
        <v>74</v>
      </c>
      <c r="BJ562" t="s">
        <v>74</v>
      </c>
      <c r="BK562" t="s">
        <v>74</v>
      </c>
      <c r="BL562" t="s">
        <v>74</v>
      </c>
      <c r="BM562" t="s">
        <v>74</v>
      </c>
      <c r="BN562">
        <v>24587186</v>
      </c>
      <c r="BO562" t="s">
        <v>74</v>
      </c>
      <c r="BP562" t="s">
        <v>74</v>
      </c>
      <c r="BQ562" t="s">
        <v>74</v>
      </c>
      <c r="BR562" t="s">
        <v>74</v>
      </c>
      <c r="BS562" t="s">
        <v>4224</v>
      </c>
      <c r="BT562" t="str">
        <f>HYPERLINK("https%3A%2F%2Fwww.webofscience.com%2Fwos%2Fwoscc%2Ffull-record%2FWOS:000332389000128","View Full Record in Web of Science")</f>
        <v>View Full Record in Web of Science</v>
      </c>
    </row>
    <row r="563" spans="1:72" x14ac:dyDescent="0.2">
      <c r="A563" t="s">
        <v>72</v>
      </c>
      <c r="B563" t="s">
        <v>4225</v>
      </c>
      <c r="C563" t="s">
        <v>74</v>
      </c>
      <c r="D563" t="s">
        <v>74</v>
      </c>
      <c r="E563" t="s">
        <v>74</v>
      </c>
      <c r="F563" t="s">
        <v>4226</v>
      </c>
      <c r="G563" t="s">
        <v>74</v>
      </c>
      <c r="H563" t="s">
        <v>74</v>
      </c>
      <c r="I563" t="s">
        <v>4227</v>
      </c>
      <c r="J563" t="s">
        <v>2827</v>
      </c>
      <c r="K563" t="s">
        <v>74</v>
      </c>
      <c r="L563" t="s">
        <v>74</v>
      </c>
      <c r="M563" t="s">
        <v>74</v>
      </c>
      <c r="N563" t="s">
        <v>74</v>
      </c>
      <c r="O563" t="s">
        <v>74</v>
      </c>
      <c r="P563" t="s">
        <v>74</v>
      </c>
      <c r="Q563" t="s">
        <v>74</v>
      </c>
      <c r="R563" t="s">
        <v>74</v>
      </c>
      <c r="S563" t="s">
        <v>74</v>
      </c>
      <c r="T563" t="s">
        <v>74</v>
      </c>
      <c r="U563" t="s">
        <v>74</v>
      </c>
      <c r="V563" t="s">
        <v>74</v>
      </c>
      <c r="W563" t="s">
        <v>74</v>
      </c>
      <c r="X563" t="s">
        <v>74</v>
      </c>
      <c r="Y563" t="s">
        <v>74</v>
      </c>
      <c r="Z563" t="s">
        <v>74</v>
      </c>
      <c r="AA563" t="s">
        <v>4228</v>
      </c>
      <c r="AB563" t="s">
        <v>4229</v>
      </c>
      <c r="AC563" t="s">
        <v>74</v>
      </c>
      <c r="AD563" t="s">
        <v>74</v>
      </c>
      <c r="AE563" t="s">
        <v>74</v>
      </c>
      <c r="AF563" t="s">
        <v>74</v>
      </c>
      <c r="AG563" t="s">
        <v>74</v>
      </c>
      <c r="AH563" t="s">
        <v>74</v>
      </c>
      <c r="AI563" t="s">
        <v>74</v>
      </c>
      <c r="AJ563" t="s">
        <v>74</v>
      </c>
      <c r="AK563" t="s">
        <v>74</v>
      </c>
      <c r="AL563" t="s">
        <v>74</v>
      </c>
      <c r="AM563" t="s">
        <v>74</v>
      </c>
      <c r="AN563" t="s">
        <v>74</v>
      </c>
      <c r="AO563" t="s">
        <v>2828</v>
      </c>
      <c r="AP563" t="s">
        <v>2829</v>
      </c>
      <c r="AQ563" t="s">
        <v>74</v>
      </c>
      <c r="AR563" t="s">
        <v>74</v>
      </c>
      <c r="AS563" t="s">
        <v>74</v>
      </c>
      <c r="AT563" t="s">
        <v>74</v>
      </c>
      <c r="AU563">
        <v>2014</v>
      </c>
      <c r="AV563">
        <v>510</v>
      </c>
      <c r="AW563" t="s">
        <v>74</v>
      </c>
      <c r="AX563" t="s">
        <v>74</v>
      </c>
      <c r="AY563" t="s">
        <v>74</v>
      </c>
      <c r="AZ563" t="s">
        <v>74</v>
      </c>
      <c r="BA563" t="s">
        <v>74</v>
      </c>
      <c r="BB563">
        <v>15</v>
      </c>
      <c r="BC563">
        <v>24</v>
      </c>
      <c r="BD563" t="s">
        <v>74</v>
      </c>
      <c r="BE563" t="s">
        <v>4230</v>
      </c>
      <c r="BF563" t="str">
        <f>HYPERLINK("http://dx.doi.org/10.3354/meps10918","http://dx.doi.org/10.3354/meps10918")</f>
        <v>http://dx.doi.org/10.3354/meps10918</v>
      </c>
      <c r="BG563" t="s">
        <v>74</v>
      </c>
      <c r="BH563" t="s">
        <v>74</v>
      </c>
      <c r="BI563" t="s">
        <v>74</v>
      </c>
      <c r="BJ563" t="s">
        <v>74</v>
      </c>
      <c r="BK563" t="s">
        <v>74</v>
      </c>
      <c r="BL563" t="s">
        <v>74</v>
      </c>
      <c r="BM563" t="s">
        <v>74</v>
      </c>
      <c r="BN563" t="s">
        <v>74</v>
      </c>
      <c r="BO563" t="s">
        <v>74</v>
      </c>
      <c r="BP563" t="s">
        <v>74</v>
      </c>
      <c r="BQ563" t="s">
        <v>74</v>
      </c>
      <c r="BR563" t="s">
        <v>74</v>
      </c>
      <c r="BS563" t="s">
        <v>4231</v>
      </c>
      <c r="BT563" t="str">
        <f>HYPERLINK("https%3A%2F%2Fwww.webofscience.com%2Fwos%2Fwoscc%2Ffull-record%2FWOS:000342457800002","View Full Record in Web of Science")</f>
        <v>View Full Record in Web of Science</v>
      </c>
    </row>
    <row r="564" spans="1:72" x14ac:dyDescent="0.2">
      <c r="A564" t="s">
        <v>72</v>
      </c>
      <c r="B564" t="s">
        <v>4232</v>
      </c>
      <c r="C564" t="s">
        <v>74</v>
      </c>
      <c r="D564" t="s">
        <v>74</v>
      </c>
      <c r="E564" t="s">
        <v>74</v>
      </c>
      <c r="F564" t="s">
        <v>4233</v>
      </c>
      <c r="G564" t="s">
        <v>74</v>
      </c>
      <c r="H564" t="s">
        <v>74</v>
      </c>
      <c r="I564" t="s">
        <v>4234</v>
      </c>
      <c r="J564" t="s">
        <v>154</v>
      </c>
      <c r="K564" t="s">
        <v>74</v>
      </c>
      <c r="L564" t="s">
        <v>74</v>
      </c>
      <c r="M564" t="s">
        <v>74</v>
      </c>
      <c r="N564" t="s">
        <v>74</v>
      </c>
      <c r="O564" t="s">
        <v>74</v>
      </c>
      <c r="P564" t="s">
        <v>74</v>
      </c>
      <c r="Q564" t="s">
        <v>74</v>
      </c>
      <c r="R564" t="s">
        <v>74</v>
      </c>
      <c r="S564" t="s">
        <v>74</v>
      </c>
      <c r="T564" t="s">
        <v>74</v>
      </c>
      <c r="U564" t="s">
        <v>74</v>
      </c>
      <c r="V564" t="s">
        <v>74</v>
      </c>
      <c r="W564" t="s">
        <v>74</v>
      </c>
      <c r="X564" t="s">
        <v>74</v>
      </c>
      <c r="Y564" t="s">
        <v>74</v>
      </c>
      <c r="Z564" t="s">
        <v>74</v>
      </c>
      <c r="AA564" t="s">
        <v>4159</v>
      </c>
      <c r="AB564" t="s">
        <v>4160</v>
      </c>
      <c r="AC564" t="s">
        <v>74</v>
      </c>
      <c r="AD564" t="s">
        <v>74</v>
      </c>
      <c r="AE564" t="s">
        <v>74</v>
      </c>
      <c r="AF564" t="s">
        <v>74</v>
      </c>
      <c r="AG564" t="s">
        <v>74</v>
      </c>
      <c r="AH564" t="s">
        <v>74</v>
      </c>
      <c r="AI564" t="s">
        <v>74</v>
      </c>
      <c r="AJ564" t="s">
        <v>74</v>
      </c>
      <c r="AK564" t="s">
        <v>74</v>
      </c>
      <c r="AL564" t="s">
        <v>74</v>
      </c>
      <c r="AM564" t="s">
        <v>74</v>
      </c>
      <c r="AN564" t="s">
        <v>74</v>
      </c>
      <c r="AO564" t="s">
        <v>155</v>
      </c>
      <c r="AP564" t="s">
        <v>156</v>
      </c>
      <c r="AQ564" t="s">
        <v>74</v>
      </c>
      <c r="AR564" t="s">
        <v>74</v>
      </c>
      <c r="AS564" t="s">
        <v>74</v>
      </c>
      <c r="AT564" t="s">
        <v>315</v>
      </c>
      <c r="AU564">
        <v>2014</v>
      </c>
      <c r="AV564">
        <v>44</v>
      </c>
      <c r="AW564" t="s">
        <v>74</v>
      </c>
      <c r="AX564" t="s">
        <v>74</v>
      </c>
      <c r="AY564" t="s">
        <v>74</v>
      </c>
      <c r="AZ564" t="s">
        <v>74</v>
      </c>
      <c r="BA564" t="s">
        <v>74</v>
      </c>
      <c r="BB564">
        <v>23</v>
      </c>
      <c r="BC564">
        <v>31</v>
      </c>
      <c r="BD564" t="s">
        <v>74</v>
      </c>
      <c r="BE564" t="s">
        <v>4235</v>
      </c>
      <c r="BF564" t="str">
        <f>HYPERLINK("http://dx.doi.org/10.1016/j.limno.2013.06.002","http://dx.doi.org/10.1016/j.limno.2013.06.002")</f>
        <v>http://dx.doi.org/10.1016/j.limno.2013.06.002</v>
      </c>
      <c r="BG564" t="s">
        <v>74</v>
      </c>
      <c r="BH564" t="s">
        <v>74</v>
      </c>
      <c r="BI564" t="s">
        <v>74</v>
      </c>
      <c r="BJ564" t="s">
        <v>74</v>
      </c>
      <c r="BK564" t="s">
        <v>74</v>
      </c>
      <c r="BL564" t="s">
        <v>74</v>
      </c>
      <c r="BM564" t="s">
        <v>74</v>
      </c>
      <c r="BN564" t="s">
        <v>74</v>
      </c>
      <c r="BO564" t="s">
        <v>74</v>
      </c>
      <c r="BP564" t="s">
        <v>74</v>
      </c>
      <c r="BQ564" t="s">
        <v>74</v>
      </c>
      <c r="BR564" t="s">
        <v>74</v>
      </c>
      <c r="BS564" t="s">
        <v>4236</v>
      </c>
      <c r="BT564" t="str">
        <f>HYPERLINK("https%3A%2F%2Fwww.webofscience.com%2Fwos%2Fwoscc%2Ffull-record%2FWOS:000328721900004","View Full Record in Web of Science")</f>
        <v>View Full Record in Web of Science</v>
      </c>
    </row>
    <row r="565" spans="1:72" x14ac:dyDescent="0.2">
      <c r="A565" t="s">
        <v>72</v>
      </c>
      <c r="B565" t="s">
        <v>4237</v>
      </c>
      <c r="C565" t="s">
        <v>74</v>
      </c>
      <c r="D565" t="s">
        <v>74</v>
      </c>
      <c r="E565" t="s">
        <v>74</v>
      </c>
      <c r="F565" t="s">
        <v>4238</v>
      </c>
      <c r="G565" t="s">
        <v>74</v>
      </c>
      <c r="H565" t="s">
        <v>74</v>
      </c>
      <c r="I565" t="s">
        <v>4239</v>
      </c>
      <c r="J565" t="s">
        <v>4240</v>
      </c>
      <c r="K565" t="s">
        <v>74</v>
      </c>
      <c r="L565" t="s">
        <v>74</v>
      </c>
      <c r="M565" t="s">
        <v>74</v>
      </c>
      <c r="N565" t="s">
        <v>74</v>
      </c>
      <c r="O565" t="s">
        <v>74</v>
      </c>
      <c r="P565" t="s">
        <v>74</v>
      </c>
      <c r="Q565" t="s">
        <v>74</v>
      </c>
      <c r="R565" t="s">
        <v>74</v>
      </c>
      <c r="S565" t="s">
        <v>74</v>
      </c>
      <c r="T565" t="s">
        <v>74</v>
      </c>
      <c r="U565" t="s">
        <v>74</v>
      </c>
      <c r="V565" t="s">
        <v>74</v>
      </c>
      <c r="W565" t="s">
        <v>74</v>
      </c>
      <c r="X565" t="s">
        <v>74</v>
      </c>
      <c r="Y565" t="s">
        <v>74</v>
      </c>
      <c r="Z565" t="s">
        <v>74</v>
      </c>
      <c r="AA565" t="s">
        <v>7091</v>
      </c>
      <c r="AB565" t="s">
        <v>7092</v>
      </c>
      <c r="AC565" t="s">
        <v>74</v>
      </c>
      <c r="AD565" t="s">
        <v>74</v>
      </c>
      <c r="AE565" t="s">
        <v>74</v>
      </c>
      <c r="AF565" t="s">
        <v>74</v>
      </c>
      <c r="AG565" t="s">
        <v>74</v>
      </c>
      <c r="AH565" t="s">
        <v>74</v>
      </c>
      <c r="AI565" t="s">
        <v>74</v>
      </c>
      <c r="AJ565" t="s">
        <v>74</v>
      </c>
      <c r="AK565" t="s">
        <v>74</v>
      </c>
      <c r="AL565" t="s">
        <v>74</v>
      </c>
      <c r="AM565" t="s">
        <v>74</v>
      </c>
      <c r="AN565" t="s">
        <v>74</v>
      </c>
      <c r="AO565" t="s">
        <v>4241</v>
      </c>
      <c r="AP565" t="s">
        <v>4242</v>
      </c>
      <c r="AQ565" t="s">
        <v>74</v>
      </c>
      <c r="AR565" t="s">
        <v>74</v>
      </c>
      <c r="AS565" t="s">
        <v>74</v>
      </c>
      <c r="AT565" t="s">
        <v>74</v>
      </c>
      <c r="AU565">
        <v>2014</v>
      </c>
      <c r="AV565">
        <v>38</v>
      </c>
      <c r="AW565">
        <v>3</v>
      </c>
      <c r="AX565" t="s">
        <v>74</v>
      </c>
      <c r="AY565" t="s">
        <v>74</v>
      </c>
      <c r="AZ565" t="s">
        <v>74</v>
      </c>
      <c r="BA565" t="s">
        <v>74</v>
      </c>
      <c r="BB565">
        <v>347</v>
      </c>
      <c r="BC565">
        <v>353</v>
      </c>
      <c r="BD565" t="s">
        <v>74</v>
      </c>
      <c r="BE565" t="s">
        <v>4243</v>
      </c>
      <c r="BF565" t="str">
        <f>HYPERLINK("http://dx.doi.org/10.3906/zoo-1304-21","http://dx.doi.org/10.3906/zoo-1304-21")</f>
        <v>http://dx.doi.org/10.3906/zoo-1304-21</v>
      </c>
      <c r="BG565" t="s">
        <v>74</v>
      </c>
      <c r="BH565" t="s">
        <v>74</v>
      </c>
      <c r="BI565" t="s">
        <v>74</v>
      </c>
      <c r="BJ565" t="s">
        <v>74</v>
      </c>
      <c r="BK565" t="s">
        <v>74</v>
      </c>
      <c r="BL565" t="s">
        <v>74</v>
      </c>
      <c r="BM565" t="s">
        <v>74</v>
      </c>
      <c r="BN565" t="s">
        <v>74</v>
      </c>
      <c r="BO565" t="s">
        <v>74</v>
      </c>
      <c r="BP565" t="s">
        <v>74</v>
      </c>
      <c r="BQ565" t="s">
        <v>74</v>
      </c>
      <c r="BR565" t="s">
        <v>74</v>
      </c>
      <c r="BS565" t="s">
        <v>4244</v>
      </c>
      <c r="BT565" t="str">
        <f>HYPERLINK("https%3A%2F%2Fwww.webofscience.com%2Fwos%2Fwoscc%2Ffull-record%2FWOS:000332938000011","View Full Record in Web of Science")</f>
        <v>View Full Record in Web of Science</v>
      </c>
    </row>
    <row r="566" spans="1:72" x14ac:dyDescent="0.2">
      <c r="A566" t="s">
        <v>72</v>
      </c>
      <c r="B566" t="s">
        <v>4245</v>
      </c>
      <c r="C566" t="s">
        <v>74</v>
      </c>
      <c r="D566" t="s">
        <v>74</v>
      </c>
      <c r="E566" t="s">
        <v>74</v>
      </c>
      <c r="F566" t="s">
        <v>4246</v>
      </c>
      <c r="G566" t="s">
        <v>74</v>
      </c>
      <c r="H566" t="s">
        <v>74</v>
      </c>
      <c r="I566" t="s">
        <v>4247</v>
      </c>
      <c r="J566" t="s">
        <v>4248</v>
      </c>
      <c r="K566" t="s">
        <v>74</v>
      </c>
      <c r="L566" t="s">
        <v>74</v>
      </c>
      <c r="M566" t="s">
        <v>74</v>
      </c>
      <c r="N566" t="s">
        <v>74</v>
      </c>
      <c r="O566" t="s">
        <v>74</v>
      </c>
      <c r="P566" t="s">
        <v>74</v>
      </c>
      <c r="Q566" t="s">
        <v>74</v>
      </c>
      <c r="R566" t="s">
        <v>74</v>
      </c>
      <c r="S566" t="s">
        <v>74</v>
      </c>
      <c r="T566" t="s">
        <v>74</v>
      </c>
      <c r="U566" t="s">
        <v>74</v>
      </c>
      <c r="V566" t="s">
        <v>74</v>
      </c>
      <c r="W566" t="s">
        <v>74</v>
      </c>
      <c r="X566" t="s">
        <v>74</v>
      </c>
      <c r="Y566" t="s">
        <v>74</v>
      </c>
      <c r="Z566" t="s">
        <v>74</v>
      </c>
      <c r="AA566" t="s">
        <v>7093</v>
      </c>
      <c r="AB566" t="s">
        <v>4249</v>
      </c>
      <c r="AC566" t="s">
        <v>74</v>
      </c>
      <c r="AD566" t="s">
        <v>74</v>
      </c>
      <c r="AE566" t="s">
        <v>74</v>
      </c>
      <c r="AF566" t="s">
        <v>74</v>
      </c>
      <c r="AG566" t="s">
        <v>74</v>
      </c>
      <c r="AH566" t="s">
        <v>74</v>
      </c>
      <c r="AI566" t="s">
        <v>74</v>
      </c>
      <c r="AJ566" t="s">
        <v>74</v>
      </c>
      <c r="AK566" t="s">
        <v>74</v>
      </c>
      <c r="AL566" t="s">
        <v>74</v>
      </c>
      <c r="AM566" t="s">
        <v>74</v>
      </c>
      <c r="AN566" t="s">
        <v>74</v>
      </c>
      <c r="AO566" t="s">
        <v>4250</v>
      </c>
      <c r="AP566" t="s">
        <v>4251</v>
      </c>
      <c r="AQ566" t="s">
        <v>74</v>
      </c>
      <c r="AR566" t="s">
        <v>74</v>
      </c>
      <c r="AS566" t="s">
        <v>74</v>
      </c>
      <c r="AT566" t="s">
        <v>315</v>
      </c>
      <c r="AU566">
        <v>2014</v>
      </c>
      <c r="AV566">
        <v>54</v>
      </c>
      <c r="AW566" t="s">
        <v>74</v>
      </c>
      <c r="AX566" t="s">
        <v>74</v>
      </c>
      <c r="AY566" t="s">
        <v>74</v>
      </c>
      <c r="AZ566" t="s">
        <v>632</v>
      </c>
      <c r="BA566" t="s">
        <v>74</v>
      </c>
      <c r="BB566">
        <v>90</v>
      </c>
      <c r="BC566">
        <v>100</v>
      </c>
      <c r="BD566" t="s">
        <v>74</v>
      </c>
      <c r="BE566" t="s">
        <v>4252</v>
      </c>
      <c r="BF566" t="str">
        <f>HYPERLINK("http://dx.doi.org/10.1016/j.actao.2012.10.002","http://dx.doi.org/10.1016/j.actao.2012.10.002")</f>
        <v>http://dx.doi.org/10.1016/j.actao.2012.10.002</v>
      </c>
      <c r="BG566" t="s">
        <v>74</v>
      </c>
      <c r="BH566" t="s">
        <v>74</v>
      </c>
      <c r="BI566" t="s">
        <v>74</v>
      </c>
      <c r="BJ566" t="s">
        <v>74</v>
      </c>
      <c r="BK566" t="s">
        <v>74</v>
      </c>
      <c r="BL566" t="s">
        <v>74</v>
      </c>
      <c r="BM566" t="s">
        <v>74</v>
      </c>
      <c r="BN566" t="s">
        <v>74</v>
      </c>
      <c r="BO566" t="s">
        <v>74</v>
      </c>
      <c r="BP566" t="s">
        <v>74</v>
      </c>
      <c r="BQ566" t="s">
        <v>74</v>
      </c>
      <c r="BR566" t="s">
        <v>74</v>
      </c>
      <c r="BS566" t="s">
        <v>4253</v>
      </c>
      <c r="BT566" t="str">
        <f>HYPERLINK("https%3A%2F%2Fwww.webofscience.com%2Fwos%2Fwoscc%2Ffull-record%2FWOS:000331430000013","View Full Record in Web of Science")</f>
        <v>View Full Record in Web of Science</v>
      </c>
    </row>
    <row r="567" spans="1:72" x14ac:dyDescent="0.2">
      <c r="A567" t="s">
        <v>72</v>
      </c>
      <c r="B567" t="s">
        <v>4254</v>
      </c>
      <c r="C567" t="s">
        <v>74</v>
      </c>
      <c r="D567" t="s">
        <v>74</v>
      </c>
      <c r="E567" t="s">
        <v>74</v>
      </c>
      <c r="F567" t="s">
        <v>4255</v>
      </c>
      <c r="G567" t="s">
        <v>74</v>
      </c>
      <c r="H567" t="s">
        <v>74</v>
      </c>
      <c r="I567" t="s">
        <v>4256</v>
      </c>
      <c r="J567" t="s">
        <v>88</v>
      </c>
      <c r="K567" t="s">
        <v>74</v>
      </c>
      <c r="L567" t="s">
        <v>74</v>
      </c>
      <c r="M567" t="s">
        <v>74</v>
      </c>
      <c r="N567" t="s">
        <v>74</v>
      </c>
      <c r="O567" t="s">
        <v>74</v>
      </c>
      <c r="P567" t="s">
        <v>74</v>
      </c>
      <c r="Q567" t="s">
        <v>74</v>
      </c>
      <c r="R567" t="s">
        <v>74</v>
      </c>
      <c r="S567" t="s">
        <v>74</v>
      </c>
      <c r="T567" t="s">
        <v>74</v>
      </c>
      <c r="U567" t="s">
        <v>74</v>
      </c>
      <c r="V567" t="s">
        <v>74</v>
      </c>
      <c r="W567" t="s">
        <v>74</v>
      </c>
      <c r="X567" t="s">
        <v>74</v>
      </c>
      <c r="Y567" t="s">
        <v>74</v>
      </c>
      <c r="Z567" t="s">
        <v>74</v>
      </c>
      <c r="AA567" t="s">
        <v>4257</v>
      </c>
      <c r="AB567" t="s">
        <v>4258</v>
      </c>
      <c r="AC567" t="s">
        <v>74</v>
      </c>
      <c r="AD567" t="s">
        <v>74</v>
      </c>
      <c r="AE567" t="s">
        <v>74</v>
      </c>
      <c r="AF567" t="s">
        <v>74</v>
      </c>
      <c r="AG567" t="s">
        <v>74</v>
      </c>
      <c r="AH567" t="s">
        <v>74</v>
      </c>
      <c r="AI567" t="s">
        <v>74</v>
      </c>
      <c r="AJ567" t="s">
        <v>74</v>
      </c>
      <c r="AK567" t="s">
        <v>74</v>
      </c>
      <c r="AL567" t="s">
        <v>74</v>
      </c>
      <c r="AM567" t="s">
        <v>74</v>
      </c>
      <c r="AN567" t="s">
        <v>74</v>
      </c>
      <c r="AO567" t="s">
        <v>89</v>
      </c>
      <c r="AP567" t="s">
        <v>90</v>
      </c>
      <c r="AQ567" t="s">
        <v>74</v>
      </c>
      <c r="AR567" t="s">
        <v>74</v>
      </c>
      <c r="AS567" t="s">
        <v>74</v>
      </c>
      <c r="AT567" t="s">
        <v>315</v>
      </c>
      <c r="AU567">
        <v>2014</v>
      </c>
      <c r="AV567">
        <v>71</v>
      </c>
      <c r="AW567">
        <v>1</v>
      </c>
      <c r="AX567" t="s">
        <v>74</v>
      </c>
      <c r="AY567" t="s">
        <v>74</v>
      </c>
      <c r="AZ567" t="s">
        <v>74</v>
      </c>
      <c r="BA567" t="s">
        <v>74</v>
      </c>
      <c r="BB567">
        <v>93</v>
      </c>
      <c r="BC567">
        <v>105</v>
      </c>
      <c r="BD567" t="s">
        <v>74</v>
      </c>
      <c r="BE567" t="s">
        <v>4259</v>
      </c>
      <c r="BF567" t="str">
        <f>HYPERLINK("http://dx.doi.org/10.1139/cjfas-2013-0282","http://dx.doi.org/10.1139/cjfas-2013-0282")</f>
        <v>http://dx.doi.org/10.1139/cjfas-2013-0282</v>
      </c>
      <c r="BG567" t="s">
        <v>74</v>
      </c>
      <c r="BH567" t="s">
        <v>74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 t="s">
        <v>74</v>
      </c>
      <c r="BR567" t="s">
        <v>74</v>
      </c>
      <c r="BS567" t="s">
        <v>4260</v>
      </c>
      <c r="BT567" t="str">
        <f>HYPERLINK("https%3A%2F%2Fwww.webofscience.com%2Fwos%2Fwoscc%2Ffull-record%2FWOS:000329217900009","View Full Record in Web of Science")</f>
        <v>View Full Record in Web of Science</v>
      </c>
    </row>
    <row r="568" spans="1:72" x14ac:dyDescent="0.2">
      <c r="A568" t="s">
        <v>72</v>
      </c>
      <c r="B568" t="s">
        <v>4261</v>
      </c>
      <c r="C568" t="s">
        <v>74</v>
      </c>
      <c r="D568" t="s">
        <v>74</v>
      </c>
      <c r="E568" t="s">
        <v>74</v>
      </c>
      <c r="F568" t="s">
        <v>4262</v>
      </c>
      <c r="G568" t="s">
        <v>74</v>
      </c>
      <c r="H568" t="s">
        <v>74</v>
      </c>
      <c r="I568" t="s">
        <v>4263</v>
      </c>
      <c r="J568" t="s">
        <v>4264</v>
      </c>
      <c r="K568" t="s">
        <v>74</v>
      </c>
      <c r="L568" t="s">
        <v>74</v>
      </c>
      <c r="M568" t="s">
        <v>74</v>
      </c>
      <c r="N568" t="s">
        <v>74</v>
      </c>
      <c r="O568" t="s">
        <v>74</v>
      </c>
      <c r="P568" t="s">
        <v>74</v>
      </c>
      <c r="Q568" t="s">
        <v>74</v>
      </c>
      <c r="R568" t="s">
        <v>74</v>
      </c>
      <c r="S568" t="s">
        <v>74</v>
      </c>
      <c r="T568" t="s">
        <v>74</v>
      </c>
      <c r="U568" t="s">
        <v>74</v>
      </c>
      <c r="V568" t="s">
        <v>74</v>
      </c>
      <c r="W568" t="s">
        <v>74</v>
      </c>
      <c r="X568" t="s">
        <v>74</v>
      </c>
      <c r="Y568" t="s">
        <v>74</v>
      </c>
      <c r="Z568" t="s">
        <v>74</v>
      </c>
      <c r="AA568" t="s">
        <v>74</v>
      </c>
      <c r="AB568" t="s">
        <v>4265</v>
      </c>
      <c r="AC568" t="s">
        <v>74</v>
      </c>
      <c r="AD568" t="s">
        <v>74</v>
      </c>
      <c r="AE568" t="s">
        <v>74</v>
      </c>
      <c r="AF568" t="s">
        <v>74</v>
      </c>
      <c r="AG568" t="s">
        <v>74</v>
      </c>
      <c r="AH568" t="s">
        <v>74</v>
      </c>
      <c r="AI568" t="s">
        <v>74</v>
      </c>
      <c r="AJ568" t="s">
        <v>74</v>
      </c>
      <c r="AK568" t="s">
        <v>74</v>
      </c>
      <c r="AL568" t="s">
        <v>74</v>
      </c>
      <c r="AM568" t="s">
        <v>74</v>
      </c>
      <c r="AN568" t="s">
        <v>74</v>
      </c>
      <c r="AO568" t="s">
        <v>4266</v>
      </c>
      <c r="AP568" t="s">
        <v>4267</v>
      </c>
      <c r="AQ568" t="s">
        <v>74</v>
      </c>
      <c r="AR568" t="s">
        <v>74</v>
      </c>
      <c r="AS568" t="s">
        <v>74</v>
      </c>
      <c r="AT568" t="s">
        <v>74</v>
      </c>
      <c r="AU568">
        <v>2014</v>
      </c>
      <c r="AV568">
        <v>33</v>
      </c>
      <c r="AW568" t="s">
        <v>74</v>
      </c>
      <c r="AX568" t="s">
        <v>74</v>
      </c>
      <c r="AY568" t="s">
        <v>74</v>
      </c>
      <c r="AZ568" t="s">
        <v>74</v>
      </c>
      <c r="BA568" t="s">
        <v>74</v>
      </c>
      <c r="BB568" t="s">
        <v>74</v>
      </c>
      <c r="BC568" t="s">
        <v>74</v>
      </c>
      <c r="BD568">
        <v>23466</v>
      </c>
      <c r="BE568" t="s">
        <v>4268</v>
      </c>
      <c r="BF568" t="str">
        <f>HYPERLINK("http://dx.doi.org/10.3402/polar.v33.23466","http://dx.doi.org/10.3402/polar.v33.23466")</f>
        <v>http://dx.doi.org/10.3402/polar.v33.23466</v>
      </c>
      <c r="BG568" t="s">
        <v>74</v>
      </c>
      <c r="BH568" t="s">
        <v>74</v>
      </c>
      <c r="BI568" t="s">
        <v>74</v>
      </c>
      <c r="BJ568" t="s">
        <v>74</v>
      </c>
      <c r="BK568" t="s">
        <v>74</v>
      </c>
      <c r="BL568" t="s">
        <v>74</v>
      </c>
      <c r="BM568" t="s">
        <v>74</v>
      </c>
      <c r="BN568" t="s">
        <v>74</v>
      </c>
      <c r="BO568" t="s">
        <v>74</v>
      </c>
      <c r="BP568" t="s">
        <v>74</v>
      </c>
      <c r="BQ568" t="s">
        <v>74</v>
      </c>
      <c r="BR568" t="s">
        <v>74</v>
      </c>
      <c r="BS568" t="s">
        <v>4269</v>
      </c>
      <c r="BT568" t="str">
        <f>HYPERLINK("https%3A%2F%2Fwww.webofscience.com%2Fwos%2Fwoscc%2Ffull-record%2FWOS:000344481000001","View Full Record in Web of Science")</f>
        <v>View Full Record in Web of Science</v>
      </c>
    </row>
    <row r="569" spans="1:72" x14ac:dyDescent="0.2">
      <c r="A569" t="s">
        <v>72</v>
      </c>
      <c r="B569" t="s">
        <v>4270</v>
      </c>
      <c r="C569" t="s">
        <v>74</v>
      </c>
      <c r="D569" t="s">
        <v>74</v>
      </c>
      <c r="E569" t="s">
        <v>74</v>
      </c>
      <c r="F569" t="s">
        <v>4271</v>
      </c>
      <c r="G569" t="s">
        <v>74</v>
      </c>
      <c r="H569" t="s">
        <v>74</v>
      </c>
      <c r="I569" t="s">
        <v>4272</v>
      </c>
      <c r="J569" t="s">
        <v>2020</v>
      </c>
      <c r="K569" t="s">
        <v>74</v>
      </c>
      <c r="L569" t="s">
        <v>74</v>
      </c>
      <c r="M569" t="s">
        <v>74</v>
      </c>
      <c r="N569" t="s">
        <v>74</v>
      </c>
      <c r="O569" t="s">
        <v>74</v>
      </c>
      <c r="P569" t="s">
        <v>74</v>
      </c>
      <c r="Q569" t="s">
        <v>74</v>
      </c>
      <c r="R569" t="s">
        <v>74</v>
      </c>
      <c r="S569" t="s">
        <v>74</v>
      </c>
      <c r="T569" t="s">
        <v>74</v>
      </c>
      <c r="U569" t="s">
        <v>74</v>
      </c>
      <c r="V569" t="s">
        <v>74</v>
      </c>
      <c r="W569" t="s">
        <v>74</v>
      </c>
      <c r="X569" t="s">
        <v>74</v>
      </c>
      <c r="Y569" t="s">
        <v>74</v>
      </c>
      <c r="Z569" t="s">
        <v>74</v>
      </c>
      <c r="AA569" t="s">
        <v>4273</v>
      </c>
      <c r="AB569" t="s">
        <v>4274</v>
      </c>
      <c r="AC569" t="s">
        <v>74</v>
      </c>
      <c r="AD569" t="s">
        <v>74</v>
      </c>
      <c r="AE569" t="s">
        <v>74</v>
      </c>
      <c r="AF569" t="s">
        <v>74</v>
      </c>
      <c r="AG569" t="s">
        <v>74</v>
      </c>
      <c r="AH569" t="s">
        <v>74</v>
      </c>
      <c r="AI569" t="s">
        <v>74</v>
      </c>
      <c r="AJ569" t="s">
        <v>74</v>
      </c>
      <c r="AK569" t="s">
        <v>74</v>
      </c>
      <c r="AL569" t="s">
        <v>74</v>
      </c>
      <c r="AM569" t="s">
        <v>74</v>
      </c>
      <c r="AN569" t="s">
        <v>74</v>
      </c>
      <c r="AO569" t="s">
        <v>2022</v>
      </c>
      <c r="AP569" t="s">
        <v>2023</v>
      </c>
      <c r="AQ569" t="s">
        <v>74</v>
      </c>
      <c r="AR569" t="s">
        <v>74</v>
      </c>
      <c r="AS569" t="s">
        <v>74</v>
      </c>
      <c r="AT569" t="s">
        <v>74</v>
      </c>
      <c r="AU569">
        <v>2014</v>
      </c>
      <c r="AV569">
        <v>29</v>
      </c>
      <c r="AW569">
        <v>4</v>
      </c>
      <c r="AX569" t="s">
        <v>74</v>
      </c>
      <c r="AY569" t="s">
        <v>74</v>
      </c>
      <c r="AZ569" t="s">
        <v>74</v>
      </c>
      <c r="BA569" t="s">
        <v>74</v>
      </c>
      <c r="BB569">
        <v>423</v>
      </c>
      <c r="BC569">
        <v>440</v>
      </c>
      <c r="BD569" t="s">
        <v>74</v>
      </c>
      <c r="BE569" t="s">
        <v>4275</v>
      </c>
      <c r="BF569" t="str">
        <f>HYPERLINK("http://dx.doi.org/10.1080/0269249X.2014.922125","http://dx.doi.org/10.1080/0269249X.2014.922125")</f>
        <v>http://dx.doi.org/10.1080/0269249X.2014.922125</v>
      </c>
      <c r="BG569" t="s">
        <v>74</v>
      </c>
      <c r="BH569" t="s">
        <v>74</v>
      </c>
      <c r="BI569" t="s">
        <v>74</v>
      </c>
      <c r="BJ569" t="s">
        <v>74</v>
      </c>
      <c r="BK569" t="s">
        <v>74</v>
      </c>
      <c r="BL569" t="s">
        <v>74</v>
      </c>
      <c r="BM569" t="s">
        <v>74</v>
      </c>
      <c r="BN569" t="s">
        <v>74</v>
      </c>
      <c r="BO569" t="s">
        <v>74</v>
      </c>
      <c r="BP569" t="s">
        <v>74</v>
      </c>
      <c r="BQ569" t="s">
        <v>74</v>
      </c>
      <c r="BR569" t="s">
        <v>74</v>
      </c>
      <c r="BS569" t="s">
        <v>4276</v>
      </c>
      <c r="BT569" t="str">
        <f>HYPERLINK("https%3A%2F%2Fwww.webofscience.com%2Fwos%2Fwoscc%2Ffull-record%2FWOS:000340134900009","View Full Record in Web of Science")</f>
        <v>View Full Record in Web of Science</v>
      </c>
    </row>
    <row r="570" spans="1:72" x14ac:dyDescent="0.2">
      <c r="A570" t="s">
        <v>72</v>
      </c>
      <c r="B570" t="s">
        <v>4277</v>
      </c>
      <c r="C570" t="s">
        <v>74</v>
      </c>
      <c r="D570" t="s">
        <v>74</v>
      </c>
      <c r="E570" t="s">
        <v>74</v>
      </c>
      <c r="F570" t="s">
        <v>4278</v>
      </c>
      <c r="G570" t="s">
        <v>74</v>
      </c>
      <c r="H570" t="s">
        <v>74</v>
      </c>
      <c r="I570" t="s">
        <v>4279</v>
      </c>
      <c r="J570" t="s">
        <v>227</v>
      </c>
      <c r="K570" t="s">
        <v>74</v>
      </c>
      <c r="L570" t="s">
        <v>74</v>
      </c>
      <c r="M570" t="s">
        <v>74</v>
      </c>
      <c r="N570" t="s">
        <v>74</v>
      </c>
      <c r="O570" t="s">
        <v>74</v>
      </c>
      <c r="P570" t="s">
        <v>74</v>
      </c>
      <c r="Q570" t="s">
        <v>74</v>
      </c>
      <c r="R570" t="s">
        <v>74</v>
      </c>
      <c r="S570" t="s">
        <v>74</v>
      </c>
      <c r="T570" t="s">
        <v>74</v>
      </c>
      <c r="U570" t="s">
        <v>74</v>
      </c>
      <c r="V570" t="s">
        <v>74</v>
      </c>
      <c r="W570" t="s">
        <v>74</v>
      </c>
      <c r="X570" t="s">
        <v>74</v>
      </c>
      <c r="Y570" t="s">
        <v>74</v>
      </c>
      <c r="Z570" t="s">
        <v>74</v>
      </c>
      <c r="AA570" t="s">
        <v>7094</v>
      </c>
      <c r="AB570" t="s">
        <v>7095</v>
      </c>
      <c r="AC570" t="s">
        <v>74</v>
      </c>
      <c r="AD570" t="s">
        <v>74</v>
      </c>
      <c r="AE570" t="s">
        <v>74</v>
      </c>
      <c r="AF570" t="s">
        <v>74</v>
      </c>
      <c r="AG570" t="s">
        <v>74</v>
      </c>
      <c r="AH570" t="s">
        <v>74</v>
      </c>
      <c r="AI570" t="s">
        <v>74</v>
      </c>
      <c r="AJ570" t="s">
        <v>74</v>
      </c>
      <c r="AK570" t="s">
        <v>74</v>
      </c>
      <c r="AL570" t="s">
        <v>74</v>
      </c>
      <c r="AM570" t="s">
        <v>74</v>
      </c>
      <c r="AN570" t="s">
        <v>74</v>
      </c>
      <c r="AO570" t="s">
        <v>230</v>
      </c>
      <c r="AP570" t="s">
        <v>231</v>
      </c>
      <c r="AQ570" t="s">
        <v>74</v>
      </c>
      <c r="AR570" t="s">
        <v>74</v>
      </c>
      <c r="AS570" t="s">
        <v>74</v>
      </c>
      <c r="AT570" t="s">
        <v>315</v>
      </c>
      <c r="AU570">
        <v>2014</v>
      </c>
      <c r="AV570">
        <v>59</v>
      </c>
      <c r="AW570">
        <v>1</v>
      </c>
      <c r="AX570" t="s">
        <v>74</v>
      </c>
      <c r="AY570" t="s">
        <v>74</v>
      </c>
      <c r="AZ570" t="s">
        <v>74</v>
      </c>
      <c r="BA570" t="s">
        <v>74</v>
      </c>
      <c r="BB570">
        <v>79</v>
      </c>
      <c r="BC570">
        <v>86</v>
      </c>
      <c r="BD570" t="s">
        <v>74</v>
      </c>
      <c r="BE570" t="s">
        <v>4280</v>
      </c>
      <c r="BF570" t="str">
        <f>HYPERLINK("http://dx.doi.org/10.4319/lo.2014.59.1.0079","http://dx.doi.org/10.4319/lo.2014.59.1.0079")</f>
        <v>http://dx.doi.org/10.4319/lo.2014.59.1.0079</v>
      </c>
      <c r="BG570" t="s">
        <v>74</v>
      </c>
      <c r="BH570" t="s">
        <v>74</v>
      </c>
      <c r="BI570" t="s">
        <v>74</v>
      </c>
      <c r="BJ570" t="s">
        <v>74</v>
      </c>
      <c r="BK570" t="s">
        <v>74</v>
      </c>
      <c r="BL570" t="s">
        <v>74</v>
      </c>
      <c r="BM570" t="s">
        <v>74</v>
      </c>
      <c r="BN570" t="s">
        <v>74</v>
      </c>
      <c r="BO570" t="s">
        <v>74</v>
      </c>
      <c r="BP570" t="s">
        <v>74</v>
      </c>
      <c r="BQ570" t="s">
        <v>74</v>
      </c>
      <c r="BR570" t="s">
        <v>74</v>
      </c>
      <c r="BS570" t="s">
        <v>4281</v>
      </c>
      <c r="BT570" t="str">
        <f>HYPERLINK("https%3A%2F%2Fwww.webofscience.com%2Fwos%2Fwoscc%2Ffull-record%2FWOS:000339901800007","View Full Record in Web of Science")</f>
        <v>View Full Record in Web of Science</v>
      </c>
    </row>
    <row r="571" spans="1:72" x14ac:dyDescent="0.2">
      <c r="A571" t="s">
        <v>72</v>
      </c>
      <c r="B571" t="s">
        <v>4282</v>
      </c>
      <c r="C571" t="s">
        <v>74</v>
      </c>
      <c r="D571" t="s">
        <v>74</v>
      </c>
      <c r="E571" t="s">
        <v>74</v>
      </c>
      <c r="F571" t="s">
        <v>4283</v>
      </c>
      <c r="G571" t="s">
        <v>74</v>
      </c>
      <c r="H571" t="s">
        <v>74</v>
      </c>
      <c r="I571" t="s">
        <v>4284</v>
      </c>
      <c r="J571" t="s">
        <v>1543</v>
      </c>
      <c r="K571" t="s">
        <v>74</v>
      </c>
      <c r="L571" t="s">
        <v>74</v>
      </c>
      <c r="M571" t="s">
        <v>74</v>
      </c>
      <c r="N571" t="s">
        <v>74</v>
      </c>
      <c r="O571" t="s">
        <v>74</v>
      </c>
      <c r="P571" t="s">
        <v>74</v>
      </c>
      <c r="Q571" t="s">
        <v>74</v>
      </c>
      <c r="R571" t="s">
        <v>74</v>
      </c>
      <c r="S571" t="s">
        <v>74</v>
      </c>
      <c r="T571" t="s">
        <v>74</v>
      </c>
      <c r="U571" t="s">
        <v>74</v>
      </c>
      <c r="V571" t="s">
        <v>74</v>
      </c>
      <c r="W571" t="s">
        <v>74</v>
      </c>
      <c r="X571" t="s">
        <v>74</v>
      </c>
      <c r="Y571" t="s">
        <v>74</v>
      </c>
      <c r="Z571" t="s">
        <v>74</v>
      </c>
      <c r="AA571" t="s">
        <v>4285</v>
      </c>
      <c r="AB571" t="s">
        <v>4286</v>
      </c>
      <c r="AC571" t="s">
        <v>74</v>
      </c>
      <c r="AD571" t="s">
        <v>74</v>
      </c>
      <c r="AE571" t="s">
        <v>74</v>
      </c>
      <c r="AF571" t="s">
        <v>74</v>
      </c>
      <c r="AG571" t="s">
        <v>74</v>
      </c>
      <c r="AH571" t="s">
        <v>74</v>
      </c>
      <c r="AI571" t="s">
        <v>74</v>
      </c>
      <c r="AJ571" t="s">
        <v>74</v>
      </c>
      <c r="AK571" t="s">
        <v>74</v>
      </c>
      <c r="AL571" t="s">
        <v>74</v>
      </c>
      <c r="AM571" t="s">
        <v>74</v>
      </c>
      <c r="AN571" t="s">
        <v>74</v>
      </c>
      <c r="AO571" t="s">
        <v>1545</v>
      </c>
      <c r="AP571" t="s">
        <v>1546</v>
      </c>
      <c r="AQ571" t="s">
        <v>74</v>
      </c>
      <c r="AR571" t="s">
        <v>74</v>
      </c>
      <c r="AS571" t="s">
        <v>74</v>
      </c>
      <c r="AT571" t="s">
        <v>74</v>
      </c>
      <c r="AU571">
        <v>2014</v>
      </c>
      <c r="AV571">
        <v>4</v>
      </c>
      <c r="AW571">
        <v>1</v>
      </c>
      <c r="AX571" t="s">
        <v>74</v>
      </c>
      <c r="AY571" t="s">
        <v>74</v>
      </c>
      <c r="AZ571" t="s">
        <v>74</v>
      </c>
      <c r="BA571" t="s">
        <v>74</v>
      </c>
      <c r="BB571">
        <v>15</v>
      </c>
      <c r="BC571">
        <v>26</v>
      </c>
      <c r="BD571" t="s">
        <v>74</v>
      </c>
      <c r="BE571" t="s">
        <v>4287</v>
      </c>
      <c r="BF571" t="str">
        <f>HYPERLINK("http://dx.doi.org/10.5268/IW-4.1.686","http://dx.doi.org/10.5268/IW-4.1.686")</f>
        <v>http://dx.doi.org/10.5268/IW-4.1.686</v>
      </c>
      <c r="BG571" t="s">
        <v>74</v>
      </c>
      <c r="BH571" t="s">
        <v>74</v>
      </c>
      <c r="BI571" t="s">
        <v>74</v>
      </c>
      <c r="BJ571" t="s">
        <v>74</v>
      </c>
      <c r="BK571" t="s">
        <v>74</v>
      </c>
      <c r="BL571" t="s">
        <v>74</v>
      </c>
      <c r="BM571" t="s">
        <v>74</v>
      </c>
      <c r="BN571" t="s">
        <v>74</v>
      </c>
      <c r="BO571" t="s">
        <v>74</v>
      </c>
      <c r="BP571" t="s">
        <v>74</v>
      </c>
      <c r="BQ571" t="s">
        <v>74</v>
      </c>
      <c r="BR571" t="s">
        <v>74</v>
      </c>
      <c r="BS571" t="s">
        <v>4288</v>
      </c>
      <c r="BT571" t="str">
        <f>HYPERLINK("https%3A%2F%2Fwww.webofscience.com%2Fwos%2Fwoscc%2Ffull-record%2FWOS:000329978100002","View Full Record in Web of Science")</f>
        <v>View Full Record in Web of Science</v>
      </c>
    </row>
    <row r="572" spans="1:72" x14ac:dyDescent="0.2">
      <c r="A572" t="s">
        <v>72</v>
      </c>
      <c r="B572" t="s">
        <v>4289</v>
      </c>
      <c r="C572" t="s">
        <v>74</v>
      </c>
      <c r="D572" t="s">
        <v>74</v>
      </c>
      <c r="E572" t="s">
        <v>74</v>
      </c>
      <c r="F572" t="s">
        <v>4290</v>
      </c>
      <c r="G572" t="s">
        <v>74</v>
      </c>
      <c r="H572" t="s">
        <v>74</v>
      </c>
      <c r="I572" t="s">
        <v>4291</v>
      </c>
      <c r="J572" t="s">
        <v>4292</v>
      </c>
      <c r="K572" t="s">
        <v>74</v>
      </c>
      <c r="L572" t="s">
        <v>74</v>
      </c>
      <c r="M572" t="s">
        <v>74</v>
      </c>
      <c r="N572" t="s">
        <v>74</v>
      </c>
      <c r="O572" t="s">
        <v>74</v>
      </c>
      <c r="P572" t="s">
        <v>74</v>
      </c>
      <c r="Q572" t="s">
        <v>74</v>
      </c>
      <c r="R572" t="s">
        <v>74</v>
      </c>
      <c r="S572" t="s">
        <v>74</v>
      </c>
      <c r="T572" t="s">
        <v>74</v>
      </c>
      <c r="U572" t="s">
        <v>74</v>
      </c>
      <c r="V572" t="s">
        <v>74</v>
      </c>
      <c r="W572" t="s">
        <v>74</v>
      </c>
      <c r="X572" t="s">
        <v>74</v>
      </c>
      <c r="Y572" t="s">
        <v>74</v>
      </c>
      <c r="Z572" t="s">
        <v>74</v>
      </c>
      <c r="AA572" t="s">
        <v>4293</v>
      </c>
      <c r="AB572" t="s">
        <v>4294</v>
      </c>
      <c r="AC572" t="s">
        <v>74</v>
      </c>
      <c r="AD572" t="s">
        <v>74</v>
      </c>
      <c r="AE572" t="s">
        <v>74</v>
      </c>
      <c r="AF572" t="s">
        <v>74</v>
      </c>
      <c r="AG572" t="s">
        <v>74</v>
      </c>
      <c r="AH572" t="s">
        <v>74</v>
      </c>
      <c r="AI572" t="s">
        <v>74</v>
      </c>
      <c r="AJ572" t="s">
        <v>74</v>
      </c>
      <c r="AK572" t="s">
        <v>74</v>
      </c>
      <c r="AL572" t="s">
        <v>74</v>
      </c>
      <c r="AM572" t="s">
        <v>74</v>
      </c>
      <c r="AN572" t="s">
        <v>74</v>
      </c>
      <c r="AO572" t="s">
        <v>4295</v>
      </c>
      <c r="AP572" t="s">
        <v>4296</v>
      </c>
      <c r="AQ572" t="s">
        <v>74</v>
      </c>
      <c r="AR572" t="s">
        <v>74</v>
      </c>
      <c r="AS572" t="s">
        <v>74</v>
      </c>
      <c r="AT572" t="s">
        <v>74</v>
      </c>
      <c r="AU572">
        <v>2014</v>
      </c>
      <c r="AV572">
        <v>6</v>
      </c>
      <c r="AW572">
        <v>1</v>
      </c>
      <c r="AX572" t="s">
        <v>74</v>
      </c>
      <c r="AY572" t="s">
        <v>74</v>
      </c>
      <c r="AZ572" t="s">
        <v>74</v>
      </c>
      <c r="BA572" t="s">
        <v>74</v>
      </c>
      <c r="BB572">
        <v>11</v>
      </c>
      <c r="BC572">
        <v>27</v>
      </c>
      <c r="BD572" t="s">
        <v>74</v>
      </c>
      <c r="BE572" t="s">
        <v>4297</v>
      </c>
      <c r="BF572" t="str">
        <f>HYPERLINK("http://dx.doi.org/10.3354/aei00114","http://dx.doi.org/10.3354/aei00114")</f>
        <v>http://dx.doi.org/10.3354/aei00114</v>
      </c>
      <c r="BG572" t="s">
        <v>74</v>
      </c>
      <c r="BH572" t="s">
        <v>74</v>
      </c>
      <c r="BI572" t="s">
        <v>74</v>
      </c>
      <c r="BJ572" t="s">
        <v>74</v>
      </c>
      <c r="BK572" t="s">
        <v>74</v>
      </c>
      <c r="BL572" t="s">
        <v>74</v>
      </c>
      <c r="BM572" t="s">
        <v>74</v>
      </c>
      <c r="BN572" t="s">
        <v>74</v>
      </c>
      <c r="BO572" t="s">
        <v>74</v>
      </c>
      <c r="BP572" t="s">
        <v>74</v>
      </c>
      <c r="BQ572" t="s">
        <v>74</v>
      </c>
      <c r="BR572" t="s">
        <v>74</v>
      </c>
      <c r="BS572" t="s">
        <v>4298</v>
      </c>
      <c r="BT572" t="str">
        <f>HYPERLINK("https%3A%2F%2Fwww.webofscience.com%2Fwos%2Fwoscc%2Ffull-record%2FWOS:000346418600002","View Full Record in Web of Science")</f>
        <v>View Full Record in Web of Science</v>
      </c>
    </row>
    <row r="573" spans="1:72" x14ac:dyDescent="0.2">
      <c r="A573" t="s">
        <v>72</v>
      </c>
      <c r="B573" t="s">
        <v>4299</v>
      </c>
      <c r="C573" t="s">
        <v>74</v>
      </c>
      <c r="D573" t="s">
        <v>74</v>
      </c>
      <c r="E573" t="s">
        <v>74</v>
      </c>
      <c r="F573" t="s">
        <v>4300</v>
      </c>
      <c r="G573" t="s">
        <v>74</v>
      </c>
      <c r="H573" t="s">
        <v>74</v>
      </c>
      <c r="I573" t="s">
        <v>4301</v>
      </c>
      <c r="J573" t="s">
        <v>227</v>
      </c>
      <c r="K573" t="s">
        <v>74</v>
      </c>
      <c r="L573" t="s">
        <v>74</v>
      </c>
      <c r="M573" t="s">
        <v>74</v>
      </c>
      <c r="N573" t="s">
        <v>74</v>
      </c>
      <c r="O573" t="s">
        <v>74</v>
      </c>
      <c r="P573" t="s">
        <v>74</v>
      </c>
      <c r="Q573" t="s">
        <v>74</v>
      </c>
      <c r="R573" t="s">
        <v>74</v>
      </c>
      <c r="S573" t="s">
        <v>74</v>
      </c>
      <c r="T573" t="s">
        <v>74</v>
      </c>
      <c r="U573" t="s">
        <v>74</v>
      </c>
      <c r="V573" t="s">
        <v>74</v>
      </c>
      <c r="W573" t="s">
        <v>74</v>
      </c>
      <c r="X573" t="s">
        <v>74</v>
      </c>
      <c r="Y573" t="s">
        <v>74</v>
      </c>
      <c r="Z573" t="s">
        <v>74</v>
      </c>
      <c r="AA573" t="s">
        <v>7096</v>
      </c>
      <c r="AB573" t="s">
        <v>4302</v>
      </c>
      <c r="AC573" t="s">
        <v>74</v>
      </c>
      <c r="AD573" t="s">
        <v>74</v>
      </c>
      <c r="AE573" t="s">
        <v>74</v>
      </c>
      <c r="AF573" t="s">
        <v>74</v>
      </c>
      <c r="AG573" t="s">
        <v>74</v>
      </c>
      <c r="AH573" t="s">
        <v>74</v>
      </c>
      <c r="AI573" t="s">
        <v>74</v>
      </c>
      <c r="AJ573" t="s">
        <v>74</v>
      </c>
      <c r="AK573" t="s">
        <v>74</v>
      </c>
      <c r="AL573" t="s">
        <v>74</v>
      </c>
      <c r="AM573" t="s">
        <v>74</v>
      </c>
      <c r="AN573" t="s">
        <v>74</v>
      </c>
      <c r="AO573" t="s">
        <v>230</v>
      </c>
      <c r="AP573" t="s">
        <v>231</v>
      </c>
      <c r="AQ573" t="s">
        <v>74</v>
      </c>
      <c r="AR573" t="s">
        <v>74</v>
      </c>
      <c r="AS573" t="s">
        <v>74</v>
      </c>
      <c r="AT573" t="s">
        <v>315</v>
      </c>
      <c r="AU573">
        <v>2014</v>
      </c>
      <c r="AV573">
        <v>59</v>
      </c>
      <c r="AW573">
        <v>1</v>
      </c>
      <c r="AX573" t="s">
        <v>74</v>
      </c>
      <c r="AY573" t="s">
        <v>74</v>
      </c>
      <c r="AZ573" t="s">
        <v>74</v>
      </c>
      <c r="BA573" t="s">
        <v>74</v>
      </c>
      <c r="BB573">
        <v>99</v>
      </c>
      <c r="BC573">
        <v>114</v>
      </c>
      <c r="BD573" t="s">
        <v>74</v>
      </c>
      <c r="BE573" t="s">
        <v>4303</v>
      </c>
      <c r="BF573" t="str">
        <f>HYPERLINK("http://dx.doi.org/10.4319/lo.2014.59.1.0099","http://dx.doi.org/10.4319/lo.2014.59.1.0099")</f>
        <v>http://dx.doi.org/10.4319/lo.2014.59.1.0099</v>
      </c>
      <c r="BG573" t="s">
        <v>74</v>
      </c>
      <c r="BH573" t="s">
        <v>74</v>
      </c>
      <c r="BI573" t="s">
        <v>74</v>
      </c>
      <c r="BJ573" t="s">
        <v>74</v>
      </c>
      <c r="BK573" t="s">
        <v>74</v>
      </c>
      <c r="BL573" t="s">
        <v>74</v>
      </c>
      <c r="BM573" t="s">
        <v>74</v>
      </c>
      <c r="BN573" t="s">
        <v>74</v>
      </c>
      <c r="BO573" t="s">
        <v>74</v>
      </c>
      <c r="BP573" t="s">
        <v>74</v>
      </c>
      <c r="BQ573" t="s">
        <v>74</v>
      </c>
      <c r="BR573" t="s">
        <v>74</v>
      </c>
      <c r="BS573" t="s">
        <v>4304</v>
      </c>
      <c r="BT573" t="str">
        <f>HYPERLINK("https%3A%2F%2Fwww.webofscience.com%2Fwos%2Fwoscc%2Ffull-record%2FWOS:000339901800009","View Full Record in Web of Science")</f>
        <v>View Full Record in Web of Science</v>
      </c>
    </row>
    <row r="574" spans="1:72" x14ac:dyDescent="0.2">
      <c r="A574" t="s">
        <v>2388</v>
      </c>
      <c r="B574" t="s">
        <v>4305</v>
      </c>
      <c r="C574" t="s">
        <v>74</v>
      </c>
      <c r="D574" t="s">
        <v>4306</v>
      </c>
      <c r="E574" t="s">
        <v>74</v>
      </c>
      <c r="F574" t="s">
        <v>4307</v>
      </c>
      <c r="G574" t="s">
        <v>74</v>
      </c>
      <c r="H574" t="s">
        <v>74</v>
      </c>
      <c r="I574" t="s">
        <v>4308</v>
      </c>
      <c r="J574" t="s">
        <v>4309</v>
      </c>
      <c r="K574" t="s">
        <v>4310</v>
      </c>
      <c r="L574" t="s">
        <v>74</v>
      </c>
      <c r="M574" t="s">
        <v>74</v>
      </c>
      <c r="N574" t="s">
        <v>74</v>
      </c>
      <c r="O574" t="s">
        <v>4311</v>
      </c>
      <c r="P574" t="s">
        <v>4312</v>
      </c>
      <c r="Q574" t="s">
        <v>3260</v>
      </c>
      <c r="R574" t="s">
        <v>4313</v>
      </c>
      <c r="S574" t="s">
        <v>74</v>
      </c>
      <c r="T574" t="s">
        <v>74</v>
      </c>
      <c r="U574" t="s">
        <v>74</v>
      </c>
      <c r="V574" t="s">
        <v>74</v>
      </c>
      <c r="W574" t="s">
        <v>74</v>
      </c>
      <c r="X574" t="s">
        <v>74</v>
      </c>
      <c r="Y574" t="s">
        <v>74</v>
      </c>
      <c r="Z574" t="s">
        <v>74</v>
      </c>
      <c r="AA574" t="s">
        <v>4159</v>
      </c>
      <c r="AB574" t="s">
        <v>4160</v>
      </c>
      <c r="AC574" t="s">
        <v>74</v>
      </c>
      <c r="AD574" t="s">
        <v>74</v>
      </c>
      <c r="AE574" t="s">
        <v>74</v>
      </c>
      <c r="AF574" t="s">
        <v>74</v>
      </c>
      <c r="AG574" t="s">
        <v>74</v>
      </c>
      <c r="AH574" t="s">
        <v>74</v>
      </c>
      <c r="AI574" t="s">
        <v>74</v>
      </c>
      <c r="AJ574" t="s">
        <v>74</v>
      </c>
      <c r="AK574" t="s">
        <v>74</v>
      </c>
      <c r="AL574" t="s">
        <v>74</v>
      </c>
      <c r="AM574" t="s">
        <v>74</v>
      </c>
      <c r="AN574" t="s">
        <v>74</v>
      </c>
      <c r="AO574" t="s">
        <v>4314</v>
      </c>
      <c r="AP574" t="s">
        <v>4315</v>
      </c>
      <c r="AQ574" t="s">
        <v>4316</v>
      </c>
      <c r="AR574" t="s">
        <v>74</v>
      </c>
      <c r="AS574" t="s">
        <v>74</v>
      </c>
      <c r="AT574" t="s">
        <v>74</v>
      </c>
      <c r="AU574">
        <v>2014</v>
      </c>
      <c r="AV574">
        <v>1160</v>
      </c>
      <c r="AW574" t="s">
        <v>74</v>
      </c>
      <c r="AX574" t="s">
        <v>74</v>
      </c>
      <c r="AY574" t="s">
        <v>74</v>
      </c>
      <c r="AZ574" t="s">
        <v>74</v>
      </c>
      <c r="BA574" t="s">
        <v>74</v>
      </c>
      <c r="BB574">
        <v>115</v>
      </c>
      <c r="BC574">
        <v>144</v>
      </c>
      <c r="BD574" t="s">
        <v>74</v>
      </c>
      <c r="BE574" t="s">
        <v>74</v>
      </c>
      <c r="BF574" t="s">
        <v>74</v>
      </c>
      <c r="BG574" t="s">
        <v>74</v>
      </c>
      <c r="BH574" t="s">
        <v>74</v>
      </c>
      <c r="BI574" t="s">
        <v>74</v>
      </c>
      <c r="BJ574" t="s">
        <v>74</v>
      </c>
      <c r="BK574" t="s">
        <v>74</v>
      </c>
      <c r="BL574" t="s">
        <v>74</v>
      </c>
      <c r="BM574" t="s">
        <v>74</v>
      </c>
      <c r="BN574" t="s">
        <v>74</v>
      </c>
      <c r="BO574" t="s">
        <v>74</v>
      </c>
      <c r="BP574" t="s">
        <v>74</v>
      </c>
      <c r="BQ574" t="s">
        <v>74</v>
      </c>
      <c r="BR574" t="s">
        <v>74</v>
      </c>
      <c r="BS574" t="s">
        <v>4317</v>
      </c>
      <c r="BT574" t="str">
        <f>HYPERLINK("https%3A%2F%2Fwww.webofscience.com%2Fwos%2Fwoscc%2Ffull-record%2FWOS:000337981900006","View Full Record in Web of Science")</f>
        <v>View Full Record in Web of Science</v>
      </c>
    </row>
    <row r="575" spans="1:72" x14ac:dyDescent="0.2">
      <c r="A575" t="s">
        <v>72</v>
      </c>
      <c r="B575" t="s">
        <v>4318</v>
      </c>
      <c r="C575" t="s">
        <v>74</v>
      </c>
      <c r="D575" t="s">
        <v>74</v>
      </c>
      <c r="E575" t="s">
        <v>74</v>
      </c>
      <c r="F575" t="s">
        <v>4319</v>
      </c>
      <c r="G575" t="s">
        <v>74</v>
      </c>
      <c r="H575" t="s">
        <v>74</v>
      </c>
      <c r="I575" t="s">
        <v>4320</v>
      </c>
      <c r="J575" t="s">
        <v>2566</v>
      </c>
      <c r="K575" t="s">
        <v>74</v>
      </c>
      <c r="L575" t="s">
        <v>74</v>
      </c>
      <c r="M575" t="s">
        <v>74</v>
      </c>
      <c r="N575" t="s">
        <v>74</v>
      </c>
      <c r="O575" t="s">
        <v>74</v>
      </c>
      <c r="P575" t="s">
        <v>74</v>
      </c>
      <c r="Q575" t="s">
        <v>74</v>
      </c>
      <c r="R575" t="s">
        <v>74</v>
      </c>
      <c r="S575" t="s">
        <v>74</v>
      </c>
      <c r="T575" t="s">
        <v>74</v>
      </c>
      <c r="U575" t="s">
        <v>74</v>
      </c>
      <c r="V575" t="s">
        <v>74</v>
      </c>
      <c r="W575" t="s">
        <v>74</v>
      </c>
      <c r="X575" t="s">
        <v>74</v>
      </c>
      <c r="Y575" t="s">
        <v>74</v>
      </c>
      <c r="Z575" t="s">
        <v>74</v>
      </c>
      <c r="AA575" t="s">
        <v>4321</v>
      </c>
      <c r="AB575" t="s">
        <v>4322</v>
      </c>
      <c r="AC575" t="s">
        <v>74</v>
      </c>
      <c r="AD575" t="s">
        <v>74</v>
      </c>
      <c r="AE575" t="s">
        <v>74</v>
      </c>
      <c r="AF575" t="s">
        <v>74</v>
      </c>
      <c r="AG575" t="s">
        <v>74</v>
      </c>
      <c r="AH575" t="s">
        <v>74</v>
      </c>
      <c r="AI575" t="s">
        <v>74</v>
      </c>
      <c r="AJ575" t="s">
        <v>74</v>
      </c>
      <c r="AK575" t="s">
        <v>74</v>
      </c>
      <c r="AL575" t="s">
        <v>74</v>
      </c>
      <c r="AM575" t="s">
        <v>74</v>
      </c>
      <c r="AN575" t="s">
        <v>74</v>
      </c>
      <c r="AO575" t="s">
        <v>2569</v>
      </c>
      <c r="AP575" t="s">
        <v>74</v>
      </c>
      <c r="AQ575" t="s">
        <v>74</v>
      </c>
      <c r="AR575" t="s">
        <v>74</v>
      </c>
      <c r="AS575" t="s">
        <v>74</v>
      </c>
      <c r="AT575" t="s">
        <v>315</v>
      </c>
      <c r="AU575">
        <v>2014</v>
      </c>
      <c r="AV575">
        <v>7</v>
      </c>
      <c r="AW575">
        <v>1</v>
      </c>
      <c r="AX575" t="s">
        <v>74</v>
      </c>
      <c r="AY575" t="s">
        <v>74</v>
      </c>
      <c r="AZ575" t="s">
        <v>632</v>
      </c>
      <c r="BA575" t="s">
        <v>74</v>
      </c>
      <c r="BB575">
        <v>42</v>
      </c>
      <c r="BC575">
        <v>55</v>
      </c>
      <c r="BD575" t="s">
        <v>74</v>
      </c>
      <c r="BE575" t="s">
        <v>4323</v>
      </c>
      <c r="BF575" t="str">
        <f>HYPERLINK("http://dx.doi.org/10.1111/eva.12108","http://dx.doi.org/10.1111/eva.12108")</f>
        <v>http://dx.doi.org/10.1111/eva.12108</v>
      </c>
      <c r="BG575" t="s">
        <v>74</v>
      </c>
      <c r="BH575" t="s">
        <v>74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>
        <v>24454547</v>
      </c>
      <c r="BO575" t="s">
        <v>74</v>
      </c>
      <c r="BP575" t="s">
        <v>74</v>
      </c>
      <c r="BQ575" t="s">
        <v>74</v>
      </c>
      <c r="BR575" t="s">
        <v>74</v>
      </c>
      <c r="BS575" t="s">
        <v>4324</v>
      </c>
      <c r="BT575" t="str">
        <f>HYPERLINK("https%3A%2F%2Fwww.webofscience.com%2Fwos%2Fwoscc%2Ffull-record%2FWOS:000332699400004","View Full Record in Web of Science")</f>
        <v>View Full Record in Web of Science</v>
      </c>
    </row>
    <row r="576" spans="1:72" x14ac:dyDescent="0.2">
      <c r="A576" t="s">
        <v>72</v>
      </c>
      <c r="B576" t="s">
        <v>4325</v>
      </c>
      <c r="C576" t="s">
        <v>74</v>
      </c>
      <c r="D576" t="s">
        <v>74</v>
      </c>
      <c r="E576" t="s">
        <v>74</v>
      </c>
      <c r="F576" t="s">
        <v>4326</v>
      </c>
      <c r="G576" t="s">
        <v>74</v>
      </c>
      <c r="H576" t="s">
        <v>74</v>
      </c>
      <c r="I576" t="s">
        <v>4327</v>
      </c>
      <c r="J576" t="s">
        <v>124</v>
      </c>
      <c r="K576" t="s">
        <v>74</v>
      </c>
      <c r="L576" t="s">
        <v>74</v>
      </c>
      <c r="M576" t="s">
        <v>74</v>
      </c>
      <c r="N576" t="s">
        <v>74</v>
      </c>
      <c r="O576" t="s">
        <v>74</v>
      </c>
      <c r="P576" t="s">
        <v>74</v>
      </c>
      <c r="Q576" t="s">
        <v>74</v>
      </c>
      <c r="R576" t="s">
        <v>74</v>
      </c>
      <c r="S576" t="s">
        <v>74</v>
      </c>
      <c r="T576" t="s">
        <v>74</v>
      </c>
      <c r="U576" t="s">
        <v>74</v>
      </c>
      <c r="V576" t="s">
        <v>74</v>
      </c>
      <c r="W576" t="s">
        <v>74</v>
      </c>
      <c r="X576" t="s">
        <v>74</v>
      </c>
      <c r="Y576" t="s">
        <v>74</v>
      </c>
      <c r="Z576" t="s">
        <v>74</v>
      </c>
      <c r="AA576" t="s">
        <v>4328</v>
      </c>
      <c r="AB576" t="s">
        <v>4329</v>
      </c>
      <c r="AC576" t="s">
        <v>74</v>
      </c>
      <c r="AD576" t="s">
        <v>74</v>
      </c>
      <c r="AE576" t="s">
        <v>74</v>
      </c>
      <c r="AF576" t="s">
        <v>74</v>
      </c>
      <c r="AG576" t="s">
        <v>74</v>
      </c>
      <c r="AH576" t="s">
        <v>74</v>
      </c>
      <c r="AI576" t="s">
        <v>74</v>
      </c>
      <c r="AJ576" t="s">
        <v>74</v>
      </c>
      <c r="AK576" t="s">
        <v>74</v>
      </c>
      <c r="AL576" t="s">
        <v>74</v>
      </c>
      <c r="AM576" t="s">
        <v>74</v>
      </c>
      <c r="AN576" t="s">
        <v>74</v>
      </c>
      <c r="AO576" t="s">
        <v>127</v>
      </c>
      <c r="AP576" t="s">
        <v>128</v>
      </c>
      <c r="AQ576" t="s">
        <v>74</v>
      </c>
      <c r="AR576" t="s">
        <v>74</v>
      </c>
      <c r="AS576" t="s">
        <v>74</v>
      </c>
      <c r="AT576" t="s">
        <v>315</v>
      </c>
      <c r="AU576">
        <v>2014</v>
      </c>
      <c r="AV576">
        <v>722</v>
      </c>
      <c r="AW576">
        <v>1</v>
      </c>
      <c r="AX576" t="s">
        <v>74</v>
      </c>
      <c r="AY576" t="s">
        <v>74</v>
      </c>
      <c r="AZ576" t="s">
        <v>74</v>
      </c>
      <c r="BA576" t="s">
        <v>74</v>
      </c>
      <c r="BB576">
        <v>45</v>
      </c>
      <c r="BC576">
        <v>60</v>
      </c>
      <c r="BD576" t="s">
        <v>74</v>
      </c>
      <c r="BE576" t="s">
        <v>4330</v>
      </c>
      <c r="BF576" t="str">
        <f>HYPERLINK("http://dx.doi.org/10.1007/s10750-013-1674-7","http://dx.doi.org/10.1007/s10750-013-1674-7")</f>
        <v>http://dx.doi.org/10.1007/s10750-013-1674-7</v>
      </c>
      <c r="BG576" t="s">
        <v>74</v>
      </c>
      <c r="BH576" t="s">
        <v>74</v>
      </c>
      <c r="BI576" t="s">
        <v>74</v>
      </c>
      <c r="BJ576" t="s">
        <v>74</v>
      </c>
      <c r="BK576" t="s">
        <v>74</v>
      </c>
      <c r="BL576" t="s">
        <v>74</v>
      </c>
      <c r="BM576" t="s">
        <v>74</v>
      </c>
      <c r="BN576" t="s">
        <v>74</v>
      </c>
      <c r="BO576" t="s">
        <v>74</v>
      </c>
      <c r="BP576" t="s">
        <v>74</v>
      </c>
      <c r="BQ576" t="s">
        <v>74</v>
      </c>
      <c r="BR576" t="s">
        <v>74</v>
      </c>
      <c r="BS576" t="s">
        <v>4331</v>
      </c>
      <c r="BT576" t="str">
        <f>HYPERLINK("https%3A%2F%2Fwww.webofscience.com%2Fwos%2Fwoscc%2Ffull-record%2FWOS:000327405400005","View Full Record in Web of Science")</f>
        <v>View Full Record in Web of Science</v>
      </c>
    </row>
    <row r="577" spans="1:72" x14ac:dyDescent="0.2">
      <c r="A577" t="s">
        <v>72</v>
      </c>
      <c r="B577" t="s">
        <v>4332</v>
      </c>
      <c r="C577" t="s">
        <v>74</v>
      </c>
      <c r="D577" t="s">
        <v>74</v>
      </c>
      <c r="E577" t="s">
        <v>74</v>
      </c>
      <c r="F577" t="s">
        <v>4333</v>
      </c>
      <c r="G577" t="s">
        <v>74</v>
      </c>
      <c r="H577" t="s">
        <v>74</v>
      </c>
      <c r="I577" t="s">
        <v>4334</v>
      </c>
      <c r="J577" t="s">
        <v>3514</v>
      </c>
      <c r="K577" t="s">
        <v>74</v>
      </c>
      <c r="L577" t="s">
        <v>74</v>
      </c>
      <c r="M577" t="s">
        <v>74</v>
      </c>
      <c r="N577" t="s">
        <v>74</v>
      </c>
      <c r="O577" t="s">
        <v>74</v>
      </c>
      <c r="P577" t="s">
        <v>74</v>
      </c>
      <c r="Q577" t="s">
        <v>74</v>
      </c>
      <c r="R577" t="s">
        <v>74</v>
      </c>
      <c r="S577" t="s">
        <v>74</v>
      </c>
      <c r="T577" t="s">
        <v>74</v>
      </c>
      <c r="U577" t="s">
        <v>74</v>
      </c>
      <c r="V577" t="s">
        <v>74</v>
      </c>
      <c r="W577" t="s">
        <v>74</v>
      </c>
      <c r="X577" t="s">
        <v>74</v>
      </c>
      <c r="Y577" t="s">
        <v>74</v>
      </c>
      <c r="Z577" t="s">
        <v>74</v>
      </c>
      <c r="AA577" t="s">
        <v>7097</v>
      </c>
      <c r="AB577" t="s">
        <v>7098</v>
      </c>
      <c r="AC577" t="s">
        <v>74</v>
      </c>
      <c r="AD577" t="s">
        <v>74</v>
      </c>
      <c r="AE577" t="s">
        <v>74</v>
      </c>
      <c r="AF577" t="s">
        <v>74</v>
      </c>
      <c r="AG577" t="s">
        <v>74</v>
      </c>
      <c r="AH577" t="s">
        <v>74</v>
      </c>
      <c r="AI577" t="s">
        <v>74</v>
      </c>
      <c r="AJ577" t="s">
        <v>74</v>
      </c>
      <c r="AK577" t="s">
        <v>74</v>
      </c>
      <c r="AL577" t="s">
        <v>74</v>
      </c>
      <c r="AM577" t="s">
        <v>74</v>
      </c>
      <c r="AN577" t="s">
        <v>74</v>
      </c>
      <c r="AO577" t="s">
        <v>3515</v>
      </c>
      <c r="AP577" t="s">
        <v>3516</v>
      </c>
      <c r="AQ577" t="s">
        <v>74</v>
      </c>
      <c r="AR577" t="s">
        <v>74</v>
      </c>
      <c r="AS577" t="s">
        <v>74</v>
      </c>
      <c r="AT577" t="s">
        <v>474</v>
      </c>
      <c r="AU577">
        <v>2013</v>
      </c>
      <c r="AV577">
        <v>46</v>
      </c>
      <c r="AW577">
        <v>6</v>
      </c>
      <c r="AX577" t="s">
        <v>74</v>
      </c>
      <c r="AY577" t="s">
        <v>74</v>
      </c>
      <c r="AZ577" t="s">
        <v>74</v>
      </c>
      <c r="BA577" t="s">
        <v>74</v>
      </c>
      <c r="BB577">
        <v>381</v>
      </c>
      <c r="BC577">
        <v>397</v>
      </c>
      <c r="BD577" t="s">
        <v>74</v>
      </c>
      <c r="BE577" t="s">
        <v>4335</v>
      </c>
      <c r="BF577" t="str">
        <f>HYPERLINK("http://dx.doi.org/10.1080/10236244.2013.857067","http://dx.doi.org/10.1080/10236244.2013.857067")</f>
        <v>http://dx.doi.org/10.1080/10236244.2013.857067</v>
      </c>
      <c r="BG577" t="s">
        <v>74</v>
      </c>
      <c r="BH577" t="s">
        <v>74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 t="s">
        <v>74</v>
      </c>
      <c r="BR577" t="s">
        <v>74</v>
      </c>
      <c r="BS577" t="s">
        <v>4336</v>
      </c>
      <c r="BT577" t="str">
        <f>HYPERLINK("https%3A%2F%2Fwww.webofscience.com%2Fwos%2Fwoscc%2Ffull-record%2FWOS:000326869500003","View Full Record in Web of Science")</f>
        <v>View Full Record in Web of Science</v>
      </c>
    </row>
    <row r="578" spans="1:72" x14ac:dyDescent="0.2">
      <c r="A578" t="s">
        <v>72</v>
      </c>
      <c r="B578" t="s">
        <v>4337</v>
      </c>
      <c r="C578" t="s">
        <v>74</v>
      </c>
      <c r="D578" t="s">
        <v>74</v>
      </c>
      <c r="E578" t="s">
        <v>74</v>
      </c>
      <c r="F578" t="s">
        <v>4338</v>
      </c>
      <c r="G578" t="s">
        <v>74</v>
      </c>
      <c r="H578" t="s">
        <v>74</v>
      </c>
      <c r="I578" t="s">
        <v>4339</v>
      </c>
      <c r="J578" t="s">
        <v>3005</v>
      </c>
      <c r="K578" t="s">
        <v>74</v>
      </c>
      <c r="L578" t="s">
        <v>74</v>
      </c>
      <c r="M578" t="s">
        <v>74</v>
      </c>
      <c r="N578" t="s">
        <v>74</v>
      </c>
      <c r="O578" t="s">
        <v>74</v>
      </c>
      <c r="P578" t="s">
        <v>74</v>
      </c>
      <c r="Q578" t="s">
        <v>74</v>
      </c>
      <c r="R578" t="s">
        <v>74</v>
      </c>
      <c r="S578" t="s">
        <v>74</v>
      </c>
      <c r="T578" t="s">
        <v>74</v>
      </c>
      <c r="U578" t="s">
        <v>74</v>
      </c>
      <c r="V578" t="s">
        <v>74</v>
      </c>
      <c r="W578" t="s">
        <v>74</v>
      </c>
      <c r="X578" t="s">
        <v>74</v>
      </c>
      <c r="Y578" t="s">
        <v>74</v>
      </c>
      <c r="Z578" t="s">
        <v>74</v>
      </c>
      <c r="AA578" t="s">
        <v>4340</v>
      </c>
      <c r="AB578" t="s">
        <v>4341</v>
      </c>
      <c r="AC578" t="s">
        <v>74</v>
      </c>
      <c r="AD578" t="s">
        <v>74</v>
      </c>
      <c r="AE578" t="s">
        <v>74</v>
      </c>
      <c r="AF578" t="s">
        <v>74</v>
      </c>
      <c r="AG578" t="s">
        <v>74</v>
      </c>
      <c r="AH578" t="s">
        <v>74</v>
      </c>
      <c r="AI578" t="s">
        <v>74</v>
      </c>
      <c r="AJ578" t="s">
        <v>74</v>
      </c>
      <c r="AK578" t="s">
        <v>74</v>
      </c>
      <c r="AL578" t="s">
        <v>74</v>
      </c>
      <c r="AM578" t="s">
        <v>74</v>
      </c>
      <c r="AN578" t="s">
        <v>74</v>
      </c>
      <c r="AO578" t="s">
        <v>3007</v>
      </c>
      <c r="AP578" t="s">
        <v>3008</v>
      </c>
      <c r="AQ578" t="s">
        <v>74</v>
      </c>
      <c r="AR578" t="s">
        <v>74</v>
      </c>
      <c r="AS578" t="s">
        <v>74</v>
      </c>
      <c r="AT578" t="s">
        <v>3219</v>
      </c>
      <c r="AU578">
        <v>2013</v>
      </c>
      <c r="AV578">
        <v>9</v>
      </c>
      <c r="AW578">
        <v>5</v>
      </c>
      <c r="AX578" t="s">
        <v>74</v>
      </c>
      <c r="AY578" t="s">
        <v>74</v>
      </c>
      <c r="AZ578" t="s">
        <v>74</v>
      </c>
      <c r="BA578" t="s">
        <v>74</v>
      </c>
      <c r="BB578" t="s">
        <v>74</v>
      </c>
      <c r="BC578" t="s">
        <v>74</v>
      </c>
      <c r="BD578">
        <v>20130464</v>
      </c>
      <c r="BE578" t="s">
        <v>4342</v>
      </c>
      <c r="BF578" t="str">
        <f>HYPERLINK("http://dx.doi.org/10.1098/rsbl.2013.0464","http://dx.doi.org/10.1098/rsbl.2013.0464")</f>
        <v>http://dx.doi.org/10.1098/rsbl.2013.0464</v>
      </c>
      <c r="BG578" t="s">
        <v>74</v>
      </c>
      <c r="BH578" t="s">
        <v>74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>
        <v>24046875</v>
      </c>
      <c r="BO578" t="s">
        <v>74</v>
      </c>
      <c r="BP578" t="s">
        <v>74</v>
      </c>
      <c r="BQ578" t="s">
        <v>74</v>
      </c>
      <c r="BR578" t="s">
        <v>74</v>
      </c>
      <c r="BS578" t="s">
        <v>4343</v>
      </c>
      <c r="BT578" t="str">
        <f>HYPERLINK("https%3A%2F%2Fwww.webofscience.com%2Fwos%2Fwoscc%2Ffull-record%2FWOS:000330289600021","View Full Record in Web of Science")</f>
        <v>View Full Record in Web of Science</v>
      </c>
    </row>
    <row r="579" spans="1:72" x14ac:dyDescent="0.2">
      <c r="A579" t="s">
        <v>72</v>
      </c>
      <c r="B579" t="s">
        <v>4344</v>
      </c>
      <c r="C579" t="s">
        <v>74</v>
      </c>
      <c r="D579" t="s">
        <v>74</v>
      </c>
      <c r="E579" t="s">
        <v>74</v>
      </c>
      <c r="F579" t="s">
        <v>4345</v>
      </c>
      <c r="G579" t="s">
        <v>74</v>
      </c>
      <c r="H579" t="s">
        <v>74</v>
      </c>
      <c r="I579" t="s">
        <v>4346</v>
      </c>
      <c r="J579" t="s">
        <v>3443</v>
      </c>
      <c r="K579" t="s">
        <v>74</v>
      </c>
      <c r="L579" t="s">
        <v>74</v>
      </c>
      <c r="M579" t="s">
        <v>74</v>
      </c>
      <c r="N579" t="s">
        <v>74</v>
      </c>
      <c r="O579" t="s">
        <v>74</v>
      </c>
      <c r="P579" t="s">
        <v>74</v>
      </c>
      <c r="Q579" t="s">
        <v>74</v>
      </c>
      <c r="R579" t="s">
        <v>74</v>
      </c>
      <c r="S579" t="s">
        <v>74</v>
      </c>
      <c r="T579" t="s">
        <v>74</v>
      </c>
      <c r="U579" t="s">
        <v>74</v>
      </c>
      <c r="V579" t="s">
        <v>74</v>
      </c>
      <c r="W579" t="s">
        <v>74</v>
      </c>
      <c r="X579" t="s">
        <v>74</v>
      </c>
      <c r="Y579" t="s">
        <v>74</v>
      </c>
      <c r="Z579" t="s">
        <v>74</v>
      </c>
      <c r="AA579" t="s">
        <v>7099</v>
      </c>
      <c r="AB579" t="s">
        <v>4347</v>
      </c>
      <c r="AC579" t="s">
        <v>74</v>
      </c>
      <c r="AD579" t="s">
        <v>74</v>
      </c>
      <c r="AE579" t="s">
        <v>74</v>
      </c>
      <c r="AF579" t="s">
        <v>74</v>
      </c>
      <c r="AG579" t="s">
        <v>74</v>
      </c>
      <c r="AH579" t="s">
        <v>74</v>
      </c>
      <c r="AI579" t="s">
        <v>74</v>
      </c>
      <c r="AJ579" t="s">
        <v>74</v>
      </c>
      <c r="AK579" t="s">
        <v>74</v>
      </c>
      <c r="AL579" t="s">
        <v>74</v>
      </c>
      <c r="AM579" t="s">
        <v>74</v>
      </c>
      <c r="AN579" t="s">
        <v>74</v>
      </c>
      <c r="AO579" t="s">
        <v>3445</v>
      </c>
      <c r="AP579" t="s">
        <v>74</v>
      </c>
      <c r="AQ579" t="s">
        <v>74</v>
      </c>
      <c r="AR579" t="s">
        <v>74</v>
      </c>
      <c r="AS579" t="s">
        <v>74</v>
      </c>
      <c r="AT579" t="s">
        <v>3875</v>
      </c>
      <c r="AU579">
        <v>2013</v>
      </c>
      <c r="AV579">
        <v>8</v>
      </c>
      <c r="AW579">
        <v>10</v>
      </c>
      <c r="AX579" t="s">
        <v>74</v>
      </c>
      <c r="AY579" t="s">
        <v>74</v>
      </c>
      <c r="AZ579" t="s">
        <v>74</v>
      </c>
      <c r="BA579" t="s">
        <v>74</v>
      </c>
      <c r="BB579" t="s">
        <v>74</v>
      </c>
      <c r="BC579" t="s">
        <v>74</v>
      </c>
      <c r="BD579" t="s">
        <v>4348</v>
      </c>
      <c r="BE579" t="s">
        <v>4349</v>
      </c>
      <c r="BF579" t="str">
        <f>HYPERLINK("http://dx.doi.org/10.1371/journal.pone.0078463","http://dx.doi.org/10.1371/journal.pone.0078463")</f>
        <v>http://dx.doi.org/10.1371/journal.pone.0078463</v>
      </c>
      <c r="BG579" t="s">
        <v>74</v>
      </c>
      <c r="BH579" t="s">
        <v>74</v>
      </c>
      <c r="BI579" t="s">
        <v>74</v>
      </c>
      <c r="BJ579" t="s">
        <v>74</v>
      </c>
      <c r="BK579" t="s">
        <v>74</v>
      </c>
      <c r="BL579" t="s">
        <v>74</v>
      </c>
      <c r="BM579" t="s">
        <v>74</v>
      </c>
      <c r="BN579">
        <v>24167626</v>
      </c>
      <c r="BO579" t="s">
        <v>74</v>
      </c>
      <c r="BP579" t="s">
        <v>74</v>
      </c>
      <c r="BQ579" t="s">
        <v>74</v>
      </c>
      <c r="BR579" t="s">
        <v>74</v>
      </c>
      <c r="BS579" t="s">
        <v>4350</v>
      </c>
      <c r="BT579" t="str">
        <f>HYPERLINK("https%3A%2F%2Fwww.webofscience.com%2Fwos%2Fwoscc%2Ffull-record%2FWOS:000326034500087","View Full Record in Web of Science")</f>
        <v>View Full Record in Web of Science</v>
      </c>
    </row>
    <row r="580" spans="1:72" x14ac:dyDescent="0.2">
      <c r="A580" t="s">
        <v>72</v>
      </c>
      <c r="B580" t="s">
        <v>4351</v>
      </c>
      <c r="C580" t="s">
        <v>74</v>
      </c>
      <c r="D580" t="s">
        <v>74</v>
      </c>
      <c r="E580" t="s">
        <v>74</v>
      </c>
      <c r="F580" t="s">
        <v>4352</v>
      </c>
      <c r="G580" t="s">
        <v>74</v>
      </c>
      <c r="H580" t="s">
        <v>74</v>
      </c>
      <c r="I580" t="s">
        <v>4353</v>
      </c>
      <c r="J580" t="s">
        <v>3443</v>
      </c>
      <c r="K580" t="s">
        <v>74</v>
      </c>
      <c r="L580" t="s">
        <v>74</v>
      </c>
      <c r="M580" t="s">
        <v>74</v>
      </c>
      <c r="N580" t="s">
        <v>74</v>
      </c>
      <c r="O580" t="s">
        <v>74</v>
      </c>
      <c r="P580" t="s">
        <v>74</v>
      </c>
      <c r="Q580" t="s">
        <v>74</v>
      </c>
      <c r="R580" t="s">
        <v>74</v>
      </c>
      <c r="S580" t="s">
        <v>74</v>
      </c>
      <c r="T580" t="s">
        <v>74</v>
      </c>
      <c r="U580" t="s">
        <v>74</v>
      </c>
      <c r="V580" t="s">
        <v>74</v>
      </c>
      <c r="W580" t="s">
        <v>74</v>
      </c>
      <c r="X580" t="s">
        <v>74</v>
      </c>
      <c r="Y580" t="s">
        <v>74</v>
      </c>
      <c r="Z580" t="s">
        <v>74</v>
      </c>
      <c r="AA580" t="s">
        <v>74</v>
      </c>
      <c r="AB580" t="s">
        <v>74</v>
      </c>
      <c r="AC580" t="s">
        <v>74</v>
      </c>
      <c r="AD580" t="s">
        <v>74</v>
      </c>
      <c r="AE580" t="s">
        <v>74</v>
      </c>
      <c r="AF580" t="s">
        <v>74</v>
      </c>
      <c r="AG580" t="s">
        <v>74</v>
      </c>
      <c r="AH580" t="s">
        <v>74</v>
      </c>
      <c r="AI580" t="s">
        <v>74</v>
      </c>
      <c r="AJ580" t="s">
        <v>74</v>
      </c>
      <c r="AK580" t="s">
        <v>74</v>
      </c>
      <c r="AL580" t="s">
        <v>74</v>
      </c>
      <c r="AM580" t="s">
        <v>74</v>
      </c>
      <c r="AN580" t="s">
        <v>74</v>
      </c>
      <c r="AO580" t="s">
        <v>3445</v>
      </c>
      <c r="AP580" t="s">
        <v>74</v>
      </c>
      <c r="AQ580" t="s">
        <v>74</v>
      </c>
      <c r="AR580" t="s">
        <v>74</v>
      </c>
      <c r="AS580" t="s">
        <v>74</v>
      </c>
      <c r="AT580" t="s">
        <v>2830</v>
      </c>
      <c r="AU580">
        <v>2013</v>
      </c>
      <c r="AV580">
        <v>8</v>
      </c>
      <c r="AW580">
        <v>10</v>
      </c>
      <c r="AX580" t="s">
        <v>74</v>
      </c>
      <c r="AY580" t="s">
        <v>74</v>
      </c>
      <c r="AZ580" t="s">
        <v>74</v>
      </c>
      <c r="BA580" t="s">
        <v>74</v>
      </c>
      <c r="BB580" t="s">
        <v>74</v>
      </c>
      <c r="BC580" t="s">
        <v>74</v>
      </c>
      <c r="BD580" t="s">
        <v>4354</v>
      </c>
      <c r="BE580" t="s">
        <v>4355</v>
      </c>
      <c r="BF580" t="str">
        <f>HYPERLINK("http://dx.doi.org/10.1371/journal.pone.0075839","http://dx.doi.org/10.1371/journal.pone.0075839")</f>
        <v>http://dx.doi.org/10.1371/journal.pone.0075839</v>
      </c>
      <c r="BG580" t="s">
        <v>74</v>
      </c>
      <c r="BH580" t="s">
        <v>74</v>
      </c>
      <c r="BI580" t="s">
        <v>74</v>
      </c>
      <c r="BJ580" t="s">
        <v>74</v>
      </c>
      <c r="BK580" t="s">
        <v>74</v>
      </c>
      <c r="BL580" t="s">
        <v>74</v>
      </c>
      <c r="BM580" t="s">
        <v>74</v>
      </c>
      <c r="BN580">
        <v>24124517</v>
      </c>
      <c r="BO580" t="s">
        <v>74</v>
      </c>
      <c r="BP580" t="s">
        <v>74</v>
      </c>
      <c r="BQ580" t="s">
        <v>74</v>
      </c>
      <c r="BR580" t="s">
        <v>74</v>
      </c>
      <c r="BS580" t="s">
        <v>4356</v>
      </c>
      <c r="BT580" t="str">
        <f>HYPERLINK("https%3A%2F%2Fwww.webofscience.com%2Fwos%2Fwoscc%2Ffull-record%2FWOS:000325489100074","View Full Record in Web of Science")</f>
        <v>View Full Record in Web of Science</v>
      </c>
    </row>
    <row r="581" spans="1:72" x14ac:dyDescent="0.2">
      <c r="A581" t="s">
        <v>72</v>
      </c>
      <c r="B581" t="s">
        <v>4357</v>
      </c>
      <c r="C581" t="s">
        <v>74</v>
      </c>
      <c r="D581" t="s">
        <v>74</v>
      </c>
      <c r="E581" t="s">
        <v>74</v>
      </c>
      <c r="F581" t="s">
        <v>4358</v>
      </c>
      <c r="G581" t="s">
        <v>74</v>
      </c>
      <c r="H581" t="s">
        <v>74</v>
      </c>
      <c r="I581" t="s">
        <v>4359</v>
      </c>
      <c r="J581" t="s">
        <v>457</v>
      </c>
      <c r="K581" t="s">
        <v>74</v>
      </c>
      <c r="L581" t="s">
        <v>74</v>
      </c>
      <c r="M581" t="s">
        <v>74</v>
      </c>
      <c r="N581" t="s">
        <v>74</v>
      </c>
      <c r="O581" t="s">
        <v>74</v>
      </c>
      <c r="P581" t="s">
        <v>74</v>
      </c>
      <c r="Q581" t="s">
        <v>74</v>
      </c>
      <c r="R581" t="s">
        <v>74</v>
      </c>
      <c r="S581" t="s">
        <v>74</v>
      </c>
      <c r="T581" t="s">
        <v>74</v>
      </c>
      <c r="U581" t="s">
        <v>74</v>
      </c>
      <c r="V581" t="s">
        <v>74</v>
      </c>
      <c r="W581" t="s">
        <v>74</v>
      </c>
      <c r="X581" t="s">
        <v>74</v>
      </c>
      <c r="Y581" t="s">
        <v>74</v>
      </c>
      <c r="Z581" t="s">
        <v>74</v>
      </c>
      <c r="AA581" t="s">
        <v>7100</v>
      </c>
      <c r="AB581" t="s">
        <v>3717</v>
      </c>
      <c r="AC581" t="s">
        <v>74</v>
      </c>
      <c r="AD581" t="s">
        <v>74</v>
      </c>
      <c r="AE581" t="s">
        <v>74</v>
      </c>
      <c r="AF581" t="s">
        <v>74</v>
      </c>
      <c r="AG581" t="s">
        <v>74</v>
      </c>
      <c r="AH581" t="s">
        <v>74</v>
      </c>
      <c r="AI581" t="s">
        <v>74</v>
      </c>
      <c r="AJ581" t="s">
        <v>74</v>
      </c>
      <c r="AK581" t="s">
        <v>74</v>
      </c>
      <c r="AL581" t="s">
        <v>74</v>
      </c>
      <c r="AM581" t="s">
        <v>74</v>
      </c>
      <c r="AN581" t="s">
        <v>74</v>
      </c>
      <c r="AO581" t="s">
        <v>458</v>
      </c>
      <c r="AP581" t="s">
        <v>74</v>
      </c>
      <c r="AQ581" t="s">
        <v>74</v>
      </c>
      <c r="AR581" t="s">
        <v>74</v>
      </c>
      <c r="AS581" t="s">
        <v>74</v>
      </c>
      <c r="AT581" t="s">
        <v>406</v>
      </c>
      <c r="AU581">
        <v>2013</v>
      </c>
      <c r="AV581">
        <v>3</v>
      </c>
      <c r="AW581">
        <v>12</v>
      </c>
      <c r="AX581" t="s">
        <v>74</v>
      </c>
      <c r="AY581" t="s">
        <v>74</v>
      </c>
      <c r="AZ581" t="s">
        <v>74</v>
      </c>
      <c r="BA581" t="s">
        <v>74</v>
      </c>
      <c r="BB581">
        <v>4129</v>
      </c>
      <c r="BC581">
        <v>4138</v>
      </c>
      <c r="BD581" t="s">
        <v>74</v>
      </c>
      <c r="BE581" t="s">
        <v>4360</v>
      </c>
      <c r="BF581" t="str">
        <f>HYPERLINK("http://dx.doi.org/10.1002/ece3.777","http://dx.doi.org/10.1002/ece3.777")</f>
        <v>http://dx.doi.org/10.1002/ece3.777</v>
      </c>
      <c r="BG581" t="s">
        <v>74</v>
      </c>
      <c r="BH581" t="s">
        <v>74</v>
      </c>
      <c r="BI581" t="s">
        <v>74</v>
      </c>
      <c r="BJ581" t="s">
        <v>74</v>
      </c>
      <c r="BK581" t="s">
        <v>74</v>
      </c>
      <c r="BL581" t="s">
        <v>74</v>
      </c>
      <c r="BM581" t="s">
        <v>74</v>
      </c>
      <c r="BN581">
        <v>24324864</v>
      </c>
      <c r="BO581" t="s">
        <v>74</v>
      </c>
      <c r="BP581" t="s">
        <v>74</v>
      </c>
      <c r="BQ581" t="s">
        <v>74</v>
      </c>
      <c r="BR581" t="s">
        <v>74</v>
      </c>
      <c r="BS581" t="s">
        <v>4361</v>
      </c>
      <c r="BT581" t="str">
        <f>HYPERLINK("https%3A%2F%2Fwww.webofscience.com%2Fwos%2Fwoscc%2Ffull-record%2FWOS:000326286700007","View Full Record in Web of Science")</f>
        <v>View Full Record in Web of Science</v>
      </c>
    </row>
    <row r="582" spans="1:72" x14ac:dyDescent="0.2">
      <c r="A582" t="s">
        <v>72</v>
      </c>
      <c r="B582" t="s">
        <v>4362</v>
      </c>
      <c r="C582" t="s">
        <v>74</v>
      </c>
      <c r="D582" t="s">
        <v>74</v>
      </c>
      <c r="E582" t="s">
        <v>74</v>
      </c>
      <c r="F582" t="s">
        <v>4363</v>
      </c>
      <c r="G582" t="s">
        <v>74</v>
      </c>
      <c r="H582" t="s">
        <v>74</v>
      </c>
      <c r="I582" t="s">
        <v>4364</v>
      </c>
      <c r="J582" t="s">
        <v>1832</v>
      </c>
      <c r="K582" t="s">
        <v>74</v>
      </c>
      <c r="L582" t="s">
        <v>74</v>
      </c>
      <c r="M582" t="s">
        <v>74</v>
      </c>
      <c r="N582" t="s">
        <v>74</v>
      </c>
      <c r="O582" t="s">
        <v>74</v>
      </c>
      <c r="P582" t="s">
        <v>74</v>
      </c>
      <c r="Q582" t="s">
        <v>74</v>
      </c>
      <c r="R582" t="s">
        <v>74</v>
      </c>
      <c r="S582" t="s">
        <v>74</v>
      </c>
      <c r="T582" t="s">
        <v>74</v>
      </c>
      <c r="U582" t="s">
        <v>74</v>
      </c>
      <c r="V582" t="s">
        <v>74</v>
      </c>
      <c r="W582" t="s">
        <v>74</v>
      </c>
      <c r="X582" t="s">
        <v>74</v>
      </c>
      <c r="Y582" t="s">
        <v>74</v>
      </c>
      <c r="Z582" t="s">
        <v>74</v>
      </c>
      <c r="AA582" t="s">
        <v>7101</v>
      </c>
      <c r="AB582" t="s">
        <v>7102</v>
      </c>
      <c r="AC582" t="s">
        <v>74</v>
      </c>
      <c r="AD582" t="s">
        <v>74</v>
      </c>
      <c r="AE582" t="s">
        <v>74</v>
      </c>
      <c r="AF582" t="s">
        <v>74</v>
      </c>
      <c r="AG582" t="s">
        <v>74</v>
      </c>
      <c r="AH582" t="s">
        <v>74</v>
      </c>
      <c r="AI582" t="s">
        <v>74</v>
      </c>
      <c r="AJ582" t="s">
        <v>74</v>
      </c>
      <c r="AK582" t="s">
        <v>74</v>
      </c>
      <c r="AL582" t="s">
        <v>74</v>
      </c>
      <c r="AM582" t="s">
        <v>74</v>
      </c>
      <c r="AN582" t="s">
        <v>74</v>
      </c>
      <c r="AO582" t="s">
        <v>1834</v>
      </c>
      <c r="AP582" t="s">
        <v>1835</v>
      </c>
      <c r="AQ582" t="s">
        <v>74</v>
      </c>
      <c r="AR582" t="s">
        <v>74</v>
      </c>
      <c r="AS582" t="s">
        <v>74</v>
      </c>
      <c r="AT582" t="s">
        <v>451</v>
      </c>
      <c r="AU582">
        <v>2013</v>
      </c>
      <c r="AV582">
        <v>36</v>
      </c>
      <c r="AW582">
        <v>5</v>
      </c>
      <c r="AX582" t="s">
        <v>74</v>
      </c>
      <c r="AY582" t="s">
        <v>74</v>
      </c>
      <c r="AZ582" t="s">
        <v>74</v>
      </c>
      <c r="BA582" t="s">
        <v>74</v>
      </c>
      <c r="BB582">
        <v>1084</v>
      </c>
      <c r="BC582">
        <v>1092</v>
      </c>
      <c r="BD582" t="s">
        <v>74</v>
      </c>
      <c r="BE582" t="s">
        <v>4365</v>
      </c>
      <c r="BF582" t="str">
        <f>HYPERLINK("http://dx.doi.org/10.1007/s12237-013-9615-2","http://dx.doi.org/10.1007/s12237-013-9615-2")</f>
        <v>http://dx.doi.org/10.1007/s12237-013-9615-2</v>
      </c>
      <c r="BG582" t="s">
        <v>74</v>
      </c>
      <c r="BH582" t="s">
        <v>74</v>
      </c>
      <c r="BI582" t="s">
        <v>74</v>
      </c>
      <c r="BJ582" t="s">
        <v>74</v>
      </c>
      <c r="BK582" t="s">
        <v>74</v>
      </c>
      <c r="BL582" t="s">
        <v>74</v>
      </c>
      <c r="BM582" t="s">
        <v>74</v>
      </c>
      <c r="BN582" t="s">
        <v>74</v>
      </c>
      <c r="BO582" t="s">
        <v>74</v>
      </c>
      <c r="BP582" t="s">
        <v>74</v>
      </c>
      <c r="BQ582" t="s">
        <v>74</v>
      </c>
      <c r="BR582" t="s">
        <v>74</v>
      </c>
      <c r="BS582" t="s">
        <v>4366</v>
      </c>
      <c r="BT582" t="str">
        <f>HYPERLINK("https%3A%2F%2Fwww.webofscience.com%2Fwos%2Fwoscc%2Ffull-record%2FWOS:000323248500016","View Full Record in Web of Science")</f>
        <v>View Full Record in Web of Science</v>
      </c>
    </row>
    <row r="583" spans="1:72" x14ac:dyDescent="0.2">
      <c r="A583" t="s">
        <v>72</v>
      </c>
      <c r="B583" t="s">
        <v>4367</v>
      </c>
      <c r="C583" t="s">
        <v>74</v>
      </c>
      <c r="D583" t="s">
        <v>74</v>
      </c>
      <c r="E583" t="s">
        <v>74</v>
      </c>
      <c r="F583" t="s">
        <v>4368</v>
      </c>
      <c r="G583" t="s">
        <v>74</v>
      </c>
      <c r="H583" t="s">
        <v>74</v>
      </c>
      <c r="I583" t="s">
        <v>4369</v>
      </c>
      <c r="J583" t="s">
        <v>106</v>
      </c>
      <c r="K583" t="s">
        <v>74</v>
      </c>
      <c r="L583" t="s">
        <v>74</v>
      </c>
      <c r="M583" t="s">
        <v>74</v>
      </c>
      <c r="N583" t="s">
        <v>74</v>
      </c>
      <c r="O583" t="s">
        <v>74</v>
      </c>
      <c r="P583" t="s">
        <v>74</v>
      </c>
      <c r="Q583" t="s">
        <v>74</v>
      </c>
      <c r="R583" t="s">
        <v>74</v>
      </c>
      <c r="S583" t="s">
        <v>74</v>
      </c>
      <c r="T583" t="s">
        <v>74</v>
      </c>
      <c r="U583" t="s">
        <v>74</v>
      </c>
      <c r="V583" t="s">
        <v>74</v>
      </c>
      <c r="W583" t="s">
        <v>74</v>
      </c>
      <c r="X583" t="s">
        <v>74</v>
      </c>
      <c r="Y583" t="s">
        <v>74</v>
      </c>
      <c r="Z583" t="s">
        <v>74</v>
      </c>
      <c r="AA583" t="s">
        <v>7103</v>
      </c>
      <c r="AB583" t="s">
        <v>4370</v>
      </c>
      <c r="AC583" t="s">
        <v>74</v>
      </c>
      <c r="AD583" t="s">
        <v>74</v>
      </c>
      <c r="AE583" t="s">
        <v>74</v>
      </c>
      <c r="AF583" t="s">
        <v>74</v>
      </c>
      <c r="AG583" t="s">
        <v>74</v>
      </c>
      <c r="AH583" t="s">
        <v>74</v>
      </c>
      <c r="AI583" t="s">
        <v>74</v>
      </c>
      <c r="AJ583" t="s">
        <v>74</v>
      </c>
      <c r="AK583" t="s">
        <v>74</v>
      </c>
      <c r="AL583" t="s">
        <v>74</v>
      </c>
      <c r="AM583" t="s">
        <v>74</v>
      </c>
      <c r="AN583" t="s">
        <v>74</v>
      </c>
      <c r="AO583" t="s">
        <v>107</v>
      </c>
      <c r="AP583" t="s">
        <v>108</v>
      </c>
      <c r="AQ583" t="s">
        <v>74</v>
      </c>
      <c r="AR583" t="s">
        <v>74</v>
      </c>
      <c r="AS583" t="s">
        <v>74</v>
      </c>
      <c r="AT583" t="s">
        <v>3635</v>
      </c>
      <c r="AU583">
        <v>2013</v>
      </c>
      <c r="AV583">
        <v>35</v>
      </c>
      <c r="AW583">
        <v>5</v>
      </c>
      <c r="AX583" t="s">
        <v>74</v>
      </c>
      <c r="AY583" t="s">
        <v>74</v>
      </c>
      <c r="AZ583" t="s">
        <v>74</v>
      </c>
      <c r="BA583" t="s">
        <v>74</v>
      </c>
      <c r="BB583">
        <v>957</v>
      </c>
      <c r="BC583">
        <v>971</v>
      </c>
      <c r="BD583" t="s">
        <v>74</v>
      </c>
      <c r="BE583" t="s">
        <v>4371</v>
      </c>
      <c r="BF583" t="str">
        <f>HYPERLINK("http://dx.doi.org/10.1093/plankt/fbt058","http://dx.doi.org/10.1093/plankt/fbt058")</f>
        <v>http://dx.doi.org/10.1093/plankt/fbt058</v>
      </c>
      <c r="BG583" t="s">
        <v>74</v>
      </c>
      <c r="BH583" t="s">
        <v>74</v>
      </c>
      <c r="BI583" t="s">
        <v>74</v>
      </c>
      <c r="BJ583" t="s">
        <v>74</v>
      </c>
      <c r="BK583" t="s">
        <v>74</v>
      </c>
      <c r="BL583" t="s">
        <v>74</v>
      </c>
      <c r="BM583" t="s">
        <v>74</v>
      </c>
      <c r="BN583" t="s">
        <v>74</v>
      </c>
      <c r="BO583" t="s">
        <v>74</v>
      </c>
      <c r="BP583" t="s">
        <v>74</v>
      </c>
      <c r="BQ583" t="s">
        <v>74</v>
      </c>
      <c r="BR583" t="s">
        <v>74</v>
      </c>
      <c r="BS583" t="s">
        <v>4372</v>
      </c>
      <c r="BT583" t="str">
        <f>HYPERLINK("https%3A%2F%2Fwww.webofscience.com%2Fwos%2Fwoscc%2Ffull-record%2FWOS:000323966900003","View Full Record in Web of Science")</f>
        <v>View Full Record in Web of Science</v>
      </c>
    </row>
    <row r="584" spans="1:72" x14ac:dyDescent="0.2">
      <c r="A584" t="s">
        <v>72</v>
      </c>
      <c r="B584" t="s">
        <v>4373</v>
      </c>
      <c r="C584" t="s">
        <v>74</v>
      </c>
      <c r="D584" t="s">
        <v>74</v>
      </c>
      <c r="E584" t="s">
        <v>74</v>
      </c>
      <c r="F584" t="s">
        <v>4374</v>
      </c>
      <c r="G584" t="s">
        <v>74</v>
      </c>
      <c r="H584" t="s">
        <v>74</v>
      </c>
      <c r="I584" t="s">
        <v>4375</v>
      </c>
      <c r="J584" t="s">
        <v>423</v>
      </c>
      <c r="K584" t="s">
        <v>74</v>
      </c>
      <c r="L584" t="s">
        <v>74</v>
      </c>
      <c r="M584" t="s">
        <v>74</v>
      </c>
      <c r="N584" t="s">
        <v>74</v>
      </c>
      <c r="O584" t="s">
        <v>74</v>
      </c>
      <c r="P584" t="s">
        <v>74</v>
      </c>
      <c r="Q584" t="s">
        <v>74</v>
      </c>
      <c r="R584" t="s">
        <v>74</v>
      </c>
      <c r="S584" t="s">
        <v>74</v>
      </c>
      <c r="T584" t="s">
        <v>74</v>
      </c>
      <c r="U584" t="s">
        <v>74</v>
      </c>
      <c r="V584" t="s">
        <v>74</v>
      </c>
      <c r="W584" t="s">
        <v>74</v>
      </c>
      <c r="X584" t="s">
        <v>74</v>
      </c>
      <c r="Y584" t="s">
        <v>74</v>
      </c>
      <c r="Z584" t="s">
        <v>74</v>
      </c>
      <c r="AA584" t="s">
        <v>4376</v>
      </c>
      <c r="AB584" t="s">
        <v>4377</v>
      </c>
      <c r="AC584" t="s">
        <v>74</v>
      </c>
      <c r="AD584" t="s">
        <v>74</v>
      </c>
      <c r="AE584" t="s">
        <v>74</v>
      </c>
      <c r="AF584" t="s">
        <v>74</v>
      </c>
      <c r="AG584" t="s">
        <v>74</v>
      </c>
      <c r="AH584" t="s">
        <v>74</v>
      </c>
      <c r="AI584" t="s">
        <v>74</v>
      </c>
      <c r="AJ584" t="s">
        <v>74</v>
      </c>
      <c r="AK584" t="s">
        <v>74</v>
      </c>
      <c r="AL584" t="s">
        <v>74</v>
      </c>
      <c r="AM584" t="s">
        <v>74</v>
      </c>
      <c r="AN584" t="s">
        <v>74</v>
      </c>
      <c r="AO584" t="s">
        <v>425</v>
      </c>
      <c r="AP584" t="s">
        <v>426</v>
      </c>
      <c r="AQ584" t="s">
        <v>74</v>
      </c>
      <c r="AR584" t="s">
        <v>74</v>
      </c>
      <c r="AS584" t="s">
        <v>74</v>
      </c>
      <c r="AT584" t="s">
        <v>520</v>
      </c>
      <c r="AU584">
        <v>2013</v>
      </c>
      <c r="AV584">
        <v>58</v>
      </c>
      <c r="AW584">
        <v>8</v>
      </c>
      <c r="AX584" t="s">
        <v>74</v>
      </c>
      <c r="AY584" t="s">
        <v>74</v>
      </c>
      <c r="AZ584" t="s">
        <v>74</v>
      </c>
      <c r="BA584" t="s">
        <v>74</v>
      </c>
      <c r="BB584">
        <v>1682</v>
      </c>
      <c r="BC584">
        <v>1693</v>
      </c>
      <c r="BD584" t="s">
        <v>74</v>
      </c>
      <c r="BE584" t="s">
        <v>4378</v>
      </c>
      <c r="BF584" t="str">
        <f>HYPERLINK("http://dx.doi.org/10.1111/fwb.12159","http://dx.doi.org/10.1111/fwb.12159")</f>
        <v>http://dx.doi.org/10.1111/fwb.12159</v>
      </c>
      <c r="BG584" t="s">
        <v>74</v>
      </c>
      <c r="BH584" t="s">
        <v>74</v>
      </c>
      <c r="BI584" t="s">
        <v>74</v>
      </c>
      <c r="BJ584" t="s">
        <v>74</v>
      </c>
      <c r="BK584" t="s">
        <v>74</v>
      </c>
      <c r="BL584" t="s">
        <v>74</v>
      </c>
      <c r="BM584" t="s">
        <v>74</v>
      </c>
      <c r="BN584" t="s">
        <v>74</v>
      </c>
      <c r="BO584" t="s">
        <v>74</v>
      </c>
      <c r="BP584" t="s">
        <v>74</v>
      </c>
      <c r="BQ584" t="s">
        <v>74</v>
      </c>
      <c r="BR584" t="s">
        <v>74</v>
      </c>
      <c r="BS584" t="s">
        <v>4379</v>
      </c>
      <c r="BT584" t="str">
        <f>HYPERLINK("https%3A%2F%2Fwww.webofscience.com%2Fwos%2Fwoscc%2Ffull-record%2FWOS:000329212300011","View Full Record in Web of Science")</f>
        <v>View Full Record in Web of Science</v>
      </c>
    </row>
    <row r="585" spans="1:72" x14ac:dyDescent="0.2">
      <c r="A585" t="s">
        <v>72</v>
      </c>
      <c r="B585" t="s">
        <v>4380</v>
      </c>
      <c r="C585" t="s">
        <v>74</v>
      </c>
      <c r="D585" t="s">
        <v>74</v>
      </c>
      <c r="E585" t="s">
        <v>74</v>
      </c>
      <c r="F585" t="s">
        <v>4381</v>
      </c>
      <c r="G585" t="s">
        <v>74</v>
      </c>
      <c r="H585" t="s">
        <v>74</v>
      </c>
      <c r="I585" t="s">
        <v>4382</v>
      </c>
      <c r="J585" t="s">
        <v>1523</v>
      </c>
      <c r="K585" t="s">
        <v>74</v>
      </c>
      <c r="L585" t="s">
        <v>74</v>
      </c>
      <c r="M585" t="s">
        <v>74</v>
      </c>
      <c r="N585" t="s">
        <v>74</v>
      </c>
      <c r="O585" t="s">
        <v>74</v>
      </c>
      <c r="P585" t="s">
        <v>74</v>
      </c>
      <c r="Q585" t="s">
        <v>74</v>
      </c>
      <c r="R585" t="s">
        <v>74</v>
      </c>
      <c r="S585" t="s">
        <v>74</v>
      </c>
      <c r="T585" t="s">
        <v>74</v>
      </c>
      <c r="U585" t="s">
        <v>74</v>
      </c>
      <c r="V585" t="s">
        <v>74</v>
      </c>
      <c r="W585" t="s">
        <v>74</v>
      </c>
      <c r="X585" t="s">
        <v>74</v>
      </c>
      <c r="Y585" t="s">
        <v>74</v>
      </c>
      <c r="Z585" t="s">
        <v>74</v>
      </c>
      <c r="AA585" t="s">
        <v>4383</v>
      </c>
      <c r="AB585" t="s">
        <v>4384</v>
      </c>
      <c r="AC585" t="s">
        <v>74</v>
      </c>
      <c r="AD585" t="s">
        <v>74</v>
      </c>
      <c r="AE585" t="s">
        <v>74</v>
      </c>
      <c r="AF585" t="s">
        <v>74</v>
      </c>
      <c r="AG585" t="s">
        <v>74</v>
      </c>
      <c r="AH585" t="s">
        <v>74</v>
      </c>
      <c r="AI585" t="s">
        <v>74</v>
      </c>
      <c r="AJ585" t="s">
        <v>74</v>
      </c>
      <c r="AK585" t="s">
        <v>74</v>
      </c>
      <c r="AL585" t="s">
        <v>74</v>
      </c>
      <c r="AM585" t="s">
        <v>74</v>
      </c>
      <c r="AN585" t="s">
        <v>74</v>
      </c>
      <c r="AO585" t="s">
        <v>1524</v>
      </c>
      <c r="AP585" t="s">
        <v>1525</v>
      </c>
      <c r="AQ585" t="s">
        <v>74</v>
      </c>
      <c r="AR585" t="s">
        <v>74</v>
      </c>
      <c r="AS585" t="s">
        <v>74</v>
      </c>
      <c r="AT585" t="s">
        <v>624</v>
      </c>
      <c r="AU585">
        <v>2013</v>
      </c>
      <c r="AV585">
        <v>94</v>
      </c>
      <c r="AW585">
        <v>7</v>
      </c>
      <c r="AX585" t="s">
        <v>74</v>
      </c>
      <c r="AY585" t="s">
        <v>74</v>
      </c>
      <c r="AZ585" t="s">
        <v>74</v>
      </c>
      <c r="BA585" t="s">
        <v>74</v>
      </c>
      <c r="BB585">
        <v>1626</v>
      </c>
      <c r="BC585">
        <v>1635</v>
      </c>
      <c r="BD585" t="s">
        <v>74</v>
      </c>
      <c r="BE585" t="s">
        <v>4385</v>
      </c>
      <c r="BF585" t="str">
        <f>HYPERLINK("http://dx.doi.org/10.1890/12-1459.1","http://dx.doi.org/10.1890/12-1459.1")</f>
        <v>http://dx.doi.org/10.1890/12-1459.1</v>
      </c>
      <c r="BG585" t="s">
        <v>74</v>
      </c>
      <c r="BH585" t="s">
        <v>74</v>
      </c>
      <c r="BI585" t="s">
        <v>74</v>
      </c>
      <c r="BJ585" t="s">
        <v>74</v>
      </c>
      <c r="BK585" t="s">
        <v>74</v>
      </c>
      <c r="BL585" t="s">
        <v>74</v>
      </c>
      <c r="BM585" t="s">
        <v>74</v>
      </c>
      <c r="BN585">
        <v>23951722</v>
      </c>
      <c r="BO585" t="s">
        <v>74</v>
      </c>
      <c r="BP585" t="s">
        <v>74</v>
      </c>
      <c r="BQ585" t="s">
        <v>74</v>
      </c>
      <c r="BR585" t="s">
        <v>74</v>
      </c>
      <c r="BS585" t="s">
        <v>4386</v>
      </c>
      <c r="BT585" t="str">
        <f>HYPERLINK("https%3A%2F%2Fwww.webofscience.com%2Fwos%2Fwoscc%2Ffull-record%2FWOS:000321618400020","View Full Record in Web of Science")</f>
        <v>View Full Record in Web of Science</v>
      </c>
    </row>
    <row r="586" spans="1:72" x14ac:dyDescent="0.2">
      <c r="A586" t="s">
        <v>72</v>
      </c>
      <c r="B586" t="s">
        <v>4387</v>
      </c>
      <c r="C586" t="s">
        <v>74</v>
      </c>
      <c r="D586" t="s">
        <v>74</v>
      </c>
      <c r="E586" t="s">
        <v>74</v>
      </c>
      <c r="F586" t="s">
        <v>4388</v>
      </c>
      <c r="G586" t="s">
        <v>74</v>
      </c>
      <c r="H586" t="s">
        <v>74</v>
      </c>
      <c r="I586" t="s">
        <v>4389</v>
      </c>
      <c r="J586" t="s">
        <v>3919</v>
      </c>
      <c r="K586" t="s">
        <v>74</v>
      </c>
      <c r="L586" t="s">
        <v>74</v>
      </c>
      <c r="M586" t="s">
        <v>74</v>
      </c>
      <c r="N586" t="s">
        <v>74</v>
      </c>
      <c r="O586" t="s">
        <v>74</v>
      </c>
      <c r="P586" t="s">
        <v>74</v>
      </c>
      <c r="Q586" t="s">
        <v>74</v>
      </c>
      <c r="R586" t="s">
        <v>74</v>
      </c>
      <c r="S586" t="s">
        <v>74</v>
      </c>
      <c r="T586" t="s">
        <v>74</v>
      </c>
      <c r="U586" t="s">
        <v>74</v>
      </c>
      <c r="V586" t="s">
        <v>74</v>
      </c>
      <c r="W586" t="s">
        <v>74</v>
      </c>
      <c r="X586" t="s">
        <v>74</v>
      </c>
      <c r="Y586" t="s">
        <v>74</v>
      </c>
      <c r="Z586" t="s">
        <v>74</v>
      </c>
      <c r="AA586" t="s">
        <v>7104</v>
      </c>
      <c r="AB586" t="s">
        <v>7105</v>
      </c>
      <c r="AC586" t="s">
        <v>74</v>
      </c>
      <c r="AD586" t="s">
        <v>74</v>
      </c>
      <c r="AE586" t="s">
        <v>74</v>
      </c>
      <c r="AF586" t="s">
        <v>74</v>
      </c>
      <c r="AG586" t="s">
        <v>74</v>
      </c>
      <c r="AH586" t="s">
        <v>74</v>
      </c>
      <c r="AI586" t="s">
        <v>74</v>
      </c>
      <c r="AJ586" t="s">
        <v>74</v>
      </c>
      <c r="AK586" t="s">
        <v>74</v>
      </c>
      <c r="AL586" t="s">
        <v>74</v>
      </c>
      <c r="AM586" t="s">
        <v>74</v>
      </c>
      <c r="AN586" t="s">
        <v>74</v>
      </c>
      <c r="AO586" t="s">
        <v>3920</v>
      </c>
      <c r="AP586" t="s">
        <v>3921</v>
      </c>
      <c r="AQ586" t="s">
        <v>74</v>
      </c>
      <c r="AR586" t="s">
        <v>74</v>
      </c>
      <c r="AS586" t="s">
        <v>74</v>
      </c>
      <c r="AT586" t="s">
        <v>624</v>
      </c>
      <c r="AU586">
        <v>2013</v>
      </c>
      <c r="AV586">
        <v>79</v>
      </c>
      <c r="AW586">
        <v>13</v>
      </c>
      <c r="AX586" t="s">
        <v>74</v>
      </c>
      <c r="AY586" t="s">
        <v>74</v>
      </c>
      <c r="AZ586" t="s">
        <v>74</v>
      </c>
      <c r="BA586" t="s">
        <v>74</v>
      </c>
      <c r="BB586">
        <v>3943</v>
      </c>
      <c r="BC586">
        <v>3951</v>
      </c>
      <c r="BD586" t="s">
        <v>74</v>
      </c>
      <c r="BE586" t="s">
        <v>4390</v>
      </c>
      <c r="BF586" t="str">
        <f>HYPERLINK("http://dx.doi.org/10.1128/AEM.00696-13","http://dx.doi.org/10.1128/AEM.00696-13")</f>
        <v>http://dx.doi.org/10.1128/AEM.00696-13</v>
      </c>
      <c r="BG586" t="s">
        <v>74</v>
      </c>
      <c r="BH586" t="s">
        <v>74</v>
      </c>
      <c r="BI586" t="s">
        <v>74</v>
      </c>
      <c r="BJ586" t="s">
        <v>74</v>
      </c>
      <c r="BK586" t="s">
        <v>74</v>
      </c>
      <c r="BL586" t="s">
        <v>74</v>
      </c>
      <c r="BM586" t="s">
        <v>74</v>
      </c>
      <c r="BN586">
        <v>23603679</v>
      </c>
      <c r="BO586" t="s">
        <v>74</v>
      </c>
      <c r="BP586" t="s">
        <v>74</v>
      </c>
      <c r="BQ586" t="s">
        <v>74</v>
      </c>
      <c r="BR586" t="s">
        <v>74</v>
      </c>
      <c r="BS586" t="s">
        <v>4391</v>
      </c>
      <c r="BT586" t="str">
        <f>HYPERLINK("https%3A%2F%2Fwww.webofscience.com%2Fwos%2Fwoscc%2Ffull-record%2FWOS:000319986200006","View Full Record in Web of Science")</f>
        <v>View Full Record in Web of Science</v>
      </c>
    </row>
    <row r="587" spans="1:72" x14ac:dyDescent="0.2">
      <c r="A587" t="s">
        <v>72</v>
      </c>
      <c r="B587" t="s">
        <v>4392</v>
      </c>
      <c r="C587" t="s">
        <v>74</v>
      </c>
      <c r="D587" t="s">
        <v>74</v>
      </c>
      <c r="E587" t="s">
        <v>74</v>
      </c>
      <c r="F587" t="s">
        <v>4393</v>
      </c>
      <c r="G587" t="s">
        <v>74</v>
      </c>
      <c r="H587" t="s">
        <v>74</v>
      </c>
      <c r="I587" t="s">
        <v>4394</v>
      </c>
      <c r="J587" t="s">
        <v>423</v>
      </c>
      <c r="K587" t="s">
        <v>74</v>
      </c>
      <c r="L587" t="s">
        <v>74</v>
      </c>
      <c r="M587" t="s">
        <v>74</v>
      </c>
      <c r="N587" t="s">
        <v>74</v>
      </c>
      <c r="O587" t="s">
        <v>74</v>
      </c>
      <c r="P587" t="s">
        <v>74</v>
      </c>
      <c r="Q587" t="s">
        <v>74</v>
      </c>
      <c r="R587" t="s">
        <v>74</v>
      </c>
      <c r="S587" t="s">
        <v>74</v>
      </c>
      <c r="T587" t="s">
        <v>74</v>
      </c>
      <c r="U587" t="s">
        <v>74</v>
      </c>
      <c r="V587" t="s">
        <v>74</v>
      </c>
      <c r="W587" t="s">
        <v>74</v>
      </c>
      <c r="X587" t="s">
        <v>74</v>
      </c>
      <c r="Y587" t="s">
        <v>74</v>
      </c>
      <c r="Z587" t="s">
        <v>74</v>
      </c>
      <c r="AA587" t="s">
        <v>4395</v>
      </c>
      <c r="AB587" t="s">
        <v>4396</v>
      </c>
      <c r="AC587" t="s">
        <v>74</v>
      </c>
      <c r="AD587" t="s">
        <v>74</v>
      </c>
      <c r="AE587" t="s">
        <v>74</v>
      </c>
      <c r="AF587" t="s">
        <v>74</v>
      </c>
      <c r="AG587" t="s">
        <v>74</v>
      </c>
      <c r="AH587" t="s">
        <v>74</v>
      </c>
      <c r="AI587" t="s">
        <v>74</v>
      </c>
      <c r="AJ587" t="s">
        <v>74</v>
      </c>
      <c r="AK587" t="s">
        <v>74</v>
      </c>
      <c r="AL587" t="s">
        <v>74</v>
      </c>
      <c r="AM587" t="s">
        <v>74</v>
      </c>
      <c r="AN587" t="s">
        <v>74</v>
      </c>
      <c r="AO587" t="s">
        <v>425</v>
      </c>
      <c r="AP587" t="s">
        <v>426</v>
      </c>
      <c r="AQ587" t="s">
        <v>74</v>
      </c>
      <c r="AR587" t="s">
        <v>74</v>
      </c>
      <c r="AS587" t="s">
        <v>74</v>
      </c>
      <c r="AT587" t="s">
        <v>624</v>
      </c>
      <c r="AU587">
        <v>2013</v>
      </c>
      <c r="AV587">
        <v>58</v>
      </c>
      <c r="AW587">
        <v>7</v>
      </c>
      <c r="AX587" t="s">
        <v>74</v>
      </c>
      <c r="AY587" t="s">
        <v>74</v>
      </c>
      <c r="AZ587" t="s">
        <v>74</v>
      </c>
      <c r="BA587" t="s">
        <v>74</v>
      </c>
      <c r="BB587">
        <v>1366</v>
      </c>
      <c r="BC587">
        <v>1378</v>
      </c>
      <c r="BD587" t="s">
        <v>74</v>
      </c>
      <c r="BE587" t="s">
        <v>4397</v>
      </c>
      <c r="BF587" t="str">
        <f>HYPERLINK("http://dx.doi.org/10.1111/fwb.12133","http://dx.doi.org/10.1111/fwb.12133")</f>
        <v>http://dx.doi.org/10.1111/fwb.12133</v>
      </c>
      <c r="BG587" t="s">
        <v>74</v>
      </c>
      <c r="BH587" t="s">
        <v>74</v>
      </c>
      <c r="BI587" t="s">
        <v>74</v>
      </c>
      <c r="BJ587" t="s">
        <v>74</v>
      </c>
      <c r="BK587" t="s">
        <v>74</v>
      </c>
      <c r="BL587" t="s">
        <v>74</v>
      </c>
      <c r="BM587" t="s">
        <v>74</v>
      </c>
      <c r="BN587" t="s">
        <v>74</v>
      </c>
      <c r="BO587" t="s">
        <v>74</v>
      </c>
      <c r="BP587" t="s">
        <v>74</v>
      </c>
      <c r="BQ587" t="s">
        <v>74</v>
      </c>
      <c r="BR587" t="s">
        <v>74</v>
      </c>
      <c r="BS587" t="s">
        <v>4398</v>
      </c>
      <c r="BT587" t="str">
        <f>HYPERLINK("https%3A%2F%2Fwww.webofscience.com%2Fwos%2Fwoscc%2Ffull-record%2FWOS:000319946000006","View Full Record in Web of Science")</f>
        <v>View Full Record in Web of Science</v>
      </c>
    </row>
    <row r="588" spans="1:72" x14ac:dyDescent="0.2">
      <c r="A588" t="s">
        <v>72</v>
      </c>
      <c r="B588" t="s">
        <v>4399</v>
      </c>
      <c r="C588" t="s">
        <v>74</v>
      </c>
      <c r="D588" t="s">
        <v>74</v>
      </c>
      <c r="E588" t="s">
        <v>74</v>
      </c>
      <c r="F588" t="s">
        <v>4400</v>
      </c>
      <c r="G588" t="s">
        <v>74</v>
      </c>
      <c r="H588" t="s">
        <v>74</v>
      </c>
      <c r="I588" t="s">
        <v>4401</v>
      </c>
      <c r="J588" t="s">
        <v>1569</v>
      </c>
      <c r="K588" t="s">
        <v>74</v>
      </c>
      <c r="L588" t="s">
        <v>74</v>
      </c>
      <c r="M588" t="s">
        <v>74</v>
      </c>
      <c r="N588" t="s">
        <v>74</v>
      </c>
      <c r="O588" t="s">
        <v>74</v>
      </c>
      <c r="P588" t="s">
        <v>74</v>
      </c>
      <c r="Q588" t="s">
        <v>74</v>
      </c>
      <c r="R588" t="s">
        <v>74</v>
      </c>
      <c r="S588" t="s">
        <v>74</v>
      </c>
      <c r="T588" t="s">
        <v>74</v>
      </c>
      <c r="U588" t="s">
        <v>74</v>
      </c>
      <c r="V588" t="s">
        <v>74</v>
      </c>
      <c r="W588" t="s">
        <v>74</v>
      </c>
      <c r="X588" t="s">
        <v>74</v>
      </c>
      <c r="Y588" t="s">
        <v>74</v>
      </c>
      <c r="Z588" t="s">
        <v>74</v>
      </c>
      <c r="AA588" t="s">
        <v>4402</v>
      </c>
      <c r="AB588" t="s">
        <v>4403</v>
      </c>
      <c r="AC588" t="s">
        <v>74</v>
      </c>
      <c r="AD588" t="s">
        <v>74</v>
      </c>
      <c r="AE588" t="s">
        <v>74</v>
      </c>
      <c r="AF588" t="s">
        <v>74</v>
      </c>
      <c r="AG588" t="s">
        <v>74</v>
      </c>
      <c r="AH588" t="s">
        <v>74</v>
      </c>
      <c r="AI588" t="s">
        <v>74</v>
      </c>
      <c r="AJ588" t="s">
        <v>74</v>
      </c>
      <c r="AK588" t="s">
        <v>74</v>
      </c>
      <c r="AL588" t="s">
        <v>74</v>
      </c>
      <c r="AM588" t="s">
        <v>74</v>
      </c>
      <c r="AN588" t="s">
        <v>74</v>
      </c>
      <c r="AO588" t="s">
        <v>1571</v>
      </c>
      <c r="AP588" t="s">
        <v>1572</v>
      </c>
      <c r="AQ588" t="s">
        <v>74</v>
      </c>
      <c r="AR588" t="s">
        <v>74</v>
      </c>
      <c r="AS588" t="s">
        <v>74</v>
      </c>
      <c r="AT588" t="s">
        <v>569</v>
      </c>
      <c r="AU588">
        <v>2013</v>
      </c>
      <c r="AV588">
        <v>32</v>
      </c>
      <c r="AW588">
        <v>2</v>
      </c>
      <c r="AX588" t="s">
        <v>74</v>
      </c>
      <c r="AY588" t="s">
        <v>74</v>
      </c>
      <c r="AZ588" t="s">
        <v>74</v>
      </c>
      <c r="BA588" t="s">
        <v>74</v>
      </c>
      <c r="BB588">
        <v>517</v>
      </c>
      <c r="BC588">
        <v>524</v>
      </c>
      <c r="BD588" t="s">
        <v>74</v>
      </c>
      <c r="BE588" t="s">
        <v>4404</v>
      </c>
      <c r="BF588" t="str">
        <f>HYPERLINK("http://dx.doi.org/10.1899/12.157.1","http://dx.doi.org/10.1899/12.157.1")</f>
        <v>http://dx.doi.org/10.1899/12.157.1</v>
      </c>
      <c r="BG588" t="s">
        <v>74</v>
      </c>
      <c r="BH588" t="s">
        <v>74</v>
      </c>
      <c r="BI588" t="s">
        <v>74</v>
      </c>
      <c r="BJ588" t="s">
        <v>74</v>
      </c>
      <c r="BK588" t="s">
        <v>74</v>
      </c>
      <c r="BL588" t="s">
        <v>74</v>
      </c>
      <c r="BM588" t="s">
        <v>74</v>
      </c>
      <c r="BN588" t="s">
        <v>74</v>
      </c>
      <c r="BO588" t="s">
        <v>74</v>
      </c>
      <c r="BP588" t="s">
        <v>74</v>
      </c>
      <c r="BQ588" t="s">
        <v>74</v>
      </c>
      <c r="BR588" t="s">
        <v>74</v>
      </c>
      <c r="BS588" t="s">
        <v>4405</v>
      </c>
      <c r="BT588" t="str">
        <f>HYPERLINK("https%3A%2F%2Fwww.webofscience.com%2Fwos%2Fwoscc%2Ffull-record%2FWOS:000318774500012","View Full Record in Web of Science")</f>
        <v>View Full Record in Web of Science</v>
      </c>
    </row>
    <row r="589" spans="1:72" x14ac:dyDescent="0.2">
      <c r="A589" t="s">
        <v>72</v>
      </c>
      <c r="B589" t="s">
        <v>4406</v>
      </c>
      <c r="C589" t="s">
        <v>74</v>
      </c>
      <c r="D589" t="s">
        <v>74</v>
      </c>
      <c r="E589" t="s">
        <v>74</v>
      </c>
      <c r="F589" t="s">
        <v>4407</v>
      </c>
      <c r="G589" t="s">
        <v>74</v>
      </c>
      <c r="H589" t="s">
        <v>74</v>
      </c>
      <c r="I589" t="s">
        <v>4408</v>
      </c>
      <c r="J589" t="s">
        <v>596</v>
      </c>
      <c r="K589" t="s">
        <v>74</v>
      </c>
      <c r="L589" t="s">
        <v>74</v>
      </c>
      <c r="M589" t="s">
        <v>74</v>
      </c>
      <c r="N589" t="s">
        <v>74</v>
      </c>
      <c r="O589" t="s">
        <v>74</v>
      </c>
      <c r="P589" t="s">
        <v>74</v>
      </c>
      <c r="Q589" t="s">
        <v>74</v>
      </c>
      <c r="R589" t="s">
        <v>74</v>
      </c>
      <c r="S589" t="s">
        <v>74</v>
      </c>
      <c r="T589" t="s">
        <v>74</v>
      </c>
      <c r="U589" t="s">
        <v>74</v>
      </c>
      <c r="V589" t="s">
        <v>74</v>
      </c>
      <c r="W589" t="s">
        <v>74</v>
      </c>
      <c r="X589" t="s">
        <v>74</v>
      </c>
      <c r="Y589" t="s">
        <v>74</v>
      </c>
      <c r="Z589" t="s">
        <v>74</v>
      </c>
      <c r="AA589" t="s">
        <v>4409</v>
      </c>
      <c r="AB589" t="s">
        <v>4410</v>
      </c>
      <c r="AC589" t="s">
        <v>74</v>
      </c>
      <c r="AD589" t="s">
        <v>74</v>
      </c>
      <c r="AE589" t="s">
        <v>74</v>
      </c>
      <c r="AF589" t="s">
        <v>74</v>
      </c>
      <c r="AG589" t="s">
        <v>74</v>
      </c>
      <c r="AH589" t="s">
        <v>74</v>
      </c>
      <c r="AI589" t="s">
        <v>74</v>
      </c>
      <c r="AJ589" t="s">
        <v>74</v>
      </c>
      <c r="AK589" t="s">
        <v>74</v>
      </c>
      <c r="AL589" t="s">
        <v>74</v>
      </c>
      <c r="AM589" t="s">
        <v>74</v>
      </c>
      <c r="AN589" t="s">
        <v>74</v>
      </c>
      <c r="AO589" t="s">
        <v>597</v>
      </c>
      <c r="AP589" t="s">
        <v>74</v>
      </c>
      <c r="AQ589" t="s">
        <v>74</v>
      </c>
      <c r="AR589" t="s">
        <v>74</v>
      </c>
      <c r="AS589" t="s">
        <v>74</v>
      </c>
      <c r="AT589" t="s">
        <v>575</v>
      </c>
      <c r="AU589">
        <v>2013</v>
      </c>
      <c r="AV589">
        <v>4</v>
      </c>
      <c r="AW589">
        <v>5</v>
      </c>
      <c r="AX589" t="s">
        <v>74</v>
      </c>
      <c r="AY589" t="s">
        <v>74</v>
      </c>
      <c r="AZ589" t="s">
        <v>74</v>
      </c>
      <c r="BA589" t="s">
        <v>74</v>
      </c>
      <c r="BB589" t="s">
        <v>74</v>
      </c>
      <c r="BC589" t="s">
        <v>74</v>
      </c>
      <c r="BD589">
        <v>62</v>
      </c>
      <c r="BE589" t="s">
        <v>4411</v>
      </c>
      <c r="BF589" t="str">
        <f>HYPERLINK("http://dx.doi.org/10.1890/ES13-00019.1","http://dx.doi.org/10.1890/ES13-00019.1")</f>
        <v>http://dx.doi.org/10.1890/ES13-00019.1</v>
      </c>
      <c r="BG589" t="s">
        <v>74</v>
      </c>
      <c r="BH589" t="s">
        <v>74</v>
      </c>
      <c r="BI589" t="s">
        <v>74</v>
      </c>
      <c r="BJ589" t="s">
        <v>74</v>
      </c>
      <c r="BK589" t="s">
        <v>74</v>
      </c>
      <c r="BL589" t="s">
        <v>74</v>
      </c>
      <c r="BM589" t="s">
        <v>74</v>
      </c>
      <c r="BN589" t="s">
        <v>74</v>
      </c>
      <c r="BO589" t="s">
        <v>74</v>
      </c>
      <c r="BP589" t="s">
        <v>74</v>
      </c>
      <c r="BQ589" t="s">
        <v>74</v>
      </c>
      <c r="BR589" t="s">
        <v>74</v>
      </c>
      <c r="BS589" t="s">
        <v>4412</v>
      </c>
      <c r="BT589" t="str">
        <f>HYPERLINK("https%3A%2F%2Fwww.webofscience.com%2Fwos%2Fwoscc%2Ffull-record%2FWOS:000327308300011","View Full Record in Web of Science")</f>
        <v>View Full Record in Web of Science</v>
      </c>
    </row>
    <row r="590" spans="1:72" x14ac:dyDescent="0.2">
      <c r="A590" t="s">
        <v>72</v>
      </c>
      <c r="B590" t="s">
        <v>4413</v>
      </c>
      <c r="C590" t="s">
        <v>74</v>
      </c>
      <c r="D590" t="s">
        <v>74</v>
      </c>
      <c r="E590" t="s">
        <v>74</v>
      </c>
      <c r="F590" t="s">
        <v>4414</v>
      </c>
      <c r="G590" t="s">
        <v>74</v>
      </c>
      <c r="H590" t="s">
        <v>74</v>
      </c>
      <c r="I590" t="s">
        <v>4415</v>
      </c>
      <c r="J590" t="s">
        <v>115</v>
      </c>
      <c r="K590" t="s">
        <v>74</v>
      </c>
      <c r="L590" t="s">
        <v>74</v>
      </c>
      <c r="M590" t="s">
        <v>74</v>
      </c>
      <c r="N590" t="s">
        <v>74</v>
      </c>
      <c r="O590" t="s">
        <v>74</v>
      </c>
      <c r="P590" t="s">
        <v>74</v>
      </c>
      <c r="Q590" t="s">
        <v>74</v>
      </c>
      <c r="R590" t="s">
        <v>74</v>
      </c>
      <c r="S590" t="s">
        <v>74</v>
      </c>
      <c r="T590" t="s">
        <v>74</v>
      </c>
      <c r="U590" t="s">
        <v>74</v>
      </c>
      <c r="V590" t="s">
        <v>74</v>
      </c>
      <c r="W590" t="s">
        <v>74</v>
      </c>
      <c r="X590" t="s">
        <v>74</v>
      </c>
      <c r="Y590" t="s">
        <v>74</v>
      </c>
      <c r="Z590" t="s">
        <v>74</v>
      </c>
      <c r="AA590" t="s">
        <v>4416</v>
      </c>
      <c r="AB590" t="s">
        <v>4417</v>
      </c>
      <c r="AC590" t="s">
        <v>74</v>
      </c>
      <c r="AD590" t="s">
        <v>74</v>
      </c>
      <c r="AE590" t="s">
        <v>74</v>
      </c>
      <c r="AF590" t="s">
        <v>74</v>
      </c>
      <c r="AG590" t="s">
        <v>74</v>
      </c>
      <c r="AH590" t="s">
        <v>74</v>
      </c>
      <c r="AI590" t="s">
        <v>74</v>
      </c>
      <c r="AJ590" t="s">
        <v>74</v>
      </c>
      <c r="AK590" t="s">
        <v>74</v>
      </c>
      <c r="AL590" t="s">
        <v>74</v>
      </c>
      <c r="AM590" t="s">
        <v>74</v>
      </c>
      <c r="AN590" t="s">
        <v>74</v>
      </c>
      <c r="AO590" t="s">
        <v>116</v>
      </c>
      <c r="AP590" t="s">
        <v>117</v>
      </c>
      <c r="AQ590" t="s">
        <v>74</v>
      </c>
      <c r="AR590" t="s">
        <v>74</v>
      </c>
      <c r="AS590" t="s">
        <v>74</v>
      </c>
      <c r="AT590" t="s">
        <v>4418</v>
      </c>
      <c r="AU590">
        <v>2013</v>
      </c>
      <c r="AV590">
        <v>47</v>
      </c>
      <c r="AW590">
        <v>8</v>
      </c>
      <c r="AX590" t="s">
        <v>74</v>
      </c>
      <c r="AY590" t="s">
        <v>74</v>
      </c>
      <c r="AZ590" t="s">
        <v>74</v>
      </c>
      <c r="BA590" t="s">
        <v>74</v>
      </c>
      <c r="BB590">
        <v>3768</v>
      </c>
      <c r="BC590">
        <v>3773</v>
      </c>
      <c r="BD590" t="s">
        <v>74</v>
      </c>
      <c r="BE590" t="s">
        <v>4419</v>
      </c>
      <c r="BF590" t="str">
        <f>HYPERLINK("http://dx.doi.org/10.1021/es304997p","http://dx.doi.org/10.1021/es304997p")</f>
        <v>http://dx.doi.org/10.1021/es304997p</v>
      </c>
      <c r="BG590" t="s">
        <v>74</v>
      </c>
      <c r="BH590" t="s">
        <v>74</v>
      </c>
      <c r="BI590" t="s">
        <v>74</v>
      </c>
      <c r="BJ590" t="s">
        <v>74</v>
      </c>
      <c r="BK590" t="s">
        <v>74</v>
      </c>
      <c r="BL590" t="s">
        <v>74</v>
      </c>
      <c r="BM590" t="s">
        <v>74</v>
      </c>
      <c r="BN590">
        <v>23496057</v>
      </c>
      <c r="BO590" t="s">
        <v>74</v>
      </c>
      <c r="BP590" t="s">
        <v>74</v>
      </c>
      <c r="BQ590" t="s">
        <v>74</v>
      </c>
      <c r="BR590" t="s">
        <v>74</v>
      </c>
      <c r="BS590" t="s">
        <v>4420</v>
      </c>
      <c r="BT590" t="str">
        <f>HYPERLINK("https%3A%2F%2Fwww.webofscience.com%2Fwos%2Fwoscc%2Ffull-record%2FWOS:000317813400029","View Full Record in Web of Science")</f>
        <v>View Full Record in Web of Science</v>
      </c>
    </row>
    <row r="591" spans="1:72" x14ac:dyDescent="0.2">
      <c r="A591" t="s">
        <v>72</v>
      </c>
      <c r="B591" t="s">
        <v>4421</v>
      </c>
      <c r="C591" t="s">
        <v>74</v>
      </c>
      <c r="D591" t="s">
        <v>74</v>
      </c>
      <c r="E591" t="s">
        <v>74</v>
      </c>
      <c r="F591" t="s">
        <v>4422</v>
      </c>
      <c r="G591" t="s">
        <v>74</v>
      </c>
      <c r="H591" t="s">
        <v>74</v>
      </c>
      <c r="I591" t="s">
        <v>4423</v>
      </c>
      <c r="J591" t="s">
        <v>4424</v>
      </c>
      <c r="K591" t="s">
        <v>74</v>
      </c>
      <c r="L591" t="s">
        <v>74</v>
      </c>
      <c r="M591" t="s">
        <v>74</v>
      </c>
      <c r="N591" t="s">
        <v>74</v>
      </c>
      <c r="O591" t="s">
        <v>74</v>
      </c>
      <c r="P591" t="s">
        <v>74</v>
      </c>
      <c r="Q591" t="s">
        <v>74</v>
      </c>
      <c r="R591" t="s">
        <v>74</v>
      </c>
      <c r="S591" t="s">
        <v>74</v>
      </c>
      <c r="T591" t="s">
        <v>74</v>
      </c>
      <c r="U591" t="s">
        <v>74</v>
      </c>
      <c r="V591" t="s">
        <v>74</v>
      </c>
      <c r="W591" t="s">
        <v>74</v>
      </c>
      <c r="X591" t="s">
        <v>74</v>
      </c>
      <c r="Y591" t="s">
        <v>74</v>
      </c>
      <c r="Z591" t="s">
        <v>74</v>
      </c>
      <c r="AA591" t="s">
        <v>74</v>
      </c>
      <c r="AB591" t="s">
        <v>74</v>
      </c>
      <c r="AC591" t="s">
        <v>74</v>
      </c>
      <c r="AD591" t="s">
        <v>74</v>
      </c>
      <c r="AE591" t="s">
        <v>74</v>
      </c>
      <c r="AF591" t="s">
        <v>74</v>
      </c>
      <c r="AG591" t="s">
        <v>74</v>
      </c>
      <c r="AH591" t="s">
        <v>74</v>
      </c>
      <c r="AI591" t="s">
        <v>74</v>
      </c>
      <c r="AJ591" t="s">
        <v>74</v>
      </c>
      <c r="AK591" t="s">
        <v>74</v>
      </c>
      <c r="AL591" t="s">
        <v>74</v>
      </c>
      <c r="AM591" t="s">
        <v>74</v>
      </c>
      <c r="AN591" t="s">
        <v>74</v>
      </c>
      <c r="AO591" t="s">
        <v>4425</v>
      </c>
      <c r="AP591" t="s">
        <v>4426</v>
      </c>
      <c r="AQ591" t="s">
        <v>74</v>
      </c>
      <c r="AR591" t="s">
        <v>74</v>
      </c>
      <c r="AS591" t="s">
        <v>74</v>
      </c>
      <c r="AT591" t="s">
        <v>203</v>
      </c>
      <c r="AU591">
        <v>2013</v>
      </c>
      <c r="AV591">
        <v>15</v>
      </c>
      <c r="AW591">
        <v>4</v>
      </c>
      <c r="AX591" t="s">
        <v>74</v>
      </c>
      <c r="AY591" t="s">
        <v>74</v>
      </c>
      <c r="AZ591" t="s">
        <v>74</v>
      </c>
      <c r="BA591" t="s">
        <v>74</v>
      </c>
      <c r="BB591">
        <v>859</v>
      </c>
      <c r="BC591">
        <v>869</v>
      </c>
      <c r="BD591" t="s">
        <v>74</v>
      </c>
      <c r="BE591" t="s">
        <v>4427</v>
      </c>
      <c r="BF591" t="str">
        <f>HYPERLINK("http://dx.doi.org/10.1007/s10530-012-0335-5","http://dx.doi.org/10.1007/s10530-012-0335-5")</f>
        <v>http://dx.doi.org/10.1007/s10530-012-0335-5</v>
      </c>
      <c r="BG591" t="s">
        <v>74</v>
      </c>
      <c r="BH591" t="s">
        <v>74</v>
      </c>
      <c r="BI591" t="s">
        <v>74</v>
      </c>
      <c r="BJ591" t="s">
        <v>74</v>
      </c>
      <c r="BK591" t="s">
        <v>74</v>
      </c>
      <c r="BL591" t="s">
        <v>74</v>
      </c>
      <c r="BM591" t="s">
        <v>74</v>
      </c>
      <c r="BN591" t="s">
        <v>74</v>
      </c>
      <c r="BO591" t="s">
        <v>74</v>
      </c>
      <c r="BP591" t="s">
        <v>74</v>
      </c>
      <c r="BQ591" t="s">
        <v>74</v>
      </c>
      <c r="BR591" t="s">
        <v>74</v>
      </c>
      <c r="BS591" t="s">
        <v>4428</v>
      </c>
      <c r="BT591" t="str">
        <f>HYPERLINK("https%3A%2F%2Fwww.webofscience.com%2Fwos%2Fwoscc%2Ffull-record%2FWOS:000316200700013","View Full Record in Web of Science")</f>
        <v>View Full Record in Web of Science</v>
      </c>
    </row>
    <row r="592" spans="1:72" x14ac:dyDescent="0.2">
      <c r="A592" t="s">
        <v>72</v>
      </c>
      <c r="B592" t="s">
        <v>4429</v>
      </c>
      <c r="C592" t="s">
        <v>74</v>
      </c>
      <c r="D592" t="s">
        <v>74</v>
      </c>
      <c r="E592" t="s">
        <v>74</v>
      </c>
      <c r="F592" t="s">
        <v>4430</v>
      </c>
      <c r="G592" t="s">
        <v>74</v>
      </c>
      <c r="H592" t="s">
        <v>74</v>
      </c>
      <c r="I592" t="s">
        <v>4431</v>
      </c>
      <c r="J592" t="s">
        <v>4432</v>
      </c>
      <c r="K592" t="s">
        <v>74</v>
      </c>
      <c r="L592" t="s">
        <v>74</v>
      </c>
      <c r="M592" t="s">
        <v>74</v>
      </c>
      <c r="N592" t="s">
        <v>74</v>
      </c>
      <c r="O592" t="s">
        <v>74</v>
      </c>
      <c r="P592" t="s">
        <v>74</v>
      </c>
      <c r="Q592" t="s">
        <v>74</v>
      </c>
      <c r="R592" t="s">
        <v>74</v>
      </c>
      <c r="S592" t="s">
        <v>74</v>
      </c>
      <c r="T592" t="s">
        <v>74</v>
      </c>
      <c r="U592" t="s">
        <v>74</v>
      </c>
      <c r="V592" t="s">
        <v>74</v>
      </c>
      <c r="W592" t="s">
        <v>74</v>
      </c>
      <c r="X592" t="s">
        <v>74</v>
      </c>
      <c r="Y592" t="s">
        <v>74</v>
      </c>
      <c r="Z592" t="s">
        <v>74</v>
      </c>
      <c r="AA592" t="s">
        <v>4433</v>
      </c>
      <c r="AB592" t="s">
        <v>4434</v>
      </c>
      <c r="AC592" t="s">
        <v>74</v>
      </c>
      <c r="AD592" t="s">
        <v>74</v>
      </c>
      <c r="AE592" t="s">
        <v>74</v>
      </c>
      <c r="AF592" t="s">
        <v>74</v>
      </c>
      <c r="AG592" t="s">
        <v>74</v>
      </c>
      <c r="AH592" t="s">
        <v>74</v>
      </c>
      <c r="AI592" t="s">
        <v>74</v>
      </c>
      <c r="AJ592" t="s">
        <v>74</v>
      </c>
      <c r="AK592" t="s">
        <v>74</v>
      </c>
      <c r="AL592" t="s">
        <v>74</v>
      </c>
      <c r="AM592" t="s">
        <v>74</v>
      </c>
      <c r="AN592" t="s">
        <v>74</v>
      </c>
      <c r="AO592" t="s">
        <v>4435</v>
      </c>
      <c r="AP592" t="s">
        <v>4436</v>
      </c>
      <c r="AQ592" t="s">
        <v>74</v>
      </c>
      <c r="AR592" t="s">
        <v>74</v>
      </c>
      <c r="AS592" t="s">
        <v>74</v>
      </c>
      <c r="AT592" t="s">
        <v>203</v>
      </c>
      <c r="AU592">
        <v>2013</v>
      </c>
      <c r="AV592">
        <v>160</v>
      </c>
      <c r="AW592" t="s">
        <v>74</v>
      </c>
      <c r="AX592" t="s">
        <v>74</v>
      </c>
      <c r="AY592" t="s">
        <v>74</v>
      </c>
      <c r="AZ592" t="s">
        <v>74</v>
      </c>
      <c r="BA592" t="s">
        <v>74</v>
      </c>
      <c r="BB592">
        <v>40</v>
      </c>
      <c r="BC592">
        <v>49</v>
      </c>
      <c r="BD592" t="s">
        <v>74</v>
      </c>
      <c r="BE592" t="s">
        <v>4437</v>
      </c>
      <c r="BF592" t="str">
        <f>HYPERLINK("http://dx.doi.org/10.1016/j.biocon.2012.12.032","http://dx.doi.org/10.1016/j.biocon.2012.12.032")</f>
        <v>http://dx.doi.org/10.1016/j.biocon.2012.12.032</v>
      </c>
      <c r="BG592" t="s">
        <v>74</v>
      </c>
      <c r="BH592" t="s">
        <v>74</v>
      </c>
      <c r="BI592" t="s">
        <v>74</v>
      </c>
      <c r="BJ592" t="s">
        <v>74</v>
      </c>
      <c r="BK592" t="s">
        <v>74</v>
      </c>
      <c r="BL592" t="s">
        <v>74</v>
      </c>
      <c r="BM592" t="s">
        <v>74</v>
      </c>
      <c r="BN592" t="s">
        <v>74</v>
      </c>
      <c r="BO592" t="s">
        <v>74</v>
      </c>
      <c r="BP592" t="s">
        <v>74</v>
      </c>
      <c r="BQ592" t="s">
        <v>74</v>
      </c>
      <c r="BR592" t="s">
        <v>74</v>
      </c>
      <c r="BS592" t="s">
        <v>4438</v>
      </c>
      <c r="BT592" t="str">
        <f>HYPERLINK("https%3A%2F%2Fwww.webofscience.com%2Fwos%2Fwoscc%2Ffull-record%2FWOS:000320684700006","View Full Record in Web of Science")</f>
        <v>View Full Record in Web of Science</v>
      </c>
    </row>
    <row r="593" spans="1:72" x14ac:dyDescent="0.2">
      <c r="A593" t="s">
        <v>72</v>
      </c>
      <c r="B593" t="s">
        <v>4439</v>
      </c>
      <c r="C593" t="s">
        <v>74</v>
      </c>
      <c r="D593" t="s">
        <v>74</v>
      </c>
      <c r="E593" t="s">
        <v>74</v>
      </c>
      <c r="F593" t="s">
        <v>4440</v>
      </c>
      <c r="G593" t="s">
        <v>74</v>
      </c>
      <c r="H593" t="s">
        <v>74</v>
      </c>
      <c r="I593" t="s">
        <v>4441</v>
      </c>
      <c r="J593" t="s">
        <v>171</v>
      </c>
      <c r="K593" t="s">
        <v>74</v>
      </c>
      <c r="L593" t="s">
        <v>74</v>
      </c>
      <c r="M593" t="s">
        <v>74</v>
      </c>
      <c r="N593" t="s">
        <v>74</v>
      </c>
      <c r="O593" t="s">
        <v>74</v>
      </c>
      <c r="P593" t="s">
        <v>74</v>
      </c>
      <c r="Q593" t="s">
        <v>74</v>
      </c>
      <c r="R593" t="s">
        <v>74</v>
      </c>
      <c r="S593" t="s">
        <v>74</v>
      </c>
      <c r="T593" t="s">
        <v>74</v>
      </c>
      <c r="U593" t="s">
        <v>74</v>
      </c>
      <c r="V593" t="s">
        <v>74</v>
      </c>
      <c r="W593" t="s">
        <v>74</v>
      </c>
      <c r="X593" t="s">
        <v>74</v>
      </c>
      <c r="Y593" t="s">
        <v>74</v>
      </c>
      <c r="Z593" t="s">
        <v>74</v>
      </c>
      <c r="AA593" t="s">
        <v>74</v>
      </c>
      <c r="AB593" t="s">
        <v>74</v>
      </c>
      <c r="AC593" t="s">
        <v>74</v>
      </c>
      <c r="AD593" t="s">
        <v>74</v>
      </c>
      <c r="AE593" t="s">
        <v>74</v>
      </c>
      <c r="AF593" t="s">
        <v>74</v>
      </c>
      <c r="AG593" t="s">
        <v>74</v>
      </c>
      <c r="AH593" t="s">
        <v>74</v>
      </c>
      <c r="AI593" t="s">
        <v>74</v>
      </c>
      <c r="AJ593" t="s">
        <v>74</v>
      </c>
      <c r="AK593" t="s">
        <v>74</v>
      </c>
      <c r="AL593" t="s">
        <v>74</v>
      </c>
      <c r="AM593" t="s">
        <v>74</v>
      </c>
      <c r="AN593" t="s">
        <v>74</v>
      </c>
      <c r="AO593" t="s">
        <v>172</v>
      </c>
      <c r="AP593" t="s">
        <v>74</v>
      </c>
      <c r="AQ593" t="s">
        <v>74</v>
      </c>
      <c r="AR593" t="s">
        <v>74</v>
      </c>
      <c r="AS593" t="s">
        <v>74</v>
      </c>
      <c r="AT593" t="s">
        <v>727</v>
      </c>
      <c r="AU593">
        <v>2013</v>
      </c>
      <c r="AV593">
        <v>47</v>
      </c>
      <c r="AW593">
        <v>5</v>
      </c>
      <c r="AX593" t="s">
        <v>74</v>
      </c>
      <c r="AY593" t="s">
        <v>74</v>
      </c>
      <c r="AZ593" t="s">
        <v>74</v>
      </c>
      <c r="BA593" t="s">
        <v>74</v>
      </c>
      <c r="BB593">
        <v>1928</v>
      </c>
      <c r="BC593">
        <v>1940</v>
      </c>
      <c r="BD593" t="s">
        <v>74</v>
      </c>
      <c r="BE593" t="s">
        <v>4442</v>
      </c>
      <c r="BF593" t="str">
        <f>HYPERLINK("http://dx.doi.org/10.1016/j.watres.2013.01.024","http://dx.doi.org/10.1016/j.watres.2013.01.024")</f>
        <v>http://dx.doi.org/10.1016/j.watres.2013.01.024</v>
      </c>
      <c r="BG593" t="s">
        <v>74</v>
      </c>
      <c r="BH593" t="s">
        <v>74</v>
      </c>
      <c r="BI593" t="s">
        <v>74</v>
      </c>
      <c r="BJ593" t="s">
        <v>74</v>
      </c>
      <c r="BK593" t="s">
        <v>74</v>
      </c>
      <c r="BL593" t="s">
        <v>74</v>
      </c>
      <c r="BM593" t="s">
        <v>74</v>
      </c>
      <c r="BN593">
        <v>23391333</v>
      </c>
      <c r="BO593" t="s">
        <v>74</v>
      </c>
      <c r="BP593" t="s">
        <v>74</v>
      </c>
      <c r="BQ593" t="s">
        <v>74</v>
      </c>
      <c r="BR593" t="s">
        <v>74</v>
      </c>
      <c r="BS593" t="s">
        <v>4443</v>
      </c>
      <c r="BT593" t="str">
        <f>HYPERLINK("https%3A%2F%2Fwww.webofscience.com%2Fwos%2Fwoscc%2Ffull-record%2FWOS:000315543100021","View Full Record in Web of Science")</f>
        <v>View Full Record in Web of Science</v>
      </c>
    </row>
    <row r="594" spans="1:72" x14ac:dyDescent="0.2">
      <c r="A594" t="s">
        <v>72</v>
      </c>
      <c r="B594" t="s">
        <v>4444</v>
      </c>
      <c r="C594" t="s">
        <v>74</v>
      </c>
      <c r="D594" t="s">
        <v>74</v>
      </c>
      <c r="E594" t="s">
        <v>74</v>
      </c>
      <c r="F594" t="s">
        <v>4445</v>
      </c>
      <c r="G594" t="s">
        <v>74</v>
      </c>
      <c r="H594" t="s">
        <v>74</v>
      </c>
      <c r="I594" t="s">
        <v>4446</v>
      </c>
      <c r="J594" t="s">
        <v>3443</v>
      </c>
      <c r="K594" t="s">
        <v>74</v>
      </c>
      <c r="L594" t="s">
        <v>74</v>
      </c>
      <c r="M594" t="s">
        <v>74</v>
      </c>
      <c r="N594" t="s">
        <v>74</v>
      </c>
      <c r="O594" t="s">
        <v>74</v>
      </c>
      <c r="P594" t="s">
        <v>74</v>
      </c>
      <c r="Q594" t="s">
        <v>74</v>
      </c>
      <c r="R594" t="s">
        <v>74</v>
      </c>
      <c r="S594" t="s">
        <v>74</v>
      </c>
      <c r="T594" t="s">
        <v>74</v>
      </c>
      <c r="U594" t="s">
        <v>74</v>
      </c>
      <c r="V594" t="s">
        <v>74</v>
      </c>
      <c r="W594" t="s">
        <v>74</v>
      </c>
      <c r="X594" t="s">
        <v>74</v>
      </c>
      <c r="Y594" t="s">
        <v>74</v>
      </c>
      <c r="Z594" t="s">
        <v>74</v>
      </c>
      <c r="AA594" t="s">
        <v>74</v>
      </c>
      <c r="AB594" t="s">
        <v>7106</v>
      </c>
      <c r="AC594" t="s">
        <v>74</v>
      </c>
      <c r="AD594" t="s">
        <v>74</v>
      </c>
      <c r="AE594" t="s">
        <v>74</v>
      </c>
      <c r="AF594" t="s">
        <v>74</v>
      </c>
      <c r="AG594" t="s">
        <v>74</v>
      </c>
      <c r="AH594" t="s">
        <v>74</v>
      </c>
      <c r="AI594" t="s">
        <v>74</v>
      </c>
      <c r="AJ594" t="s">
        <v>74</v>
      </c>
      <c r="AK594" t="s">
        <v>74</v>
      </c>
      <c r="AL594" t="s">
        <v>74</v>
      </c>
      <c r="AM594" t="s">
        <v>74</v>
      </c>
      <c r="AN594" t="s">
        <v>74</v>
      </c>
      <c r="AO594" t="s">
        <v>3445</v>
      </c>
      <c r="AP594" t="s">
        <v>74</v>
      </c>
      <c r="AQ594" t="s">
        <v>74</v>
      </c>
      <c r="AR594" t="s">
        <v>74</v>
      </c>
      <c r="AS594" t="s">
        <v>74</v>
      </c>
      <c r="AT594" t="s">
        <v>4447</v>
      </c>
      <c r="AU594">
        <v>2013</v>
      </c>
      <c r="AV594">
        <v>8</v>
      </c>
      <c r="AW594">
        <v>3</v>
      </c>
      <c r="AX594" t="s">
        <v>74</v>
      </c>
      <c r="AY594" t="s">
        <v>74</v>
      </c>
      <c r="AZ594" t="s">
        <v>74</v>
      </c>
      <c r="BA594" t="s">
        <v>74</v>
      </c>
      <c r="BB594" t="s">
        <v>74</v>
      </c>
      <c r="BC594" t="s">
        <v>74</v>
      </c>
      <c r="BD594" t="s">
        <v>4448</v>
      </c>
      <c r="BE594" t="s">
        <v>4449</v>
      </c>
      <c r="BF594" t="str">
        <f>HYPERLINK("http://dx.doi.org/10.1371/journal.pone.0057139","http://dx.doi.org/10.1371/journal.pone.0057139")</f>
        <v>http://dx.doi.org/10.1371/journal.pone.0057139</v>
      </c>
      <c r="BG594" t="s">
        <v>74</v>
      </c>
      <c r="BH594" t="s">
        <v>74</v>
      </c>
      <c r="BI594" t="s">
        <v>74</v>
      </c>
      <c r="BJ594" t="s">
        <v>74</v>
      </c>
      <c r="BK594" t="s">
        <v>74</v>
      </c>
      <c r="BL594" t="s">
        <v>74</v>
      </c>
      <c r="BM594" t="s">
        <v>74</v>
      </c>
      <c r="BN594">
        <v>23526934</v>
      </c>
      <c r="BO594" t="s">
        <v>74</v>
      </c>
      <c r="BP594" t="s">
        <v>74</v>
      </c>
      <c r="BQ594" t="s">
        <v>74</v>
      </c>
      <c r="BR594" t="s">
        <v>74</v>
      </c>
      <c r="BS594" t="s">
        <v>4450</v>
      </c>
      <c r="BT594" t="str">
        <f>HYPERLINK("https%3A%2F%2Fwww.webofscience.com%2Fwos%2Fwoscc%2Ffull-record%2FWOS:000317562100006","View Full Record in Web of Science")</f>
        <v>View Full Record in Web of Science</v>
      </c>
    </row>
    <row r="595" spans="1:72" x14ac:dyDescent="0.2">
      <c r="A595" t="s">
        <v>72</v>
      </c>
      <c r="B595" t="s">
        <v>4451</v>
      </c>
      <c r="C595" t="s">
        <v>74</v>
      </c>
      <c r="D595" t="s">
        <v>74</v>
      </c>
      <c r="E595" t="s">
        <v>74</v>
      </c>
      <c r="F595" t="s">
        <v>4452</v>
      </c>
      <c r="G595" t="s">
        <v>74</v>
      </c>
      <c r="H595" t="s">
        <v>74</v>
      </c>
      <c r="I595" t="s">
        <v>4453</v>
      </c>
      <c r="J595" t="s">
        <v>106</v>
      </c>
      <c r="K595" t="s">
        <v>74</v>
      </c>
      <c r="L595" t="s">
        <v>74</v>
      </c>
      <c r="M595" t="s">
        <v>74</v>
      </c>
      <c r="N595" t="s">
        <v>74</v>
      </c>
      <c r="O595" t="s">
        <v>74</v>
      </c>
      <c r="P595" t="s">
        <v>74</v>
      </c>
      <c r="Q595" t="s">
        <v>74</v>
      </c>
      <c r="R595" t="s">
        <v>74</v>
      </c>
      <c r="S595" t="s">
        <v>74</v>
      </c>
      <c r="T595" t="s">
        <v>74</v>
      </c>
      <c r="U595" t="s">
        <v>74</v>
      </c>
      <c r="V595" t="s">
        <v>74</v>
      </c>
      <c r="W595" t="s">
        <v>74</v>
      </c>
      <c r="X595" t="s">
        <v>74</v>
      </c>
      <c r="Y595" t="s">
        <v>74</v>
      </c>
      <c r="Z595" t="s">
        <v>74</v>
      </c>
      <c r="AA595" t="s">
        <v>4454</v>
      </c>
      <c r="AB595" t="s">
        <v>4455</v>
      </c>
      <c r="AC595" t="s">
        <v>74</v>
      </c>
      <c r="AD595" t="s">
        <v>74</v>
      </c>
      <c r="AE595" t="s">
        <v>74</v>
      </c>
      <c r="AF595" t="s">
        <v>74</v>
      </c>
      <c r="AG595" t="s">
        <v>74</v>
      </c>
      <c r="AH595" t="s">
        <v>74</v>
      </c>
      <c r="AI595" t="s">
        <v>74</v>
      </c>
      <c r="AJ595" t="s">
        <v>74</v>
      </c>
      <c r="AK595" t="s">
        <v>74</v>
      </c>
      <c r="AL595" t="s">
        <v>74</v>
      </c>
      <c r="AM595" t="s">
        <v>74</v>
      </c>
      <c r="AN595" t="s">
        <v>74</v>
      </c>
      <c r="AO595" t="s">
        <v>107</v>
      </c>
      <c r="AP595" t="s">
        <v>108</v>
      </c>
      <c r="AQ595" t="s">
        <v>74</v>
      </c>
      <c r="AR595" t="s">
        <v>74</v>
      </c>
      <c r="AS595" t="s">
        <v>74</v>
      </c>
      <c r="AT595" t="s">
        <v>3094</v>
      </c>
      <c r="AU595">
        <v>2013</v>
      </c>
      <c r="AV595">
        <v>35</v>
      </c>
      <c r="AW595">
        <v>2</v>
      </c>
      <c r="AX595" t="s">
        <v>74</v>
      </c>
      <c r="AY595" t="s">
        <v>74</v>
      </c>
      <c r="AZ595" t="s">
        <v>74</v>
      </c>
      <c r="BA595" t="s">
        <v>74</v>
      </c>
      <c r="BB595">
        <v>407</v>
      </c>
      <c r="BC595">
        <v>420</v>
      </c>
      <c r="BD595" t="s">
        <v>74</v>
      </c>
      <c r="BE595" t="s">
        <v>4456</v>
      </c>
      <c r="BF595" t="str">
        <f>HYPERLINK("http://dx.doi.org/10.1093/plankt/fbs104","http://dx.doi.org/10.1093/plankt/fbs104")</f>
        <v>http://dx.doi.org/10.1093/plankt/fbs104</v>
      </c>
      <c r="BG595" t="s">
        <v>74</v>
      </c>
      <c r="BH595" t="s">
        <v>74</v>
      </c>
      <c r="BI595" t="s">
        <v>74</v>
      </c>
      <c r="BJ595" t="s">
        <v>74</v>
      </c>
      <c r="BK595" t="s">
        <v>74</v>
      </c>
      <c r="BL595" t="s">
        <v>74</v>
      </c>
      <c r="BM595" t="s">
        <v>74</v>
      </c>
      <c r="BN595" t="s">
        <v>74</v>
      </c>
      <c r="BO595" t="s">
        <v>74</v>
      </c>
      <c r="BP595" t="s">
        <v>74</v>
      </c>
      <c r="BQ595" t="s">
        <v>74</v>
      </c>
      <c r="BR595" t="s">
        <v>74</v>
      </c>
      <c r="BS595" t="s">
        <v>4457</v>
      </c>
      <c r="BT595" t="str">
        <f>HYPERLINK("https%3A%2F%2Fwww.webofscience.com%2Fwos%2Fwoscc%2Ffull-record%2FWOS:000316129700014","View Full Record in Web of Science")</f>
        <v>View Full Record in Web of Science</v>
      </c>
    </row>
    <row r="596" spans="1:72" x14ac:dyDescent="0.2">
      <c r="A596" t="s">
        <v>72</v>
      </c>
      <c r="B596" t="s">
        <v>4458</v>
      </c>
      <c r="C596" t="s">
        <v>74</v>
      </c>
      <c r="D596" t="s">
        <v>74</v>
      </c>
      <c r="E596" t="s">
        <v>74</v>
      </c>
      <c r="F596" t="s">
        <v>4459</v>
      </c>
      <c r="G596" t="s">
        <v>74</v>
      </c>
      <c r="H596" t="s">
        <v>74</v>
      </c>
      <c r="I596" t="s">
        <v>4460</v>
      </c>
      <c r="J596" t="s">
        <v>4461</v>
      </c>
      <c r="K596" t="s">
        <v>74</v>
      </c>
      <c r="L596" t="s">
        <v>74</v>
      </c>
      <c r="M596" t="s">
        <v>74</v>
      </c>
      <c r="N596" t="s">
        <v>74</v>
      </c>
      <c r="O596" t="s">
        <v>74</v>
      </c>
      <c r="P596" t="s">
        <v>74</v>
      </c>
      <c r="Q596" t="s">
        <v>74</v>
      </c>
      <c r="R596" t="s">
        <v>74</v>
      </c>
      <c r="S596" t="s">
        <v>74</v>
      </c>
      <c r="T596" t="s">
        <v>74</v>
      </c>
      <c r="U596" t="s">
        <v>74</v>
      </c>
      <c r="V596" t="s">
        <v>74</v>
      </c>
      <c r="W596" t="s">
        <v>74</v>
      </c>
      <c r="X596" t="s">
        <v>74</v>
      </c>
      <c r="Y596" t="s">
        <v>74</v>
      </c>
      <c r="Z596" t="s">
        <v>74</v>
      </c>
      <c r="AA596" t="s">
        <v>4462</v>
      </c>
      <c r="AB596" t="s">
        <v>4463</v>
      </c>
      <c r="AC596" t="s">
        <v>74</v>
      </c>
      <c r="AD596" t="s">
        <v>74</v>
      </c>
      <c r="AE596" t="s">
        <v>74</v>
      </c>
      <c r="AF596" t="s">
        <v>74</v>
      </c>
      <c r="AG596" t="s">
        <v>74</v>
      </c>
      <c r="AH596" t="s">
        <v>74</v>
      </c>
      <c r="AI596" t="s">
        <v>74</v>
      </c>
      <c r="AJ596" t="s">
        <v>74</v>
      </c>
      <c r="AK596" t="s">
        <v>74</v>
      </c>
      <c r="AL596" t="s">
        <v>74</v>
      </c>
      <c r="AM596" t="s">
        <v>74</v>
      </c>
      <c r="AN596" t="s">
        <v>74</v>
      </c>
      <c r="AO596" t="s">
        <v>4464</v>
      </c>
      <c r="AP596" t="s">
        <v>4465</v>
      </c>
      <c r="AQ596" t="s">
        <v>74</v>
      </c>
      <c r="AR596" t="s">
        <v>74</v>
      </c>
      <c r="AS596" t="s">
        <v>74</v>
      </c>
      <c r="AT596" t="s">
        <v>157</v>
      </c>
      <c r="AU596">
        <v>2013</v>
      </c>
      <c r="AV596">
        <v>13</v>
      </c>
      <c r="AW596">
        <v>1</v>
      </c>
      <c r="AX596" t="s">
        <v>74</v>
      </c>
      <c r="AY596" t="s">
        <v>74</v>
      </c>
      <c r="AZ596" t="s">
        <v>74</v>
      </c>
      <c r="BA596" t="s">
        <v>74</v>
      </c>
      <c r="BB596">
        <v>87</v>
      </c>
      <c r="BC596">
        <v>94</v>
      </c>
      <c r="BD596" t="s">
        <v>74</v>
      </c>
      <c r="BE596" t="s">
        <v>4466</v>
      </c>
      <c r="BF596" t="str">
        <f>HYPERLINK("http://dx.doi.org/10.4194/1303-2712-v13_1_11","http://dx.doi.org/10.4194/1303-2712-v13_1_11")</f>
        <v>http://dx.doi.org/10.4194/1303-2712-v13_1_11</v>
      </c>
      <c r="BG596" t="s">
        <v>74</v>
      </c>
      <c r="BH596" t="s">
        <v>74</v>
      </c>
      <c r="BI596" t="s">
        <v>74</v>
      </c>
      <c r="BJ596" t="s">
        <v>74</v>
      </c>
      <c r="BK596" t="s">
        <v>74</v>
      </c>
      <c r="BL596" t="s">
        <v>74</v>
      </c>
      <c r="BM596" t="s">
        <v>74</v>
      </c>
      <c r="BN596" t="s">
        <v>74</v>
      </c>
      <c r="BO596" t="s">
        <v>74</v>
      </c>
      <c r="BP596" t="s">
        <v>74</v>
      </c>
      <c r="BQ596" t="s">
        <v>74</v>
      </c>
      <c r="BR596" t="s">
        <v>74</v>
      </c>
      <c r="BS596" t="s">
        <v>4467</v>
      </c>
      <c r="BT596" t="str">
        <f>HYPERLINK("https%3A%2F%2Fwww.webofscience.com%2Fwos%2Fwoscc%2Ffull-record%2FWOS:000319466300011","View Full Record in Web of Science")</f>
        <v>View Full Record in Web of Science</v>
      </c>
    </row>
    <row r="597" spans="1:72" x14ac:dyDescent="0.2">
      <c r="A597" t="s">
        <v>72</v>
      </c>
      <c r="B597" t="s">
        <v>4468</v>
      </c>
      <c r="C597" t="s">
        <v>74</v>
      </c>
      <c r="D597" t="s">
        <v>74</v>
      </c>
      <c r="E597" t="s">
        <v>74</v>
      </c>
      <c r="F597" t="s">
        <v>4469</v>
      </c>
      <c r="G597" t="s">
        <v>74</v>
      </c>
      <c r="H597" t="s">
        <v>74</v>
      </c>
      <c r="I597" t="s">
        <v>4470</v>
      </c>
      <c r="J597" t="s">
        <v>124</v>
      </c>
      <c r="K597" t="s">
        <v>74</v>
      </c>
      <c r="L597" t="s">
        <v>74</v>
      </c>
      <c r="M597" t="s">
        <v>74</v>
      </c>
      <c r="N597" t="s">
        <v>74</v>
      </c>
      <c r="O597" t="s">
        <v>74</v>
      </c>
      <c r="P597" t="s">
        <v>74</v>
      </c>
      <c r="Q597" t="s">
        <v>74</v>
      </c>
      <c r="R597" t="s">
        <v>74</v>
      </c>
      <c r="S597" t="s">
        <v>74</v>
      </c>
      <c r="T597" t="s">
        <v>74</v>
      </c>
      <c r="U597" t="s">
        <v>74</v>
      </c>
      <c r="V597" t="s">
        <v>74</v>
      </c>
      <c r="W597" t="s">
        <v>74</v>
      </c>
      <c r="X597" t="s">
        <v>74</v>
      </c>
      <c r="Y597" t="s">
        <v>74</v>
      </c>
      <c r="Z597" t="s">
        <v>74</v>
      </c>
      <c r="AA597" t="s">
        <v>4471</v>
      </c>
      <c r="AB597" t="s">
        <v>7107</v>
      </c>
      <c r="AC597" t="s">
        <v>74</v>
      </c>
      <c r="AD597" t="s">
        <v>74</v>
      </c>
      <c r="AE597" t="s">
        <v>74</v>
      </c>
      <c r="AF597" t="s">
        <v>74</v>
      </c>
      <c r="AG597" t="s">
        <v>74</v>
      </c>
      <c r="AH597" t="s">
        <v>74</v>
      </c>
      <c r="AI597" t="s">
        <v>74</v>
      </c>
      <c r="AJ597" t="s">
        <v>74</v>
      </c>
      <c r="AK597" t="s">
        <v>74</v>
      </c>
      <c r="AL597" t="s">
        <v>74</v>
      </c>
      <c r="AM597" t="s">
        <v>74</v>
      </c>
      <c r="AN597" t="s">
        <v>74</v>
      </c>
      <c r="AO597" t="s">
        <v>127</v>
      </c>
      <c r="AP597" t="s">
        <v>74</v>
      </c>
      <c r="AQ597" t="s">
        <v>74</v>
      </c>
      <c r="AR597" t="s">
        <v>74</v>
      </c>
      <c r="AS597" t="s">
        <v>74</v>
      </c>
      <c r="AT597" t="s">
        <v>416</v>
      </c>
      <c r="AU597">
        <v>2013</v>
      </c>
      <c r="AV597">
        <v>702</v>
      </c>
      <c r="AW597">
        <v>1</v>
      </c>
      <c r="AX597" t="s">
        <v>74</v>
      </c>
      <c r="AY597" t="s">
        <v>74</v>
      </c>
      <c r="AZ597" t="s">
        <v>74</v>
      </c>
      <c r="BA597" t="s">
        <v>74</v>
      </c>
      <c r="BB597">
        <v>73</v>
      </c>
      <c r="BC597">
        <v>82</v>
      </c>
      <c r="BD597" t="s">
        <v>74</v>
      </c>
      <c r="BE597" t="s">
        <v>4472</v>
      </c>
      <c r="BF597" t="str">
        <f>HYPERLINK("http://dx.doi.org/10.1007/s10750-012-1308-5","http://dx.doi.org/10.1007/s10750-012-1308-5")</f>
        <v>http://dx.doi.org/10.1007/s10750-012-1308-5</v>
      </c>
      <c r="BG597" t="s">
        <v>74</v>
      </c>
      <c r="BH597" t="s">
        <v>74</v>
      </c>
      <c r="BI597" t="s">
        <v>74</v>
      </c>
      <c r="BJ597" t="s">
        <v>74</v>
      </c>
      <c r="BK597" t="s">
        <v>74</v>
      </c>
      <c r="BL597" t="s">
        <v>74</v>
      </c>
      <c r="BM597" t="s">
        <v>74</v>
      </c>
      <c r="BN597" t="s">
        <v>74</v>
      </c>
      <c r="BO597" t="s">
        <v>74</v>
      </c>
      <c r="BP597" t="s">
        <v>74</v>
      </c>
      <c r="BQ597" t="s">
        <v>74</v>
      </c>
      <c r="BR597" t="s">
        <v>74</v>
      </c>
      <c r="BS597" t="s">
        <v>4473</v>
      </c>
      <c r="BT597" t="str">
        <f>HYPERLINK("https%3A%2F%2Fwww.webofscience.com%2Fwos%2Fwoscc%2Ffull-record%2FWOS:000312781200007","View Full Record in Web of Science")</f>
        <v>View Full Record in Web of Science</v>
      </c>
    </row>
    <row r="598" spans="1:72" x14ac:dyDescent="0.2">
      <c r="A598" t="s">
        <v>72</v>
      </c>
      <c r="B598" t="s">
        <v>4474</v>
      </c>
      <c r="C598" t="s">
        <v>74</v>
      </c>
      <c r="D598" t="s">
        <v>74</v>
      </c>
      <c r="E598" t="s">
        <v>74</v>
      </c>
      <c r="F598" t="s">
        <v>4475</v>
      </c>
      <c r="G598" t="s">
        <v>74</v>
      </c>
      <c r="H598" t="s">
        <v>74</v>
      </c>
      <c r="I598" t="s">
        <v>4476</v>
      </c>
      <c r="J598" t="s">
        <v>198</v>
      </c>
      <c r="K598" t="s">
        <v>74</v>
      </c>
      <c r="L598" t="s">
        <v>74</v>
      </c>
      <c r="M598" t="s">
        <v>74</v>
      </c>
      <c r="N598" t="s">
        <v>74</v>
      </c>
      <c r="O598" t="s">
        <v>74</v>
      </c>
      <c r="P598" t="s">
        <v>74</v>
      </c>
      <c r="Q598" t="s">
        <v>74</v>
      </c>
      <c r="R598" t="s">
        <v>74</v>
      </c>
      <c r="S598" t="s">
        <v>74</v>
      </c>
      <c r="T598" t="s">
        <v>74</v>
      </c>
      <c r="U598" t="s">
        <v>74</v>
      </c>
      <c r="V598" t="s">
        <v>74</v>
      </c>
      <c r="W598" t="s">
        <v>74</v>
      </c>
      <c r="X598" t="s">
        <v>74</v>
      </c>
      <c r="Y598" t="s">
        <v>74</v>
      </c>
      <c r="Z598" t="s">
        <v>74</v>
      </c>
      <c r="AA598" t="s">
        <v>3329</v>
      </c>
      <c r="AB598" t="s">
        <v>74</v>
      </c>
      <c r="AC598" t="s">
        <v>74</v>
      </c>
      <c r="AD598" t="s">
        <v>74</v>
      </c>
      <c r="AE598" t="s">
        <v>74</v>
      </c>
      <c r="AF598" t="s">
        <v>74</v>
      </c>
      <c r="AG598" t="s">
        <v>74</v>
      </c>
      <c r="AH598" t="s">
        <v>74</v>
      </c>
      <c r="AI598" t="s">
        <v>74</v>
      </c>
      <c r="AJ598" t="s">
        <v>74</v>
      </c>
      <c r="AK598" t="s">
        <v>74</v>
      </c>
      <c r="AL598" t="s">
        <v>74</v>
      </c>
      <c r="AM598" t="s">
        <v>74</v>
      </c>
      <c r="AN598" t="s">
        <v>74</v>
      </c>
      <c r="AO598" t="s">
        <v>201</v>
      </c>
      <c r="AP598" t="s">
        <v>202</v>
      </c>
      <c r="AQ598" t="s">
        <v>74</v>
      </c>
      <c r="AR598" t="s">
        <v>74</v>
      </c>
      <c r="AS598" t="s">
        <v>74</v>
      </c>
      <c r="AT598" t="s">
        <v>416</v>
      </c>
      <c r="AU598">
        <v>2013</v>
      </c>
      <c r="AV598">
        <v>27</v>
      </c>
      <c r="AW598">
        <v>1</v>
      </c>
      <c r="AX598" t="s">
        <v>74</v>
      </c>
      <c r="AY598" t="s">
        <v>74</v>
      </c>
      <c r="AZ598" t="s">
        <v>74</v>
      </c>
      <c r="BA598" t="s">
        <v>74</v>
      </c>
      <c r="BB598">
        <v>165</v>
      </c>
      <c r="BC598">
        <v>172</v>
      </c>
      <c r="BD598" t="s">
        <v>74</v>
      </c>
      <c r="BE598" t="s">
        <v>4477</v>
      </c>
      <c r="BF598" t="str">
        <f>HYPERLINK("http://dx.doi.org/10.1111/1365-2435.12015","http://dx.doi.org/10.1111/1365-2435.12015")</f>
        <v>http://dx.doi.org/10.1111/1365-2435.12015</v>
      </c>
      <c r="BG598" t="s">
        <v>74</v>
      </c>
      <c r="BH598" t="s">
        <v>74</v>
      </c>
      <c r="BI598" t="s">
        <v>74</v>
      </c>
      <c r="BJ598" t="s">
        <v>74</v>
      </c>
      <c r="BK598" t="s">
        <v>74</v>
      </c>
      <c r="BL598" t="s">
        <v>74</v>
      </c>
      <c r="BM598" t="s">
        <v>74</v>
      </c>
      <c r="BN598" t="s">
        <v>74</v>
      </c>
      <c r="BO598" t="s">
        <v>74</v>
      </c>
      <c r="BP598" t="s">
        <v>74</v>
      </c>
      <c r="BQ598" t="s">
        <v>74</v>
      </c>
      <c r="BR598" t="s">
        <v>74</v>
      </c>
      <c r="BS598" t="s">
        <v>4478</v>
      </c>
      <c r="BT598" t="str">
        <f>HYPERLINK("https%3A%2F%2Fwww.webofscience.com%2Fwos%2Fwoscc%2Ffull-record%2FWOS:000314166500018","View Full Record in Web of Science")</f>
        <v>View Full Record in Web of Science</v>
      </c>
    </row>
    <row r="599" spans="1:72" x14ac:dyDescent="0.2">
      <c r="A599" t="s">
        <v>72</v>
      </c>
      <c r="B599" t="s">
        <v>4479</v>
      </c>
      <c r="C599" t="s">
        <v>74</v>
      </c>
      <c r="D599" t="s">
        <v>74</v>
      </c>
      <c r="E599" t="s">
        <v>74</v>
      </c>
      <c r="F599" t="s">
        <v>4480</v>
      </c>
      <c r="G599" t="s">
        <v>74</v>
      </c>
      <c r="H599" t="s">
        <v>74</v>
      </c>
      <c r="I599" t="s">
        <v>4481</v>
      </c>
      <c r="J599" t="s">
        <v>1299</v>
      </c>
      <c r="K599" t="s">
        <v>74</v>
      </c>
      <c r="L599" t="s">
        <v>74</v>
      </c>
      <c r="M599" t="s">
        <v>74</v>
      </c>
      <c r="N599" t="s">
        <v>74</v>
      </c>
      <c r="O599" t="s">
        <v>74</v>
      </c>
      <c r="P599" t="s">
        <v>74</v>
      </c>
      <c r="Q599" t="s">
        <v>74</v>
      </c>
      <c r="R599" t="s">
        <v>74</v>
      </c>
      <c r="S599" t="s">
        <v>74</v>
      </c>
      <c r="T599" t="s">
        <v>74</v>
      </c>
      <c r="U599" t="s">
        <v>74</v>
      </c>
      <c r="V599" t="s">
        <v>74</v>
      </c>
      <c r="W599" t="s">
        <v>74</v>
      </c>
      <c r="X599" t="s">
        <v>74</v>
      </c>
      <c r="Y599" t="s">
        <v>74</v>
      </c>
      <c r="Z599" t="s">
        <v>74</v>
      </c>
      <c r="AA599" t="s">
        <v>7108</v>
      </c>
      <c r="AB599" t="s">
        <v>7109</v>
      </c>
      <c r="AC599" t="s">
        <v>74</v>
      </c>
      <c r="AD599" t="s">
        <v>74</v>
      </c>
      <c r="AE599" t="s">
        <v>74</v>
      </c>
      <c r="AF599" t="s">
        <v>74</v>
      </c>
      <c r="AG599" t="s">
        <v>74</v>
      </c>
      <c r="AH599" t="s">
        <v>74</v>
      </c>
      <c r="AI599" t="s">
        <v>74</v>
      </c>
      <c r="AJ599" t="s">
        <v>74</v>
      </c>
      <c r="AK599" t="s">
        <v>74</v>
      </c>
      <c r="AL599" t="s">
        <v>74</v>
      </c>
      <c r="AM599" t="s">
        <v>74</v>
      </c>
      <c r="AN599" t="s">
        <v>74</v>
      </c>
      <c r="AO599" t="s">
        <v>1302</v>
      </c>
      <c r="AP599" t="s">
        <v>1303</v>
      </c>
      <c r="AQ599" t="s">
        <v>74</v>
      </c>
      <c r="AR599" t="s">
        <v>74</v>
      </c>
      <c r="AS599" t="s">
        <v>74</v>
      </c>
      <c r="AT599" t="s">
        <v>416</v>
      </c>
      <c r="AU599">
        <v>2013</v>
      </c>
      <c r="AV599">
        <v>171</v>
      </c>
      <c r="AW599">
        <v>2</v>
      </c>
      <c r="AX599" t="s">
        <v>74</v>
      </c>
      <c r="AY599" t="s">
        <v>74</v>
      </c>
      <c r="AZ599" t="s">
        <v>74</v>
      </c>
      <c r="BA599" t="s">
        <v>74</v>
      </c>
      <c r="BB599">
        <v>527</v>
      </c>
      <c r="BC599">
        <v>536</v>
      </c>
      <c r="BD599" t="s">
        <v>74</v>
      </c>
      <c r="BE599" t="s">
        <v>4482</v>
      </c>
      <c r="BF599" t="str">
        <f>HYPERLINK("http://dx.doi.org/10.1007/s00442-012-2419-4","http://dx.doi.org/10.1007/s00442-012-2419-4")</f>
        <v>http://dx.doi.org/10.1007/s00442-012-2419-4</v>
      </c>
      <c r="BG599" t="s">
        <v>74</v>
      </c>
      <c r="BH599" t="s">
        <v>74</v>
      </c>
      <c r="BI599" t="s">
        <v>74</v>
      </c>
      <c r="BJ599" t="s">
        <v>74</v>
      </c>
      <c r="BK599" t="s">
        <v>74</v>
      </c>
      <c r="BL599" t="s">
        <v>74</v>
      </c>
      <c r="BM599" t="s">
        <v>74</v>
      </c>
      <c r="BN599">
        <v>22847329</v>
      </c>
      <c r="BO599" t="s">
        <v>74</v>
      </c>
      <c r="BP599" t="s">
        <v>74</v>
      </c>
      <c r="BQ599" t="s">
        <v>74</v>
      </c>
      <c r="BR599" t="s">
        <v>74</v>
      </c>
      <c r="BS599" t="s">
        <v>4483</v>
      </c>
      <c r="BT599" t="str">
        <f>HYPERLINK("https%3A%2F%2Fwww.webofscience.com%2Fwos%2Fwoscc%2Ffull-record%2FWOS:000313800600021","View Full Record in Web of Science")</f>
        <v>View Full Record in Web of Science</v>
      </c>
    </row>
    <row r="600" spans="1:72" x14ac:dyDescent="0.2">
      <c r="A600" t="s">
        <v>72</v>
      </c>
      <c r="B600" t="s">
        <v>4484</v>
      </c>
      <c r="C600" t="s">
        <v>74</v>
      </c>
      <c r="D600" t="s">
        <v>74</v>
      </c>
      <c r="E600" t="s">
        <v>74</v>
      </c>
      <c r="F600" t="s">
        <v>4485</v>
      </c>
      <c r="G600" t="s">
        <v>74</v>
      </c>
      <c r="H600" t="s">
        <v>74</v>
      </c>
      <c r="I600" t="s">
        <v>4486</v>
      </c>
      <c r="J600" t="s">
        <v>3443</v>
      </c>
      <c r="K600" t="s">
        <v>74</v>
      </c>
      <c r="L600" t="s">
        <v>74</v>
      </c>
      <c r="M600" t="s">
        <v>74</v>
      </c>
      <c r="N600" t="s">
        <v>74</v>
      </c>
      <c r="O600" t="s">
        <v>74</v>
      </c>
      <c r="P600" t="s">
        <v>74</v>
      </c>
      <c r="Q600" t="s">
        <v>74</v>
      </c>
      <c r="R600" t="s">
        <v>74</v>
      </c>
      <c r="S600" t="s">
        <v>74</v>
      </c>
      <c r="T600" t="s">
        <v>74</v>
      </c>
      <c r="U600" t="s">
        <v>74</v>
      </c>
      <c r="V600" t="s">
        <v>74</v>
      </c>
      <c r="W600" t="s">
        <v>74</v>
      </c>
      <c r="X600" t="s">
        <v>74</v>
      </c>
      <c r="Y600" t="s">
        <v>74</v>
      </c>
      <c r="Z600" t="s">
        <v>74</v>
      </c>
      <c r="AA600" t="s">
        <v>4487</v>
      </c>
      <c r="AB600" t="s">
        <v>4488</v>
      </c>
      <c r="AC600" t="s">
        <v>74</v>
      </c>
      <c r="AD600" t="s">
        <v>74</v>
      </c>
      <c r="AE600" t="s">
        <v>74</v>
      </c>
      <c r="AF600" t="s">
        <v>74</v>
      </c>
      <c r="AG600" t="s">
        <v>74</v>
      </c>
      <c r="AH600" t="s">
        <v>74</v>
      </c>
      <c r="AI600" t="s">
        <v>74</v>
      </c>
      <c r="AJ600" t="s">
        <v>74</v>
      </c>
      <c r="AK600" t="s">
        <v>74</v>
      </c>
      <c r="AL600" t="s">
        <v>74</v>
      </c>
      <c r="AM600" t="s">
        <v>74</v>
      </c>
      <c r="AN600" t="s">
        <v>74</v>
      </c>
      <c r="AO600" t="s">
        <v>3445</v>
      </c>
      <c r="AP600" t="s">
        <v>74</v>
      </c>
      <c r="AQ600" t="s">
        <v>74</v>
      </c>
      <c r="AR600" t="s">
        <v>74</v>
      </c>
      <c r="AS600" t="s">
        <v>74</v>
      </c>
      <c r="AT600" t="s">
        <v>4489</v>
      </c>
      <c r="AU600">
        <v>2013</v>
      </c>
      <c r="AV600">
        <v>8</v>
      </c>
      <c r="AW600">
        <v>1</v>
      </c>
      <c r="AX600" t="s">
        <v>74</v>
      </c>
      <c r="AY600" t="s">
        <v>74</v>
      </c>
      <c r="AZ600" t="s">
        <v>74</v>
      </c>
      <c r="BA600" t="s">
        <v>74</v>
      </c>
      <c r="BB600" t="s">
        <v>74</v>
      </c>
      <c r="BC600" t="s">
        <v>74</v>
      </c>
      <c r="BD600" t="s">
        <v>4490</v>
      </c>
      <c r="BE600" t="s">
        <v>4491</v>
      </c>
      <c r="BF600" t="str">
        <f>HYPERLINK("http://dx.doi.org/10.1371/journal.pone.0055322","http://dx.doi.org/10.1371/journal.pone.0055322")</f>
        <v>http://dx.doi.org/10.1371/journal.pone.0055322</v>
      </c>
      <c r="BG600" t="s">
        <v>74</v>
      </c>
      <c r="BH600" t="s">
        <v>74</v>
      </c>
      <c r="BI600" t="s">
        <v>74</v>
      </c>
      <c r="BJ600" t="s">
        <v>74</v>
      </c>
      <c r="BK600" t="s">
        <v>74</v>
      </c>
      <c r="BL600" t="s">
        <v>74</v>
      </c>
      <c r="BM600" t="s">
        <v>74</v>
      </c>
      <c r="BN600">
        <v>23372848</v>
      </c>
      <c r="BO600" t="s">
        <v>74</v>
      </c>
      <c r="BP600" t="s">
        <v>74</v>
      </c>
      <c r="BQ600" t="s">
        <v>74</v>
      </c>
      <c r="BR600" t="s">
        <v>74</v>
      </c>
      <c r="BS600" t="s">
        <v>4492</v>
      </c>
      <c r="BT600" t="str">
        <f>HYPERLINK("https%3A%2F%2Fwww.webofscience.com%2Fwos%2Fwoscc%2Ffull-record%2FWOS:000315210400088","View Full Record in Web of Science")</f>
        <v>View Full Record in Web of Science</v>
      </c>
    </row>
    <row r="601" spans="1:72" x14ac:dyDescent="0.2">
      <c r="A601" t="s">
        <v>72</v>
      </c>
      <c r="B601" t="s">
        <v>4493</v>
      </c>
      <c r="C601" t="s">
        <v>74</v>
      </c>
      <c r="D601" t="s">
        <v>74</v>
      </c>
      <c r="E601" t="s">
        <v>74</v>
      </c>
      <c r="F601" t="s">
        <v>4494</v>
      </c>
      <c r="G601" t="s">
        <v>74</v>
      </c>
      <c r="H601" t="s">
        <v>74</v>
      </c>
      <c r="I601" t="s">
        <v>4495</v>
      </c>
      <c r="J601" t="s">
        <v>4496</v>
      </c>
      <c r="K601" t="s">
        <v>74</v>
      </c>
      <c r="L601" t="s">
        <v>74</v>
      </c>
      <c r="M601" t="s">
        <v>74</v>
      </c>
      <c r="N601" t="s">
        <v>74</v>
      </c>
      <c r="O601" t="s">
        <v>74</v>
      </c>
      <c r="P601" t="s">
        <v>74</v>
      </c>
      <c r="Q601" t="s">
        <v>74</v>
      </c>
      <c r="R601" t="s">
        <v>74</v>
      </c>
      <c r="S601" t="s">
        <v>74</v>
      </c>
      <c r="T601" t="s">
        <v>74</v>
      </c>
      <c r="U601" t="s">
        <v>74</v>
      </c>
      <c r="V601" t="s">
        <v>74</v>
      </c>
      <c r="W601" t="s">
        <v>74</v>
      </c>
      <c r="X601" t="s">
        <v>74</v>
      </c>
      <c r="Y601" t="s">
        <v>74</v>
      </c>
      <c r="Z601" t="s">
        <v>74</v>
      </c>
      <c r="AA601" t="s">
        <v>7110</v>
      </c>
      <c r="AB601" t="s">
        <v>7111</v>
      </c>
      <c r="AC601" t="s">
        <v>74</v>
      </c>
      <c r="AD601" t="s">
        <v>74</v>
      </c>
      <c r="AE601" t="s">
        <v>74</v>
      </c>
      <c r="AF601" t="s">
        <v>74</v>
      </c>
      <c r="AG601" t="s">
        <v>74</v>
      </c>
      <c r="AH601" t="s">
        <v>74</v>
      </c>
      <c r="AI601" t="s">
        <v>74</v>
      </c>
      <c r="AJ601" t="s">
        <v>74</v>
      </c>
      <c r="AK601" t="s">
        <v>74</v>
      </c>
      <c r="AL601" t="s">
        <v>74</v>
      </c>
      <c r="AM601" t="s">
        <v>74</v>
      </c>
      <c r="AN601" t="s">
        <v>74</v>
      </c>
      <c r="AO601" t="s">
        <v>4497</v>
      </c>
      <c r="AP601" t="s">
        <v>4498</v>
      </c>
      <c r="AQ601" t="s">
        <v>74</v>
      </c>
      <c r="AR601" t="s">
        <v>74</v>
      </c>
      <c r="AS601" t="s">
        <v>74</v>
      </c>
      <c r="AT601" t="s">
        <v>74</v>
      </c>
      <c r="AU601">
        <v>2013</v>
      </c>
      <c r="AV601" t="s">
        <v>74</v>
      </c>
      <c r="AW601">
        <v>315</v>
      </c>
      <c r="AX601" t="s">
        <v>74</v>
      </c>
      <c r="AY601" t="s">
        <v>74</v>
      </c>
      <c r="AZ601" t="s">
        <v>74</v>
      </c>
      <c r="BA601" t="s">
        <v>74</v>
      </c>
      <c r="BB601">
        <v>77</v>
      </c>
      <c r="BC601">
        <v>94</v>
      </c>
      <c r="BD601" t="s">
        <v>74</v>
      </c>
      <c r="BE601" t="s">
        <v>4499</v>
      </c>
      <c r="BF601" t="str">
        <f>HYPERLINK("http://dx.doi.org/10.3897/zookeys.315.5593","http://dx.doi.org/10.3897/zookeys.315.5593")</f>
        <v>http://dx.doi.org/10.3897/zookeys.315.5593</v>
      </c>
      <c r="BG601" t="s">
        <v>74</v>
      </c>
      <c r="BH601" t="s">
        <v>74</v>
      </c>
      <c r="BI601" t="s">
        <v>74</v>
      </c>
      <c r="BJ601" t="s">
        <v>74</v>
      </c>
      <c r="BK601" t="s">
        <v>74</v>
      </c>
      <c r="BL601" t="s">
        <v>74</v>
      </c>
      <c r="BM601" t="s">
        <v>74</v>
      </c>
      <c r="BN601">
        <v>23878511</v>
      </c>
      <c r="BO601" t="s">
        <v>74</v>
      </c>
      <c r="BP601" t="s">
        <v>74</v>
      </c>
      <c r="BQ601" t="s">
        <v>74</v>
      </c>
      <c r="BR601" t="s">
        <v>74</v>
      </c>
      <c r="BS601" t="s">
        <v>4500</v>
      </c>
      <c r="BT601" t="str">
        <f>HYPERLINK("https%3A%2F%2Fwww.webofscience.com%2Fwos%2Fwoscc%2Ffull-record%2FWOS:000321609900005","View Full Record in Web of Science")</f>
        <v>View Full Record in Web of Science</v>
      </c>
    </row>
    <row r="602" spans="1:72" x14ac:dyDescent="0.2">
      <c r="A602" t="s">
        <v>72</v>
      </c>
      <c r="B602" t="s">
        <v>4232</v>
      </c>
      <c r="C602" t="s">
        <v>74</v>
      </c>
      <c r="D602" t="s">
        <v>74</v>
      </c>
      <c r="E602" t="s">
        <v>74</v>
      </c>
      <c r="F602" t="s">
        <v>4233</v>
      </c>
      <c r="G602" t="s">
        <v>74</v>
      </c>
      <c r="H602" t="s">
        <v>74</v>
      </c>
      <c r="I602" t="s">
        <v>4501</v>
      </c>
      <c r="J602" t="s">
        <v>1887</v>
      </c>
      <c r="K602" t="s">
        <v>74</v>
      </c>
      <c r="L602" t="s">
        <v>74</v>
      </c>
      <c r="M602" t="s">
        <v>74</v>
      </c>
      <c r="N602" t="s">
        <v>74</v>
      </c>
      <c r="O602" t="s">
        <v>74</v>
      </c>
      <c r="P602" t="s">
        <v>74</v>
      </c>
      <c r="Q602" t="s">
        <v>74</v>
      </c>
      <c r="R602" t="s">
        <v>74</v>
      </c>
      <c r="S602" t="s">
        <v>74</v>
      </c>
      <c r="T602" t="s">
        <v>74</v>
      </c>
      <c r="U602" t="s">
        <v>74</v>
      </c>
      <c r="V602" t="s">
        <v>74</v>
      </c>
      <c r="W602" t="s">
        <v>74</v>
      </c>
      <c r="X602" t="s">
        <v>74</v>
      </c>
      <c r="Y602" t="s">
        <v>74</v>
      </c>
      <c r="Z602" t="s">
        <v>74</v>
      </c>
      <c r="AA602" t="s">
        <v>4159</v>
      </c>
      <c r="AB602" t="s">
        <v>4160</v>
      </c>
      <c r="AC602" t="s">
        <v>74</v>
      </c>
      <c r="AD602" t="s">
        <v>74</v>
      </c>
      <c r="AE602" t="s">
        <v>74</v>
      </c>
      <c r="AF602" t="s">
        <v>74</v>
      </c>
      <c r="AG602" t="s">
        <v>74</v>
      </c>
      <c r="AH602" t="s">
        <v>74</v>
      </c>
      <c r="AI602" t="s">
        <v>74</v>
      </c>
      <c r="AJ602" t="s">
        <v>74</v>
      </c>
      <c r="AK602" t="s">
        <v>74</v>
      </c>
      <c r="AL602" t="s">
        <v>74</v>
      </c>
      <c r="AM602" t="s">
        <v>74</v>
      </c>
      <c r="AN602" t="s">
        <v>74</v>
      </c>
      <c r="AO602" t="s">
        <v>1890</v>
      </c>
      <c r="AP602" t="s">
        <v>1891</v>
      </c>
      <c r="AQ602" t="s">
        <v>74</v>
      </c>
      <c r="AR602" t="s">
        <v>74</v>
      </c>
      <c r="AS602" t="s">
        <v>74</v>
      </c>
      <c r="AT602" t="s">
        <v>74</v>
      </c>
      <c r="AU602">
        <v>2013</v>
      </c>
      <c r="AV602">
        <v>22</v>
      </c>
      <c r="AW602" t="s">
        <v>4502</v>
      </c>
      <c r="AX602" t="s">
        <v>74</v>
      </c>
      <c r="AY602" t="s">
        <v>74</v>
      </c>
      <c r="AZ602" t="s">
        <v>74</v>
      </c>
      <c r="BA602" t="s">
        <v>74</v>
      </c>
      <c r="BB602">
        <v>784</v>
      </c>
      <c r="BC602">
        <v>788</v>
      </c>
      <c r="BD602" t="s">
        <v>74</v>
      </c>
      <c r="BE602" t="s">
        <v>74</v>
      </c>
      <c r="BF602" t="s">
        <v>74</v>
      </c>
      <c r="BG602" t="s">
        <v>74</v>
      </c>
      <c r="BH602" t="s">
        <v>74</v>
      </c>
      <c r="BI602" t="s">
        <v>74</v>
      </c>
      <c r="BJ602" t="s">
        <v>74</v>
      </c>
      <c r="BK602" t="s">
        <v>74</v>
      </c>
      <c r="BL602" t="s">
        <v>74</v>
      </c>
      <c r="BM602" t="s">
        <v>74</v>
      </c>
      <c r="BN602" t="s">
        <v>74</v>
      </c>
      <c r="BO602" t="s">
        <v>74</v>
      </c>
      <c r="BP602" t="s">
        <v>74</v>
      </c>
      <c r="BQ602" t="s">
        <v>74</v>
      </c>
      <c r="BR602" t="s">
        <v>74</v>
      </c>
      <c r="BS602" t="s">
        <v>4503</v>
      </c>
      <c r="BT602" t="str">
        <f>HYPERLINK("https%3A%2F%2Fwww.webofscience.com%2Fwos%2Fwoscc%2Ffull-record%2FWOS:000320901600001","View Full Record in Web of Science")</f>
        <v>View Full Record in Web of Science</v>
      </c>
    </row>
    <row r="603" spans="1:72" x14ac:dyDescent="0.2">
      <c r="A603" t="s">
        <v>72</v>
      </c>
      <c r="B603" t="s">
        <v>4504</v>
      </c>
      <c r="C603" t="s">
        <v>74</v>
      </c>
      <c r="D603" t="s">
        <v>74</v>
      </c>
      <c r="E603" t="s">
        <v>74</v>
      </c>
      <c r="F603" t="s">
        <v>4505</v>
      </c>
      <c r="G603" t="s">
        <v>74</v>
      </c>
      <c r="H603" t="s">
        <v>74</v>
      </c>
      <c r="I603" t="s">
        <v>4506</v>
      </c>
      <c r="J603" t="s">
        <v>4507</v>
      </c>
      <c r="K603" t="s">
        <v>74</v>
      </c>
      <c r="L603" t="s">
        <v>74</v>
      </c>
      <c r="M603" t="s">
        <v>74</v>
      </c>
      <c r="N603" t="s">
        <v>74</v>
      </c>
      <c r="O603" t="s">
        <v>74</v>
      </c>
      <c r="P603" t="s">
        <v>74</v>
      </c>
      <c r="Q603" t="s">
        <v>74</v>
      </c>
      <c r="R603" t="s">
        <v>74</v>
      </c>
      <c r="S603" t="s">
        <v>74</v>
      </c>
      <c r="T603" t="s">
        <v>74</v>
      </c>
      <c r="U603" t="s">
        <v>74</v>
      </c>
      <c r="V603" t="s">
        <v>74</v>
      </c>
      <c r="W603" t="s">
        <v>74</v>
      </c>
      <c r="X603" t="s">
        <v>74</v>
      </c>
      <c r="Y603" t="s">
        <v>74</v>
      </c>
      <c r="Z603" t="s">
        <v>74</v>
      </c>
      <c r="AA603" t="s">
        <v>4508</v>
      </c>
      <c r="AB603" t="s">
        <v>4509</v>
      </c>
      <c r="AC603" t="s">
        <v>74</v>
      </c>
      <c r="AD603" t="s">
        <v>74</v>
      </c>
      <c r="AE603" t="s">
        <v>74</v>
      </c>
      <c r="AF603" t="s">
        <v>74</v>
      </c>
      <c r="AG603" t="s">
        <v>74</v>
      </c>
      <c r="AH603" t="s">
        <v>74</v>
      </c>
      <c r="AI603" t="s">
        <v>74</v>
      </c>
      <c r="AJ603" t="s">
        <v>74</v>
      </c>
      <c r="AK603" t="s">
        <v>74</v>
      </c>
      <c r="AL603" t="s">
        <v>74</v>
      </c>
      <c r="AM603" t="s">
        <v>74</v>
      </c>
      <c r="AN603" t="s">
        <v>74</v>
      </c>
      <c r="AO603" t="s">
        <v>4510</v>
      </c>
      <c r="AP603" t="s">
        <v>4511</v>
      </c>
      <c r="AQ603" t="s">
        <v>74</v>
      </c>
      <c r="AR603" t="s">
        <v>74</v>
      </c>
      <c r="AS603" t="s">
        <v>74</v>
      </c>
      <c r="AT603" t="s">
        <v>315</v>
      </c>
      <c r="AU603">
        <v>2013</v>
      </c>
      <c r="AV603">
        <v>41</v>
      </c>
      <c r="AW603">
        <v>1</v>
      </c>
      <c r="AX603" t="s">
        <v>74</v>
      </c>
      <c r="AY603" t="s">
        <v>74</v>
      </c>
      <c r="AZ603" t="s">
        <v>74</v>
      </c>
      <c r="BA603" t="s">
        <v>74</v>
      </c>
      <c r="BB603">
        <v>11</v>
      </c>
      <c r="BC603">
        <v>15</v>
      </c>
      <c r="BD603" t="s">
        <v>74</v>
      </c>
      <c r="BE603" t="s">
        <v>4512</v>
      </c>
      <c r="BF603" t="str">
        <f>HYPERLINK("http://dx.doi.org/10.1002/clen.201000305","http://dx.doi.org/10.1002/clen.201000305")</f>
        <v>http://dx.doi.org/10.1002/clen.201000305</v>
      </c>
      <c r="BG603" t="s">
        <v>74</v>
      </c>
      <c r="BH603" t="s">
        <v>74</v>
      </c>
      <c r="BI603" t="s">
        <v>74</v>
      </c>
      <c r="BJ603" t="s">
        <v>74</v>
      </c>
      <c r="BK603" t="s">
        <v>74</v>
      </c>
      <c r="BL603" t="s">
        <v>74</v>
      </c>
      <c r="BM603" t="s">
        <v>74</v>
      </c>
      <c r="BN603" t="s">
        <v>74</v>
      </c>
      <c r="BO603" t="s">
        <v>74</v>
      </c>
      <c r="BP603" t="s">
        <v>74</v>
      </c>
      <c r="BQ603" t="s">
        <v>74</v>
      </c>
      <c r="BR603" t="s">
        <v>74</v>
      </c>
      <c r="BS603" t="s">
        <v>4513</v>
      </c>
      <c r="BT603" t="str">
        <f>HYPERLINK("https%3A%2F%2Fwww.webofscience.com%2Fwos%2Fwoscc%2Ffull-record%2FWOS:000313241900003","View Full Record in Web of Science")</f>
        <v>View Full Record in Web of Science</v>
      </c>
    </row>
    <row r="604" spans="1:72" x14ac:dyDescent="0.2">
      <c r="A604" t="s">
        <v>72</v>
      </c>
      <c r="B604" t="s">
        <v>4514</v>
      </c>
      <c r="C604" t="s">
        <v>74</v>
      </c>
      <c r="D604" t="s">
        <v>74</v>
      </c>
      <c r="E604" t="s">
        <v>74</v>
      </c>
      <c r="F604" t="s">
        <v>4515</v>
      </c>
      <c r="G604" t="s">
        <v>74</v>
      </c>
      <c r="H604" t="s">
        <v>74</v>
      </c>
      <c r="I604" t="s">
        <v>4516</v>
      </c>
      <c r="J604" t="s">
        <v>502</v>
      </c>
      <c r="K604" t="s">
        <v>74</v>
      </c>
      <c r="L604" t="s">
        <v>74</v>
      </c>
      <c r="M604" t="s">
        <v>74</v>
      </c>
      <c r="N604" t="s">
        <v>74</v>
      </c>
      <c r="O604" t="s">
        <v>74</v>
      </c>
      <c r="P604" t="s">
        <v>74</v>
      </c>
      <c r="Q604" t="s">
        <v>74</v>
      </c>
      <c r="R604" t="s">
        <v>74</v>
      </c>
      <c r="S604" t="s">
        <v>74</v>
      </c>
      <c r="T604" t="s">
        <v>74</v>
      </c>
      <c r="U604" t="s">
        <v>74</v>
      </c>
      <c r="V604" t="s">
        <v>74</v>
      </c>
      <c r="W604" t="s">
        <v>74</v>
      </c>
      <c r="X604" t="s">
        <v>74</v>
      </c>
      <c r="Y604" t="s">
        <v>74</v>
      </c>
      <c r="Z604" t="s">
        <v>74</v>
      </c>
      <c r="AA604" t="s">
        <v>4517</v>
      </c>
      <c r="AB604" t="s">
        <v>7112</v>
      </c>
      <c r="AC604" t="s">
        <v>74</v>
      </c>
      <c r="AD604" t="s">
        <v>74</v>
      </c>
      <c r="AE604" t="s">
        <v>74</v>
      </c>
      <c r="AF604" t="s">
        <v>74</v>
      </c>
      <c r="AG604" t="s">
        <v>74</v>
      </c>
      <c r="AH604" t="s">
        <v>74</v>
      </c>
      <c r="AI604" t="s">
        <v>74</v>
      </c>
      <c r="AJ604" t="s">
        <v>74</v>
      </c>
      <c r="AK604" t="s">
        <v>74</v>
      </c>
      <c r="AL604" t="s">
        <v>74</v>
      </c>
      <c r="AM604" t="s">
        <v>74</v>
      </c>
      <c r="AN604" t="s">
        <v>74</v>
      </c>
      <c r="AO604" t="s">
        <v>503</v>
      </c>
      <c r="AP604" t="s">
        <v>504</v>
      </c>
      <c r="AQ604" t="s">
        <v>74</v>
      </c>
      <c r="AR604" t="s">
        <v>74</v>
      </c>
      <c r="AS604" t="s">
        <v>74</v>
      </c>
      <c r="AT604" t="s">
        <v>82</v>
      </c>
      <c r="AU604">
        <v>2012</v>
      </c>
      <c r="AV604">
        <v>23</v>
      </c>
      <c r="AW604" t="s">
        <v>74</v>
      </c>
      <c r="AX604" t="s">
        <v>74</v>
      </c>
      <c r="AY604" t="s">
        <v>74</v>
      </c>
      <c r="AZ604" t="s">
        <v>74</v>
      </c>
      <c r="BA604" t="s">
        <v>74</v>
      </c>
      <c r="BB604">
        <v>338</v>
      </c>
      <c r="BC604">
        <v>355</v>
      </c>
      <c r="BD604" t="s">
        <v>74</v>
      </c>
      <c r="BE604" t="s">
        <v>4518</v>
      </c>
      <c r="BF604" t="str">
        <f>HYPERLINK("http://dx.doi.org/10.1016/j.ecolind.2012.03.030","http://dx.doi.org/10.1016/j.ecolind.2012.03.030")</f>
        <v>http://dx.doi.org/10.1016/j.ecolind.2012.03.030</v>
      </c>
      <c r="BG604" t="s">
        <v>74</v>
      </c>
      <c r="BH604" t="s">
        <v>74</v>
      </c>
      <c r="BI604" t="s">
        <v>74</v>
      </c>
      <c r="BJ604" t="s">
        <v>74</v>
      </c>
      <c r="BK604" t="s">
        <v>74</v>
      </c>
      <c r="BL604" t="s">
        <v>74</v>
      </c>
      <c r="BM604" t="s">
        <v>74</v>
      </c>
      <c r="BN604" t="s">
        <v>74</v>
      </c>
      <c r="BO604" t="s">
        <v>74</v>
      </c>
      <c r="BP604" t="s">
        <v>74</v>
      </c>
      <c r="BQ604" t="s">
        <v>74</v>
      </c>
      <c r="BR604" t="s">
        <v>74</v>
      </c>
      <c r="BS604" t="s">
        <v>4519</v>
      </c>
      <c r="BT604" t="str">
        <f>HYPERLINK("https%3A%2F%2Fwww.webofscience.com%2Fwos%2Fwoscc%2Ffull-record%2FWOS:000307130300037","View Full Record in Web of Science")</f>
        <v>View Full Record in Web of Science</v>
      </c>
    </row>
    <row r="605" spans="1:72" x14ac:dyDescent="0.2">
      <c r="A605" t="s">
        <v>72</v>
      </c>
      <c r="B605" t="s">
        <v>4520</v>
      </c>
      <c r="C605" t="s">
        <v>74</v>
      </c>
      <c r="D605" t="s">
        <v>74</v>
      </c>
      <c r="E605" t="s">
        <v>74</v>
      </c>
      <c r="F605" t="s">
        <v>4521</v>
      </c>
      <c r="G605" t="s">
        <v>74</v>
      </c>
      <c r="H605" t="s">
        <v>74</v>
      </c>
      <c r="I605" t="s">
        <v>4522</v>
      </c>
      <c r="J605" t="s">
        <v>97</v>
      </c>
      <c r="K605" t="s">
        <v>74</v>
      </c>
      <c r="L605" t="s">
        <v>74</v>
      </c>
      <c r="M605" t="s">
        <v>74</v>
      </c>
      <c r="N605" t="s">
        <v>74</v>
      </c>
      <c r="O605" t="s">
        <v>74</v>
      </c>
      <c r="P605" t="s">
        <v>74</v>
      </c>
      <c r="Q605" t="s">
        <v>74</v>
      </c>
      <c r="R605" t="s">
        <v>74</v>
      </c>
      <c r="S605" t="s">
        <v>74</v>
      </c>
      <c r="T605" t="s">
        <v>74</v>
      </c>
      <c r="U605" t="s">
        <v>74</v>
      </c>
      <c r="V605" t="s">
        <v>74</v>
      </c>
      <c r="W605" t="s">
        <v>74</v>
      </c>
      <c r="X605" t="s">
        <v>74</v>
      </c>
      <c r="Y605" t="s">
        <v>74</v>
      </c>
      <c r="Z605" t="s">
        <v>74</v>
      </c>
      <c r="AA605" t="s">
        <v>4523</v>
      </c>
      <c r="AB605" t="s">
        <v>4524</v>
      </c>
      <c r="AC605" t="s">
        <v>74</v>
      </c>
      <c r="AD605" t="s">
        <v>74</v>
      </c>
      <c r="AE605" t="s">
        <v>74</v>
      </c>
      <c r="AF605" t="s">
        <v>74</v>
      </c>
      <c r="AG605" t="s">
        <v>74</v>
      </c>
      <c r="AH605" t="s">
        <v>74</v>
      </c>
      <c r="AI605" t="s">
        <v>74</v>
      </c>
      <c r="AJ605" t="s">
        <v>74</v>
      </c>
      <c r="AK605" t="s">
        <v>74</v>
      </c>
      <c r="AL605" t="s">
        <v>74</v>
      </c>
      <c r="AM605" t="s">
        <v>74</v>
      </c>
      <c r="AN605" t="s">
        <v>74</v>
      </c>
      <c r="AO605" t="s">
        <v>98</v>
      </c>
      <c r="AP605" t="s">
        <v>99</v>
      </c>
      <c r="AQ605" t="s">
        <v>74</v>
      </c>
      <c r="AR605" t="s">
        <v>74</v>
      </c>
      <c r="AS605" t="s">
        <v>74</v>
      </c>
      <c r="AT605" t="s">
        <v>82</v>
      </c>
      <c r="AU605">
        <v>2012</v>
      </c>
      <c r="AV605">
        <v>46</v>
      </c>
      <c r="AW605">
        <v>4</v>
      </c>
      <c r="AX605" t="s">
        <v>74</v>
      </c>
      <c r="AY605" t="s">
        <v>74</v>
      </c>
      <c r="AZ605" t="s">
        <v>74</v>
      </c>
      <c r="BA605" t="s">
        <v>74</v>
      </c>
      <c r="BB605">
        <v>501</v>
      </c>
      <c r="BC605">
        <v>519</v>
      </c>
      <c r="BD605" t="s">
        <v>74</v>
      </c>
      <c r="BE605" t="s">
        <v>4525</v>
      </c>
      <c r="BF605" t="str">
        <f>HYPERLINK("http://dx.doi.org/10.1007/s10452-012-9418-8","http://dx.doi.org/10.1007/s10452-012-9418-8")</f>
        <v>http://dx.doi.org/10.1007/s10452-012-9418-8</v>
      </c>
      <c r="BG605" t="s">
        <v>74</v>
      </c>
      <c r="BH605" t="s">
        <v>74</v>
      </c>
      <c r="BI605" t="s">
        <v>74</v>
      </c>
      <c r="BJ605" t="s">
        <v>74</v>
      </c>
      <c r="BK605" t="s">
        <v>74</v>
      </c>
      <c r="BL605" t="s">
        <v>74</v>
      </c>
      <c r="BM605" t="s">
        <v>74</v>
      </c>
      <c r="BN605" t="s">
        <v>74</v>
      </c>
      <c r="BO605" t="s">
        <v>74</v>
      </c>
      <c r="BP605" t="s">
        <v>74</v>
      </c>
      <c r="BQ605" t="s">
        <v>74</v>
      </c>
      <c r="BR605" t="s">
        <v>74</v>
      </c>
      <c r="BS605" t="s">
        <v>4526</v>
      </c>
      <c r="BT605" t="str">
        <f>HYPERLINK("https%3A%2F%2Fwww.webofscience.com%2Fwos%2Fwoscc%2Ffull-record%2FWOS:000310537400011","View Full Record in Web of Science")</f>
        <v>View Full Record in Web of Science</v>
      </c>
    </row>
    <row r="606" spans="1:72" x14ac:dyDescent="0.2">
      <c r="A606" t="s">
        <v>72</v>
      </c>
      <c r="B606" t="s">
        <v>4527</v>
      </c>
      <c r="C606" t="s">
        <v>74</v>
      </c>
      <c r="D606" t="s">
        <v>74</v>
      </c>
      <c r="E606" t="s">
        <v>74</v>
      </c>
      <c r="F606" t="s">
        <v>4528</v>
      </c>
      <c r="G606" t="s">
        <v>74</v>
      </c>
      <c r="H606" t="s">
        <v>74</v>
      </c>
      <c r="I606" t="s">
        <v>4529</v>
      </c>
      <c r="J606" t="s">
        <v>4530</v>
      </c>
      <c r="K606" t="s">
        <v>74</v>
      </c>
      <c r="L606" t="s">
        <v>74</v>
      </c>
      <c r="M606" t="s">
        <v>74</v>
      </c>
      <c r="N606" t="s">
        <v>74</v>
      </c>
      <c r="O606" t="s">
        <v>74</v>
      </c>
      <c r="P606" t="s">
        <v>74</v>
      </c>
      <c r="Q606" t="s">
        <v>74</v>
      </c>
      <c r="R606" t="s">
        <v>74</v>
      </c>
      <c r="S606" t="s">
        <v>74</v>
      </c>
      <c r="T606" t="s">
        <v>74</v>
      </c>
      <c r="U606" t="s">
        <v>74</v>
      </c>
      <c r="V606" t="s">
        <v>74</v>
      </c>
      <c r="W606" t="s">
        <v>74</v>
      </c>
      <c r="X606" t="s">
        <v>74</v>
      </c>
      <c r="Y606" t="s">
        <v>74</v>
      </c>
      <c r="Z606" t="s">
        <v>74</v>
      </c>
      <c r="AA606" t="s">
        <v>4531</v>
      </c>
      <c r="AB606" t="s">
        <v>4532</v>
      </c>
      <c r="AC606" t="s">
        <v>74</v>
      </c>
      <c r="AD606" t="s">
        <v>74</v>
      </c>
      <c r="AE606" t="s">
        <v>74</v>
      </c>
      <c r="AF606" t="s">
        <v>74</v>
      </c>
      <c r="AG606" t="s">
        <v>74</v>
      </c>
      <c r="AH606" t="s">
        <v>74</v>
      </c>
      <c r="AI606" t="s">
        <v>74</v>
      </c>
      <c r="AJ606" t="s">
        <v>74</v>
      </c>
      <c r="AK606" t="s">
        <v>74</v>
      </c>
      <c r="AL606" t="s">
        <v>74</v>
      </c>
      <c r="AM606" t="s">
        <v>74</v>
      </c>
      <c r="AN606" t="s">
        <v>74</v>
      </c>
      <c r="AO606" t="s">
        <v>4533</v>
      </c>
      <c r="AP606" t="s">
        <v>4534</v>
      </c>
      <c r="AQ606" t="s">
        <v>74</v>
      </c>
      <c r="AR606" t="s">
        <v>74</v>
      </c>
      <c r="AS606" t="s">
        <v>74</v>
      </c>
      <c r="AT606" t="s">
        <v>4535</v>
      </c>
      <c r="AU606">
        <v>2012</v>
      </c>
      <c r="AV606">
        <v>162</v>
      </c>
      <c r="AW606">
        <v>1</v>
      </c>
      <c r="AX606" t="s">
        <v>74</v>
      </c>
      <c r="AY606" t="s">
        <v>74</v>
      </c>
      <c r="AZ606" t="s">
        <v>632</v>
      </c>
      <c r="BA606" t="s">
        <v>74</v>
      </c>
      <c r="BB606">
        <v>105</v>
      </c>
      <c r="BC606">
        <v>114</v>
      </c>
      <c r="BD606" t="s">
        <v>74</v>
      </c>
      <c r="BE606" t="s">
        <v>4536</v>
      </c>
      <c r="BF606" t="str">
        <f>HYPERLINK("http://dx.doi.org/10.1016/j.jbiotec.2012.04.017","http://dx.doi.org/10.1016/j.jbiotec.2012.04.017")</f>
        <v>http://dx.doi.org/10.1016/j.jbiotec.2012.04.017</v>
      </c>
      <c r="BG606" t="s">
        <v>74</v>
      </c>
      <c r="BH606" t="s">
        <v>74</v>
      </c>
      <c r="BI606" t="s">
        <v>74</v>
      </c>
      <c r="BJ606" t="s">
        <v>74</v>
      </c>
      <c r="BK606" t="s">
        <v>74</v>
      </c>
      <c r="BL606" t="s">
        <v>74</v>
      </c>
      <c r="BM606" t="s">
        <v>74</v>
      </c>
      <c r="BN606">
        <v>22771887</v>
      </c>
      <c r="BO606" t="s">
        <v>74</v>
      </c>
      <c r="BP606" t="s">
        <v>74</v>
      </c>
      <c r="BQ606" t="s">
        <v>74</v>
      </c>
      <c r="BR606" t="s">
        <v>74</v>
      </c>
      <c r="BS606" t="s">
        <v>4537</v>
      </c>
      <c r="BT606" t="str">
        <f>HYPERLINK("https%3A%2F%2Fwww.webofscience.com%2Fwos%2Fwoscc%2Ffull-record%2FWOS:000311019700014","View Full Record in Web of Science")</f>
        <v>View Full Record in Web of Science</v>
      </c>
    </row>
    <row r="607" spans="1:72" x14ac:dyDescent="0.2">
      <c r="A607" t="s">
        <v>72</v>
      </c>
      <c r="B607" t="s">
        <v>4538</v>
      </c>
      <c r="C607" t="s">
        <v>74</v>
      </c>
      <c r="D607" t="s">
        <v>74</v>
      </c>
      <c r="E607" t="s">
        <v>74</v>
      </c>
      <c r="F607" t="s">
        <v>4539</v>
      </c>
      <c r="G607" t="s">
        <v>74</v>
      </c>
      <c r="H607" t="s">
        <v>74</v>
      </c>
      <c r="I607" t="s">
        <v>4540</v>
      </c>
      <c r="J607" t="s">
        <v>124</v>
      </c>
      <c r="K607" t="s">
        <v>74</v>
      </c>
      <c r="L607" t="s">
        <v>74</v>
      </c>
      <c r="M607" t="s">
        <v>74</v>
      </c>
      <c r="N607" t="s">
        <v>74</v>
      </c>
      <c r="O607" t="s">
        <v>4541</v>
      </c>
      <c r="P607" t="s">
        <v>4542</v>
      </c>
      <c r="Q607" t="s">
        <v>4543</v>
      </c>
      <c r="R607" t="s">
        <v>74</v>
      </c>
      <c r="S607" t="s">
        <v>74</v>
      </c>
      <c r="T607" t="s">
        <v>74</v>
      </c>
      <c r="U607" t="s">
        <v>74</v>
      </c>
      <c r="V607" t="s">
        <v>74</v>
      </c>
      <c r="W607" t="s">
        <v>74</v>
      </c>
      <c r="X607" t="s">
        <v>74</v>
      </c>
      <c r="Y607" t="s">
        <v>74</v>
      </c>
      <c r="Z607" t="s">
        <v>74</v>
      </c>
      <c r="AA607" t="s">
        <v>74</v>
      </c>
      <c r="AB607" t="s">
        <v>3006</v>
      </c>
      <c r="AC607" t="s">
        <v>74</v>
      </c>
      <c r="AD607" t="s">
        <v>74</v>
      </c>
      <c r="AE607" t="s">
        <v>74</v>
      </c>
      <c r="AF607" t="s">
        <v>74</v>
      </c>
      <c r="AG607" t="s">
        <v>74</v>
      </c>
      <c r="AH607" t="s">
        <v>74</v>
      </c>
      <c r="AI607" t="s">
        <v>74</v>
      </c>
      <c r="AJ607" t="s">
        <v>74</v>
      </c>
      <c r="AK607" t="s">
        <v>74</v>
      </c>
      <c r="AL607" t="s">
        <v>74</v>
      </c>
      <c r="AM607" t="s">
        <v>74</v>
      </c>
      <c r="AN607" t="s">
        <v>74</v>
      </c>
      <c r="AO607" t="s">
        <v>127</v>
      </c>
      <c r="AP607" t="s">
        <v>128</v>
      </c>
      <c r="AQ607" t="s">
        <v>74</v>
      </c>
      <c r="AR607" t="s">
        <v>74</v>
      </c>
      <c r="AS607" t="s">
        <v>74</v>
      </c>
      <c r="AT607" t="s">
        <v>335</v>
      </c>
      <c r="AU607">
        <v>2012</v>
      </c>
      <c r="AV607">
        <v>698</v>
      </c>
      <c r="AW607">
        <v>1</v>
      </c>
      <c r="AX607" t="s">
        <v>74</v>
      </c>
      <c r="AY607" t="s">
        <v>74</v>
      </c>
      <c r="AZ607" t="s">
        <v>74</v>
      </c>
      <c r="BA607" t="s">
        <v>74</v>
      </c>
      <c r="BB607">
        <v>191</v>
      </c>
      <c r="BC607">
        <v>202</v>
      </c>
      <c r="BD607" t="s">
        <v>74</v>
      </c>
      <c r="BE607" t="s">
        <v>4544</v>
      </c>
      <c r="BF607" t="str">
        <f>HYPERLINK("http://dx.doi.org/10.1007/s10750-012-1072-6","http://dx.doi.org/10.1007/s10750-012-1072-6")</f>
        <v>http://dx.doi.org/10.1007/s10750-012-1072-6</v>
      </c>
      <c r="BG607" t="s">
        <v>74</v>
      </c>
      <c r="BH607" t="s">
        <v>74</v>
      </c>
      <c r="BI607" t="s">
        <v>74</v>
      </c>
      <c r="BJ607" t="s">
        <v>74</v>
      </c>
      <c r="BK607" t="s">
        <v>74</v>
      </c>
      <c r="BL607" t="s">
        <v>74</v>
      </c>
      <c r="BM607" t="s">
        <v>74</v>
      </c>
      <c r="BN607" t="s">
        <v>74</v>
      </c>
      <c r="BO607" t="s">
        <v>74</v>
      </c>
      <c r="BP607" t="s">
        <v>74</v>
      </c>
      <c r="BQ607" t="s">
        <v>74</v>
      </c>
      <c r="BR607" t="s">
        <v>74</v>
      </c>
      <c r="BS607" t="s">
        <v>4545</v>
      </c>
      <c r="BT607" t="str">
        <f>HYPERLINK("https%3A%2F%2Fwww.webofscience.com%2Fwos%2Fwoscc%2Ffull-record%2FWOS:000309345700015","View Full Record in Web of Science")</f>
        <v>View Full Record in Web of Science</v>
      </c>
    </row>
    <row r="608" spans="1:72" x14ac:dyDescent="0.2">
      <c r="A608" t="s">
        <v>72</v>
      </c>
      <c r="B608" t="s">
        <v>4546</v>
      </c>
      <c r="C608" t="s">
        <v>74</v>
      </c>
      <c r="D608" t="s">
        <v>74</v>
      </c>
      <c r="E608" t="s">
        <v>74</v>
      </c>
      <c r="F608" t="s">
        <v>4547</v>
      </c>
      <c r="G608" t="s">
        <v>74</v>
      </c>
      <c r="H608" t="s">
        <v>74</v>
      </c>
      <c r="I608" t="s">
        <v>4548</v>
      </c>
      <c r="J608" t="s">
        <v>3360</v>
      </c>
      <c r="K608" t="s">
        <v>74</v>
      </c>
      <c r="L608" t="s">
        <v>74</v>
      </c>
      <c r="M608" t="s">
        <v>74</v>
      </c>
      <c r="N608" t="s">
        <v>74</v>
      </c>
      <c r="O608" t="s">
        <v>74</v>
      </c>
      <c r="P608" t="s">
        <v>74</v>
      </c>
      <c r="Q608" t="s">
        <v>74</v>
      </c>
      <c r="R608" t="s">
        <v>74</v>
      </c>
      <c r="S608" t="s">
        <v>74</v>
      </c>
      <c r="T608" t="s">
        <v>74</v>
      </c>
      <c r="U608" t="s">
        <v>74</v>
      </c>
      <c r="V608" t="s">
        <v>74</v>
      </c>
      <c r="W608" t="s">
        <v>74</v>
      </c>
      <c r="X608" t="s">
        <v>74</v>
      </c>
      <c r="Y608" t="s">
        <v>74</v>
      </c>
      <c r="Z608" t="s">
        <v>74</v>
      </c>
      <c r="AA608" t="s">
        <v>4549</v>
      </c>
      <c r="AB608" t="s">
        <v>4550</v>
      </c>
      <c r="AC608" t="s">
        <v>74</v>
      </c>
      <c r="AD608" t="s">
        <v>74</v>
      </c>
      <c r="AE608" t="s">
        <v>74</v>
      </c>
      <c r="AF608" t="s">
        <v>74</v>
      </c>
      <c r="AG608" t="s">
        <v>74</v>
      </c>
      <c r="AH608" t="s">
        <v>74</v>
      </c>
      <c r="AI608" t="s">
        <v>74</v>
      </c>
      <c r="AJ608" t="s">
        <v>74</v>
      </c>
      <c r="AK608" t="s">
        <v>74</v>
      </c>
      <c r="AL608" t="s">
        <v>74</v>
      </c>
      <c r="AM608" t="s">
        <v>74</v>
      </c>
      <c r="AN608" t="s">
        <v>74</v>
      </c>
      <c r="AO608" t="s">
        <v>3363</v>
      </c>
      <c r="AP608" t="s">
        <v>3364</v>
      </c>
      <c r="AQ608" t="s">
        <v>74</v>
      </c>
      <c r="AR608" t="s">
        <v>74</v>
      </c>
      <c r="AS608" t="s">
        <v>74</v>
      </c>
      <c r="AT608" t="s">
        <v>335</v>
      </c>
      <c r="AU608">
        <v>2012</v>
      </c>
      <c r="AV608">
        <v>159</v>
      </c>
      <c r="AW608">
        <v>11</v>
      </c>
      <c r="AX608" t="s">
        <v>74</v>
      </c>
      <c r="AY608" t="s">
        <v>74</v>
      </c>
      <c r="AZ608" t="s">
        <v>632</v>
      </c>
      <c r="BA608" t="s">
        <v>74</v>
      </c>
      <c r="BB608">
        <v>2367</v>
      </c>
      <c r="BC608">
        <v>2377</v>
      </c>
      <c r="BD608" t="s">
        <v>74</v>
      </c>
      <c r="BE608" t="s">
        <v>4551</v>
      </c>
      <c r="BF608" t="str">
        <f>HYPERLINK("http://dx.doi.org/10.1007/s00227-012-2085-4","http://dx.doi.org/10.1007/s00227-012-2085-4")</f>
        <v>http://dx.doi.org/10.1007/s00227-012-2085-4</v>
      </c>
      <c r="BG608" t="s">
        <v>74</v>
      </c>
      <c r="BH608" t="s">
        <v>74</v>
      </c>
      <c r="BI608" t="s">
        <v>74</v>
      </c>
      <c r="BJ608" t="s">
        <v>74</v>
      </c>
      <c r="BK608" t="s">
        <v>74</v>
      </c>
      <c r="BL608" t="s">
        <v>74</v>
      </c>
      <c r="BM608" t="s">
        <v>74</v>
      </c>
      <c r="BN608" t="s">
        <v>74</v>
      </c>
      <c r="BO608" t="s">
        <v>74</v>
      </c>
      <c r="BP608" t="s">
        <v>74</v>
      </c>
      <c r="BQ608" t="s">
        <v>74</v>
      </c>
      <c r="BR608" t="s">
        <v>74</v>
      </c>
      <c r="BS608" t="s">
        <v>4552</v>
      </c>
      <c r="BT608" t="str">
        <f>HYPERLINK("https%3A%2F%2Fwww.webofscience.com%2Fwos%2Fwoscc%2Ffull-record%2FWOS:000310586900001","View Full Record in Web of Science")</f>
        <v>View Full Record in Web of Science</v>
      </c>
    </row>
    <row r="609" spans="1:72" x14ac:dyDescent="0.2">
      <c r="A609" t="s">
        <v>72</v>
      </c>
      <c r="B609" t="s">
        <v>4553</v>
      </c>
      <c r="C609" t="s">
        <v>74</v>
      </c>
      <c r="D609" t="s">
        <v>74</v>
      </c>
      <c r="E609" t="s">
        <v>74</v>
      </c>
      <c r="F609" t="s">
        <v>4554</v>
      </c>
      <c r="G609" t="s">
        <v>74</v>
      </c>
      <c r="H609" t="s">
        <v>74</v>
      </c>
      <c r="I609" t="s">
        <v>4555</v>
      </c>
      <c r="J609" t="s">
        <v>1716</v>
      </c>
      <c r="K609" t="s">
        <v>74</v>
      </c>
      <c r="L609" t="s">
        <v>74</v>
      </c>
      <c r="M609" t="s">
        <v>74</v>
      </c>
      <c r="N609" t="s">
        <v>74</v>
      </c>
      <c r="O609" t="s">
        <v>74</v>
      </c>
      <c r="P609" t="s">
        <v>74</v>
      </c>
      <c r="Q609" t="s">
        <v>74</v>
      </c>
      <c r="R609" t="s">
        <v>74</v>
      </c>
      <c r="S609" t="s">
        <v>74</v>
      </c>
      <c r="T609" t="s">
        <v>74</v>
      </c>
      <c r="U609" t="s">
        <v>74</v>
      </c>
      <c r="V609" t="s">
        <v>74</v>
      </c>
      <c r="W609" t="s">
        <v>74</v>
      </c>
      <c r="X609" t="s">
        <v>74</v>
      </c>
      <c r="Y609" t="s">
        <v>74</v>
      </c>
      <c r="Z609" t="s">
        <v>74</v>
      </c>
      <c r="AA609" t="s">
        <v>7113</v>
      </c>
      <c r="AB609" t="s">
        <v>7114</v>
      </c>
      <c r="AC609" t="s">
        <v>74</v>
      </c>
      <c r="AD609" t="s">
        <v>74</v>
      </c>
      <c r="AE609" t="s">
        <v>74</v>
      </c>
      <c r="AF609" t="s">
        <v>74</v>
      </c>
      <c r="AG609" t="s">
        <v>74</v>
      </c>
      <c r="AH609" t="s">
        <v>74</v>
      </c>
      <c r="AI609" t="s">
        <v>74</v>
      </c>
      <c r="AJ609" t="s">
        <v>74</v>
      </c>
      <c r="AK609" t="s">
        <v>74</v>
      </c>
      <c r="AL609" t="s">
        <v>74</v>
      </c>
      <c r="AM609" t="s">
        <v>74</v>
      </c>
      <c r="AN609" t="s">
        <v>74</v>
      </c>
      <c r="AO609" t="s">
        <v>1717</v>
      </c>
      <c r="AP609" t="s">
        <v>1718</v>
      </c>
      <c r="AQ609" t="s">
        <v>74</v>
      </c>
      <c r="AR609" t="s">
        <v>74</v>
      </c>
      <c r="AS609" t="s">
        <v>74</v>
      </c>
      <c r="AT609" t="s">
        <v>406</v>
      </c>
      <c r="AU609">
        <v>2012</v>
      </c>
      <c r="AV609">
        <v>48</v>
      </c>
      <c r="AW609">
        <v>5</v>
      </c>
      <c r="AX609" t="s">
        <v>74</v>
      </c>
      <c r="AY609" t="s">
        <v>74</v>
      </c>
      <c r="AZ609" t="s">
        <v>74</v>
      </c>
      <c r="BA609" t="s">
        <v>74</v>
      </c>
      <c r="BB609">
        <v>1197</v>
      </c>
      <c r="BC609">
        <v>1208</v>
      </c>
      <c r="BD609" t="s">
        <v>74</v>
      </c>
      <c r="BE609" t="s">
        <v>4556</v>
      </c>
      <c r="BF609" t="str">
        <f>HYPERLINK("http://dx.doi.org/10.1111/j.1529-8817.2012.01205.x","http://dx.doi.org/10.1111/j.1529-8817.2012.01205.x")</f>
        <v>http://dx.doi.org/10.1111/j.1529-8817.2012.01205.x</v>
      </c>
      <c r="BG609" t="s">
        <v>74</v>
      </c>
      <c r="BH609" t="s">
        <v>74</v>
      </c>
      <c r="BI609" t="s">
        <v>74</v>
      </c>
      <c r="BJ609" t="s">
        <v>74</v>
      </c>
      <c r="BK609" t="s">
        <v>74</v>
      </c>
      <c r="BL609" t="s">
        <v>74</v>
      </c>
      <c r="BM609" t="s">
        <v>74</v>
      </c>
      <c r="BN609">
        <v>27011279</v>
      </c>
      <c r="BO609" t="s">
        <v>74</v>
      </c>
      <c r="BP609" t="s">
        <v>74</v>
      </c>
      <c r="BQ609" t="s">
        <v>74</v>
      </c>
      <c r="BR609" t="s">
        <v>74</v>
      </c>
      <c r="BS609" t="s">
        <v>4557</v>
      </c>
      <c r="BT609" t="str">
        <f>HYPERLINK("https%3A%2F%2Fwww.webofscience.com%2Fwos%2Fwoscc%2Ffull-record%2FWOS:000309462500014","View Full Record in Web of Science")</f>
        <v>View Full Record in Web of Science</v>
      </c>
    </row>
    <row r="610" spans="1:72" x14ac:dyDescent="0.2">
      <c r="A610" t="s">
        <v>72</v>
      </c>
      <c r="B610" t="s">
        <v>4558</v>
      </c>
      <c r="C610" t="s">
        <v>74</v>
      </c>
      <c r="D610" t="s">
        <v>74</v>
      </c>
      <c r="E610" t="s">
        <v>74</v>
      </c>
      <c r="F610" t="s">
        <v>4559</v>
      </c>
      <c r="G610" t="s">
        <v>74</v>
      </c>
      <c r="H610" t="s">
        <v>74</v>
      </c>
      <c r="I610" t="s">
        <v>4560</v>
      </c>
      <c r="J610" t="s">
        <v>3443</v>
      </c>
      <c r="K610" t="s">
        <v>74</v>
      </c>
      <c r="L610" t="s">
        <v>74</v>
      </c>
      <c r="M610" t="s">
        <v>74</v>
      </c>
      <c r="N610" t="s">
        <v>74</v>
      </c>
      <c r="O610" t="s">
        <v>74</v>
      </c>
      <c r="P610" t="s">
        <v>74</v>
      </c>
      <c r="Q610" t="s">
        <v>74</v>
      </c>
      <c r="R610" t="s">
        <v>74</v>
      </c>
      <c r="S610" t="s">
        <v>74</v>
      </c>
      <c r="T610" t="s">
        <v>74</v>
      </c>
      <c r="U610" t="s">
        <v>74</v>
      </c>
      <c r="V610" t="s">
        <v>74</v>
      </c>
      <c r="W610" t="s">
        <v>74</v>
      </c>
      <c r="X610" t="s">
        <v>74</v>
      </c>
      <c r="Y610" t="s">
        <v>74</v>
      </c>
      <c r="Z610" t="s">
        <v>74</v>
      </c>
      <c r="AA610" t="s">
        <v>7115</v>
      </c>
      <c r="AB610" t="s">
        <v>7116</v>
      </c>
      <c r="AC610" t="s">
        <v>74</v>
      </c>
      <c r="AD610" t="s">
        <v>74</v>
      </c>
      <c r="AE610" t="s">
        <v>74</v>
      </c>
      <c r="AF610" t="s">
        <v>74</v>
      </c>
      <c r="AG610" t="s">
        <v>74</v>
      </c>
      <c r="AH610" t="s">
        <v>74</v>
      </c>
      <c r="AI610" t="s">
        <v>74</v>
      </c>
      <c r="AJ610" t="s">
        <v>74</v>
      </c>
      <c r="AK610" t="s">
        <v>74</v>
      </c>
      <c r="AL610" t="s">
        <v>74</v>
      </c>
      <c r="AM610" t="s">
        <v>74</v>
      </c>
      <c r="AN610" t="s">
        <v>74</v>
      </c>
      <c r="AO610" t="s">
        <v>3445</v>
      </c>
      <c r="AP610" t="s">
        <v>74</v>
      </c>
      <c r="AQ610" t="s">
        <v>74</v>
      </c>
      <c r="AR610" t="s">
        <v>74</v>
      </c>
      <c r="AS610" t="s">
        <v>74</v>
      </c>
      <c r="AT610" t="s">
        <v>436</v>
      </c>
      <c r="AU610">
        <v>2012</v>
      </c>
      <c r="AV610">
        <v>7</v>
      </c>
      <c r="AW610">
        <v>9</v>
      </c>
      <c r="AX610" t="s">
        <v>74</v>
      </c>
      <c r="AY610" t="s">
        <v>74</v>
      </c>
      <c r="AZ610" t="s">
        <v>74</v>
      </c>
      <c r="BA610" t="s">
        <v>74</v>
      </c>
      <c r="BB610" t="s">
        <v>74</v>
      </c>
      <c r="BC610" t="s">
        <v>74</v>
      </c>
      <c r="BD610" t="s">
        <v>4561</v>
      </c>
      <c r="BE610" t="s">
        <v>4562</v>
      </c>
      <c r="BF610" t="str">
        <f>HYPERLINK("http://dx.doi.org/10.1371/journal.pone.0042966","http://dx.doi.org/10.1371/journal.pone.0042966")</f>
        <v>http://dx.doi.org/10.1371/journal.pone.0042966</v>
      </c>
      <c r="BG610" t="s">
        <v>74</v>
      </c>
      <c r="BH610" t="s">
        <v>74</v>
      </c>
      <c r="BI610" t="s">
        <v>74</v>
      </c>
      <c r="BJ610" t="s">
        <v>74</v>
      </c>
      <c r="BK610" t="s">
        <v>74</v>
      </c>
      <c r="BL610" t="s">
        <v>74</v>
      </c>
      <c r="BM610" t="s">
        <v>74</v>
      </c>
      <c r="BN610">
        <v>23049734</v>
      </c>
      <c r="BO610" t="s">
        <v>74</v>
      </c>
      <c r="BP610" t="s">
        <v>74</v>
      </c>
      <c r="BQ610" t="s">
        <v>74</v>
      </c>
      <c r="BR610" t="s">
        <v>74</v>
      </c>
      <c r="BS610" t="s">
        <v>4563</v>
      </c>
      <c r="BT610" t="str">
        <f>HYPERLINK("https%3A%2F%2Fwww.webofscience.com%2Fwos%2Fwoscc%2Ffull-record%2FWOS:000309556100006","View Full Record in Web of Science")</f>
        <v>View Full Record in Web of Science</v>
      </c>
    </row>
    <row r="611" spans="1:72" x14ac:dyDescent="0.2">
      <c r="A611" t="s">
        <v>72</v>
      </c>
      <c r="B611" t="s">
        <v>4564</v>
      </c>
      <c r="C611" t="s">
        <v>74</v>
      </c>
      <c r="D611" t="s">
        <v>74</v>
      </c>
      <c r="E611" t="s">
        <v>74</v>
      </c>
      <c r="F611" t="s">
        <v>4565</v>
      </c>
      <c r="G611" t="s">
        <v>74</v>
      </c>
      <c r="H611" t="s">
        <v>74</v>
      </c>
      <c r="I611" t="s">
        <v>4566</v>
      </c>
      <c r="J611" t="s">
        <v>2526</v>
      </c>
      <c r="K611" t="s">
        <v>74</v>
      </c>
      <c r="L611" t="s">
        <v>74</v>
      </c>
      <c r="M611" t="s">
        <v>74</v>
      </c>
      <c r="N611" t="s">
        <v>74</v>
      </c>
      <c r="O611" t="s">
        <v>74</v>
      </c>
      <c r="P611" t="s">
        <v>74</v>
      </c>
      <c r="Q611" t="s">
        <v>74</v>
      </c>
      <c r="R611" t="s">
        <v>74</v>
      </c>
      <c r="S611" t="s">
        <v>74</v>
      </c>
      <c r="T611" t="s">
        <v>74</v>
      </c>
      <c r="U611" t="s">
        <v>74</v>
      </c>
      <c r="V611" t="s">
        <v>74</v>
      </c>
      <c r="W611" t="s">
        <v>74</v>
      </c>
      <c r="X611" t="s">
        <v>74</v>
      </c>
      <c r="Y611" t="s">
        <v>74</v>
      </c>
      <c r="Z611" t="s">
        <v>74</v>
      </c>
      <c r="AA611" t="s">
        <v>7117</v>
      </c>
      <c r="AB611" t="s">
        <v>7118</v>
      </c>
      <c r="AC611" t="s">
        <v>74</v>
      </c>
      <c r="AD611" t="s">
        <v>74</v>
      </c>
      <c r="AE611" t="s">
        <v>74</v>
      </c>
      <c r="AF611" t="s">
        <v>74</v>
      </c>
      <c r="AG611" t="s">
        <v>74</v>
      </c>
      <c r="AH611" t="s">
        <v>74</v>
      </c>
      <c r="AI611" t="s">
        <v>74</v>
      </c>
      <c r="AJ611" t="s">
        <v>74</v>
      </c>
      <c r="AK611" t="s">
        <v>74</v>
      </c>
      <c r="AL611" t="s">
        <v>74</v>
      </c>
      <c r="AM611" t="s">
        <v>74</v>
      </c>
      <c r="AN611" t="s">
        <v>74</v>
      </c>
      <c r="AO611" t="s">
        <v>2527</v>
      </c>
      <c r="AP611" t="s">
        <v>74</v>
      </c>
      <c r="AQ611" t="s">
        <v>74</v>
      </c>
      <c r="AR611" t="s">
        <v>74</v>
      </c>
      <c r="AS611" t="s">
        <v>74</v>
      </c>
      <c r="AT611" t="s">
        <v>4567</v>
      </c>
      <c r="AU611">
        <v>2012</v>
      </c>
      <c r="AV611">
        <v>109</v>
      </c>
      <c r="AW611">
        <v>38</v>
      </c>
      <c r="AX611" t="s">
        <v>74</v>
      </c>
      <c r="AY611" t="s">
        <v>74</v>
      </c>
      <c r="AZ611" t="s">
        <v>74</v>
      </c>
      <c r="BA611" t="s">
        <v>74</v>
      </c>
      <c r="BB611">
        <v>15377</v>
      </c>
      <c r="BC611">
        <v>15382</v>
      </c>
      <c r="BD611" t="s">
        <v>74</v>
      </c>
      <c r="BE611" t="s">
        <v>4568</v>
      </c>
      <c r="BF611" t="str">
        <f>HYPERLINK("http://dx.doi.org/10.1073/pnas.1209938109","http://dx.doi.org/10.1073/pnas.1209938109")</f>
        <v>http://dx.doi.org/10.1073/pnas.1209938109</v>
      </c>
      <c r="BG611" t="s">
        <v>74</v>
      </c>
      <c r="BH611" t="s">
        <v>74</v>
      </c>
      <c r="BI611" t="s">
        <v>74</v>
      </c>
      <c r="BJ611" t="s">
        <v>74</v>
      </c>
      <c r="BK611" t="s">
        <v>74</v>
      </c>
      <c r="BL611" t="s">
        <v>74</v>
      </c>
      <c r="BM611" t="s">
        <v>74</v>
      </c>
      <c r="BN611">
        <v>22949653</v>
      </c>
      <c r="BO611" t="s">
        <v>74</v>
      </c>
      <c r="BP611" t="s">
        <v>74</v>
      </c>
      <c r="BQ611" t="s">
        <v>74</v>
      </c>
      <c r="BR611" t="s">
        <v>74</v>
      </c>
      <c r="BS611" t="s">
        <v>4569</v>
      </c>
      <c r="BT611" t="str">
        <f>HYPERLINK("https%3A%2F%2Fwww.webofscience.com%2Fwos%2Fwoscc%2Ffull-record%2FWOS:000309211000064","View Full Record in Web of Science")</f>
        <v>View Full Record in Web of Science</v>
      </c>
    </row>
    <row r="612" spans="1:72" x14ac:dyDescent="0.2">
      <c r="A612" t="s">
        <v>72</v>
      </c>
      <c r="B612" t="s">
        <v>4570</v>
      </c>
      <c r="C612" t="s">
        <v>74</v>
      </c>
      <c r="D612" t="s">
        <v>74</v>
      </c>
      <c r="E612" t="s">
        <v>74</v>
      </c>
      <c r="F612" t="s">
        <v>4571</v>
      </c>
      <c r="G612" t="s">
        <v>74</v>
      </c>
      <c r="H612" t="s">
        <v>74</v>
      </c>
      <c r="I612" t="s">
        <v>4572</v>
      </c>
      <c r="J612" t="s">
        <v>4573</v>
      </c>
      <c r="K612" t="s">
        <v>74</v>
      </c>
      <c r="L612" t="s">
        <v>74</v>
      </c>
      <c r="M612" t="s">
        <v>74</v>
      </c>
      <c r="N612" t="s">
        <v>74</v>
      </c>
      <c r="O612" t="s">
        <v>74</v>
      </c>
      <c r="P612" t="s">
        <v>74</v>
      </c>
      <c r="Q612" t="s">
        <v>74</v>
      </c>
      <c r="R612" t="s">
        <v>74</v>
      </c>
      <c r="S612" t="s">
        <v>74</v>
      </c>
      <c r="T612" t="s">
        <v>74</v>
      </c>
      <c r="U612" t="s">
        <v>74</v>
      </c>
      <c r="V612" t="s">
        <v>74</v>
      </c>
      <c r="W612" t="s">
        <v>74</v>
      </c>
      <c r="X612" t="s">
        <v>74</v>
      </c>
      <c r="Y612" t="s">
        <v>74</v>
      </c>
      <c r="Z612" t="s">
        <v>74</v>
      </c>
      <c r="AA612" t="s">
        <v>74</v>
      </c>
      <c r="AB612" t="s">
        <v>74</v>
      </c>
      <c r="AC612" t="s">
        <v>74</v>
      </c>
      <c r="AD612" t="s">
        <v>74</v>
      </c>
      <c r="AE612" t="s">
        <v>74</v>
      </c>
      <c r="AF612" t="s">
        <v>74</v>
      </c>
      <c r="AG612" t="s">
        <v>74</v>
      </c>
      <c r="AH612" t="s">
        <v>74</v>
      </c>
      <c r="AI612" t="s">
        <v>74</v>
      </c>
      <c r="AJ612" t="s">
        <v>74</v>
      </c>
      <c r="AK612" t="s">
        <v>74</v>
      </c>
      <c r="AL612" t="s">
        <v>74</v>
      </c>
      <c r="AM612" t="s">
        <v>74</v>
      </c>
      <c r="AN612" t="s">
        <v>74</v>
      </c>
      <c r="AO612" t="s">
        <v>4574</v>
      </c>
      <c r="AP612" t="s">
        <v>4575</v>
      </c>
      <c r="AQ612" t="s">
        <v>74</v>
      </c>
      <c r="AR612" t="s">
        <v>74</v>
      </c>
      <c r="AS612" t="s">
        <v>74</v>
      </c>
      <c r="AT612" t="s">
        <v>451</v>
      </c>
      <c r="AU612">
        <v>2012</v>
      </c>
      <c r="AV612">
        <v>15</v>
      </c>
      <c r="AW612">
        <v>6</v>
      </c>
      <c r="AX612" t="s">
        <v>74</v>
      </c>
      <c r="AY612" t="s">
        <v>74</v>
      </c>
      <c r="AZ612" t="s">
        <v>74</v>
      </c>
      <c r="BA612" t="s">
        <v>74</v>
      </c>
      <c r="BB612">
        <v>1010</v>
      </c>
      <c r="BC612">
        <v>1026</v>
      </c>
      <c r="BD612" t="s">
        <v>74</v>
      </c>
      <c r="BE612" t="s">
        <v>4576</v>
      </c>
      <c r="BF612" t="str">
        <f>HYPERLINK("http://dx.doi.org/10.1007/s10021-012-9560-0","http://dx.doi.org/10.1007/s10021-012-9560-0")</f>
        <v>http://dx.doi.org/10.1007/s10021-012-9560-0</v>
      </c>
      <c r="BG612" t="s">
        <v>74</v>
      </c>
      <c r="BH612" t="s">
        <v>74</v>
      </c>
      <c r="BI612" t="s">
        <v>74</v>
      </c>
      <c r="BJ612" t="s">
        <v>74</v>
      </c>
      <c r="BK612" t="s">
        <v>74</v>
      </c>
      <c r="BL612" t="s">
        <v>74</v>
      </c>
      <c r="BM612" t="s">
        <v>74</v>
      </c>
      <c r="BN612" t="s">
        <v>74</v>
      </c>
      <c r="BO612" t="s">
        <v>74</v>
      </c>
      <c r="BP612" t="s">
        <v>74</v>
      </c>
      <c r="BQ612" t="s">
        <v>74</v>
      </c>
      <c r="BR612" t="s">
        <v>74</v>
      </c>
      <c r="BS612" t="s">
        <v>4577</v>
      </c>
      <c r="BT612" t="str">
        <f>HYPERLINK("https%3A%2F%2Fwww.webofscience.com%2Fwos%2Fwoscc%2Ffull-record%2FWOS:000307763700012","View Full Record in Web of Science")</f>
        <v>View Full Record in Web of Science</v>
      </c>
    </row>
    <row r="613" spans="1:72" x14ac:dyDescent="0.2">
      <c r="A613" t="s">
        <v>72</v>
      </c>
      <c r="B613" t="s">
        <v>4578</v>
      </c>
      <c r="C613" t="s">
        <v>74</v>
      </c>
      <c r="D613" t="s">
        <v>74</v>
      </c>
      <c r="E613" t="s">
        <v>74</v>
      </c>
      <c r="F613" t="s">
        <v>4579</v>
      </c>
      <c r="G613" t="s">
        <v>74</v>
      </c>
      <c r="H613" t="s">
        <v>74</v>
      </c>
      <c r="I613" t="s">
        <v>4580</v>
      </c>
      <c r="J613" t="s">
        <v>1832</v>
      </c>
      <c r="K613" t="s">
        <v>74</v>
      </c>
      <c r="L613" t="s">
        <v>74</v>
      </c>
      <c r="M613" t="s">
        <v>74</v>
      </c>
      <c r="N613" t="s">
        <v>74</v>
      </c>
      <c r="O613" t="s">
        <v>74</v>
      </c>
      <c r="P613" t="s">
        <v>74</v>
      </c>
      <c r="Q613" t="s">
        <v>74</v>
      </c>
      <c r="R613" t="s">
        <v>74</v>
      </c>
      <c r="S613" t="s">
        <v>74</v>
      </c>
      <c r="T613" t="s">
        <v>74</v>
      </c>
      <c r="U613" t="s">
        <v>74</v>
      </c>
      <c r="V613" t="s">
        <v>74</v>
      </c>
      <c r="W613" t="s">
        <v>74</v>
      </c>
      <c r="X613" t="s">
        <v>74</v>
      </c>
      <c r="Y613" t="s">
        <v>74</v>
      </c>
      <c r="Z613" t="s">
        <v>74</v>
      </c>
      <c r="AA613" t="s">
        <v>7119</v>
      </c>
      <c r="AB613" t="s">
        <v>4581</v>
      </c>
      <c r="AC613" t="s">
        <v>74</v>
      </c>
      <c r="AD613" t="s">
        <v>74</v>
      </c>
      <c r="AE613" t="s">
        <v>74</v>
      </c>
      <c r="AF613" t="s">
        <v>74</v>
      </c>
      <c r="AG613" t="s">
        <v>74</v>
      </c>
      <c r="AH613" t="s">
        <v>74</v>
      </c>
      <c r="AI613" t="s">
        <v>74</v>
      </c>
      <c r="AJ613" t="s">
        <v>74</v>
      </c>
      <c r="AK613" t="s">
        <v>74</v>
      </c>
      <c r="AL613" t="s">
        <v>74</v>
      </c>
      <c r="AM613" t="s">
        <v>74</v>
      </c>
      <c r="AN613" t="s">
        <v>74</v>
      </c>
      <c r="AO613" t="s">
        <v>1834</v>
      </c>
      <c r="AP613" t="s">
        <v>1835</v>
      </c>
      <c r="AQ613" t="s">
        <v>74</v>
      </c>
      <c r="AR613" t="s">
        <v>74</v>
      </c>
      <c r="AS613" t="s">
        <v>74</v>
      </c>
      <c r="AT613" t="s">
        <v>451</v>
      </c>
      <c r="AU613">
        <v>2012</v>
      </c>
      <c r="AV613">
        <v>35</v>
      </c>
      <c r="AW613">
        <v>5</v>
      </c>
      <c r="AX613" t="s">
        <v>74</v>
      </c>
      <c r="AY613" t="s">
        <v>74</v>
      </c>
      <c r="AZ613" t="s">
        <v>74</v>
      </c>
      <c r="BA613" t="s">
        <v>74</v>
      </c>
      <c r="BB613">
        <v>1261</v>
      </c>
      <c r="BC613">
        <v>1269</v>
      </c>
      <c r="BD613" t="s">
        <v>74</v>
      </c>
      <c r="BE613" t="s">
        <v>4582</v>
      </c>
      <c r="BF613" t="str">
        <f>HYPERLINK("http://dx.doi.org/10.1007/s12237-012-9531-x","http://dx.doi.org/10.1007/s12237-012-9531-x")</f>
        <v>http://dx.doi.org/10.1007/s12237-012-9531-x</v>
      </c>
      <c r="BG613" t="s">
        <v>74</v>
      </c>
      <c r="BH613" t="s">
        <v>74</v>
      </c>
      <c r="BI613" t="s">
        <v>74</v>
      </c>
      <c r="BJ613" t="s">
        <v>74</v>
      </c>
      <c r="BK613" t="s">
        <v>74</v>
      </c>
      <c r="BL613" t="s">
        <v>74</v>
      </c>
      <c r="BM613" t="s">
        <v>74</v>
      </c>
      <c r="BN613" t="s">
        <v>74</v>
      </c>
      <c r="BO613" t="s">
        <v>74</v>
      </c>
      <c r="BP613" t="s">
        <v>74</v>
      </c>
      <c r="BQ613" t="s">
        <v>74</v>
      </c>
      <c r="BR613" t="s">
        <v>74</v>
      </c>
      <c r="BS613" t="s">
        <v>4583</v>
      </c>
      <c r="BT613" t="str">
        <f>HYPERLINK("https%3A%2F%2Fwww.webofscience.com%2Fwos%2Fwoscc%2Ffull-record%2FWOS:000307332400010","View Full Record in Web of Science")</f>
        <v>View Full Record in Web of Science</v>
      </c>
    </row>
    <row r="614" spans="1:72" x14ac:dyDescent="0.2">
      <c r="A614" t="s">
        <v>72</v>
      </c>
      <c r="B614" t="s">
        <v>4584</v>
      </c>
      <c r="C614" t="s">
        <v>74</v>
      </c>
      <c r="D614" t="s">
        <v>74</v>
      </c>
      <c r="E614" t="s">
        <v>74</v>
      </c>
      <c r="F614" t="s">
        <v>4585</v>
      </c>
      <c r="G614" t="s">
        <v>74</v>
      </c>
      <c r="H614" t="s">
        <v>74</v>
      </c>
      <c r="I614" t="s">
        <v>4586</v>
      </c>
      <c r="J614" t="s">
        <v>4587</v>
      </c>
      <c r="K614" t="s">
        <v>74</v>
      </c>
      <c r="L614" t="s">
        <v>74</v>
      </c>
      <c r="M614" t="s">
        <v>74</v>
      </c>
      <c r="N614" t="s">
        <v>74</v>
      </c>
      <c r="O614" t="s">
        <v>74</v>
      </c>
      <c r="P614" t="s">
        <v>74</v>
      </c>
      <c r="Q614" t="s">
        <v>74</v>
      </c>
      <c r="R614" t="s">
        <v>74</v>
      </c>
      <c r="S614" t="s">
        <v>74</v>
      </c>
      <c r="T614" t="s">
        <v>74</v>
      </c>
      <c r="U614" t="s">
        <v>74</v>
      </c>
      <c r="V614" t="s">
        <v>74</v>
      </c>
      <c r="W614" t="s">
        <v>74</v>
      </c>
      <c r="X614" t="s">
        <v>74</v>
      </c>
      <c r="Y614" t="s">
        <v>74</v>
      </c>
      <c r="Z614" t="s">
        <v>74</v>
      </c>
      <c r="AA614" t="s">
        <v>4588</v>
      </c>
      <c r="AB614" t="s">
        <v>4589</v>
      </c>
      <c r="AC614" t="s">
        <v>74</v>
      </c>
      <c r="AD614" t="s">
        <v>74</v>
      </c>
      <c r="AE614" t="s">
        <v>74</v>
      </c>
      <c r="AF614" t="s">
        <v>74</v>
      </c>
      <c r="AG614" t="s">
        <v>74</v>
      </c>
      <c r="AH614" t="s">
        <v>74</v>
      </c>
      <c r="AI614" t="s">
        <v>74</v>
      </c>
      <c r="AJ614" t="s">
        <v>74</v>
      </c>
      <c r="AK614" t="s">
        <v>74</v>
      </c>
      <c r="AL614" t="s">
        <v>74</v>
      </c>
      <c r="AM614" t="s">
        <v>74</v>
      </c>
      <c r="AN614" t="s">
        <v>74</v>
      </c>
      <c r="AO614" t="s">
        <v>4590</v>
      </c>
      <c r="AP614" t="s">
        <v>4591</v>
      </c>
      <c r="AQ614" t="s">
        <v>74</v>
      </c>
      <c r="AR614" t="s">
        <v>74</v>
      </c>
      <c r="AS614" t="s">
        <v>74</v>
      </c>
      <c r="AT614" t="s">
        <v>520</v>
      </c>
      <c r="AU614">
        <v>2012</v>
      </c>
      <c r="AV614">
        <v>48</v>
      </c>
      <c r="AW614">
        <v>3</v>
      </c>
      <c r="AX614" t="s">
        <v>74</v>
      </c>
      <c r="AY614" t="s">
        <v>74</v>
      </c>
      <c r="AZ614" t="s">
        <v>74</v>
      </c>
      <c r="BA614" t="s">
        <v>74</v>
      </c>
      <c r="BB614">
        <v>169</v>
      </c>
      <c r="BC614">
        <v>177</v>
      </c>
      <c r="BD614" t="s">
        <v>74</v>
      </c>
      <c r="BE614" t="s">
        <v>4592</v>
      </c>
      <c r="BF614" t="str">
        <f>HYPERLINK("http://dx.doi.org/10.1016/j.ejop.2011.10.004","http://dx.doi.org/10.1016/j.ejop.2011.10.004")</f>
        <v>http://dx.doi.org/10.1016/j.ejop.2011.10.004</v>
      </c>
      <c r="BG614" t="s">
        <v>74</v>
      </c>
      <c r="BH614" t="s">
        <v>74</v>
      </c>
      <c r="BI614" t="s">
        <v>74</v>
      </c>
      <c r="BJ614" t="s">
        <v>74</v>
      </c>
      <c r="BK614" t="s">
        <v>74</v>
      </c>
      <c r="BL614" t="s">
        <v>74</v>
      </c>
      <c r="BM614" t="s">
        <v>74</v>
      </c>
      <c r="BN614">
        <v>22261279</v>
      </c>
      <c r="BO614" t="s">
        <v>74</v>
      </c>
      <c r="BP614" t="s">
        <v>74</v>
      </c>
      <c r="BQ614" t="s">
        <v>74</v>
      </c>
      <c r="BR614" t="s">
        <v>74</v>
      </c>
      <c r="BS614" t="s">
        <v>4593</v>
      </c>
      <c r="BT614" t="str">
        <f>HYPERLINK("https%3A%2F%2Fwww.webofscience.com%2Fwos%2Fwoscc%2Ffull-record%2FWOS:000306880900002","View Full Record in Web of Science")</f>
        <v>View Full Record in Web of Science</v>
      </c>
    </row>
    <row r="615" spans="1:72" x14ac:dyDescent="0.2">
      <c r="A615" t="s">
        <v>72</v>
      </c>
      <c r="B615" t="s">
        <v>4594</v>
      </c>
      <c r="C615" t="s">
        <v>74</v>
      </c>
      <c r="D615" t="s">
        <v>74</v>
      </c>
      <c r="E615" t="s">
        <v>74</v>
      </c>
      <c r="F615" t="s">
        <v>4595</v>
      </c>
      <c r="G615" t="s">
        <v>74</v>
      </c>
      <c r="H615" t="s">
        <v>74</v>
      </c>
      <c r="I615" t="s">
        <v>4596</v>
      </c>
      <c r="J615" t="s">
        <v>3805</v>
      </c>
      <c r="K615" t="s">
        <v>74</v>
      </c>
      <c r="L615" t="s">
        <v>74</v>
      </c>
      <c r="M615" t="s">
        <v>74</v>
      </c>
      <c r="N615" t="s">
        <v>74</v>
      </c>
      <c r="O615" t="s">
        <v>74</v>
      </c>
      <c r="P615" t="s">
        <v>74</v>
      </c>
      <c r="Q615" t="s">
        <v>74</v>
      </c>
      <c r="R615" t="s">
        <v>74</v>
      </c>
      <c r="S615" t="s">
        <v>74</v>
      </c>
      <c r="T615" t="s">
        <v>74</v>
      </c>
      <c r="U615" t="s">
        <v>74</v>
      </c>
      <c r="V615" t="s">
        <v>74</v>
      </c>
      <c r="W615" t="s">
        <v>74</v>
      </c>
      <c r="X615" t="s">
        <v>74</v>
      </c>
      <c r="Y615" t="s">
        <v>74</v>
      </c>
      <c r="Z615" t="s">
        <v>74</v>
      </c>
      <c r="AA615" t="s">
        <v>1790</v>
      </c>
      <c r="AB615" t="s">
        <v>74</v>
      </c>
      <c r="AC615" t="s">
        <v>74</v>
      </c>
      <c r="AD615" t="s">
        <v>74</v>
      </c>
      <c r="AE615" t="s">
        <v>74</v>
      </c>
      <c r="AF615" t="s">
        <v>74</v>
      </c>
      <c r="AG615" t="s">
        <v>74</v>
      </c>
      <c r="AH615" t="s">
        <v>74</v>
      </c>
      <c r="AI615" t="s">
        <v>74</v>
      </c>
      <c r="AJ615" t="s">
        <v>74</v>
      </c>
      <c r="AK615" t="s">
        <v>74</v>
      </c>
      <c r="AL615" t="s">
        <v>74</v>
      </c>
      <c r="AM615" t="s">
        <v>74</v>
      </c>
      <c r="AN615" t="s">
        <v>74</v>
      </c>
      <c r="AO615" t="s">
        <v>3808</v>
      </c>
      <c r="AP615" t="s">
        <v>74</v>
      </c>
      <c r="AQ615" t="s">
        <v>74</v>
      </c>
      <c r="AR615" t="s">
        <v>74</v>
      </c>
      <c r="AS615" t="s">
        <v>74</v>
      </c>
      <c r="AT615" t="s">
        <v>4597</v>
      </c>
      <c r="AU615">
        <v>2012</v>
      </c>
      <c r="AV615">
        <v>237</v>
      </c>
      <c r="AW615" t="s">
        <v>74</v>
      </c>
      <c r="AX615" t="s">
        <v>74</v>
      </c>
      <c r="AY615" t="s">
        <v>74</v>
      </c>
      <c r="AZ615" t="s">
        <v>74</v>
      </c>
      <c r="BA615" t="s">
        <v>74</v>
      </c>
      <c r="BB615">
        <v>88</v>
      </c>
      <c r="BC615">
        <v>100</v>
      </c>
      <c r="BD615" t="s">
        <v>74</v>
      </c>
      <c r="BE615" t="s">
        <v>4598</v>
      </c>
      <c r="BF615" t="str">
        <f>HYPERLINK("http://dx.doi.org/10.1016/j.ecolmodel.2012.04.021","http://dx.doi.org/10.1016/j.ecolmodel.2012.04.021")</f>
        <v>http://dx.doi.org/10.1016/j.ecolmodel.2012.04.021</v>
      </c>
      <c r="BG615" t="s">
        <v>74</v>
      </c>
      <c r="BH615" t="s">
        <v>74</v>
      </c>
      <c r="BI615" t="s">
        <v>74</v>
      </c>
      <c r="BJ615" t="s">
        <v>74</v>
      </c>
      <c r="BK615" t="s">
        <v>74</v>
      </c>
      <c r="BL615" t="s">
        <v>74</v>
      </c>
      <c r="BM615" t="s">
        <v>74</v>
      </c>
      <c r="BN615" t="s">
        <v>74</v>
      </c>
      <c r="BO615" t="s">
        <v>74</v>
      </c>
      <c r="BP615" t="s">
        <v>74</v>
      </c>
      <c r="BQ615" t="s">
        <v>74</v>
      </c>
      <c r="BR615" t="s">
        <v>74</v>
      </c>
      <c r="BS615" t="s">
        <v>4599</v>
      </c>
      <c r="BT615" t="str">
        <f>HYPERLINK("https%3A%2F%2Fwww.webofscience.com%2Fwos%2Fwoscc%2Ffull-record%2FWOS:000305863000008","View Full Record in Web of Science")</f>
        <v>View Full Record in Web of Science</v>
      </c>
    </row>
    <row r="616" spans="1:72" x14ac:dyDescent="0.2">
      <c r="A616" t="s">
        <v>72</v>
      </c>
      <c r="B616" t="s">
        <v>4600</v>
      </c>
      <c r="C616" t="s">
        <v>74</v>
      </c>
      <c r="D616" t="s">
        <v>74</v>
      </c>
      <c r="E616" t="s">
        <v>74</v>
      </c>
      <c r="F616" t="s">
        <v>4601</v>
      </c>
      <c r="G616" t="s">
        <v>74</v>
      </c>
      <c r="H616" t="s">
        <v>74</v>
      </c>
      <c r="I616" t="s">
        <v>4602</v>
      </c>
      <c r="J616" t="s">
        <v>1832</v>
      </c>
      <c r="K616" t="s">
        <v>74</v>
      </c>
      <c r="L616" t="s">
        <v>74</v>
      </c>
      <c r="M616" t="s">
        <v>74</v>
      </c>
      <c r="N616" t="s">
        <v>74</v>
      </c>
      <c r="O616" t="s">
        <v>74</v>
      </c>
      <c r="P616" t="s">
        <v>74</v>
      </c>
      <c r="Q616" t="s">
        <v>74</v>
      </c>
      <c r="R616" t="s">
        <v>74</v>
      </c>
      <c r="S616" t="s">
        <v>74</v>
      </c>
      <c r="T616" t="s">
        <v>74</v>
      </c>
      <c r="U616" t="s">
        <v>74</v>
      </c>
      <c r="V616" t="s">
        <v>74</v>
      </c>
      <c r="W616" t="s">
        <v>74</v>
      </c>
      <c r="X616" t="s">
        <v>74</v>
      </c>
      <c r="Y616" t="s">
        <v>74</v>
      </c>
      <c r="Z616" t="s">
        <v>74</v>
      </c>
      <c r="AA616" t="s">
        <v>74</v>
      </c>
      <c r="AB616" t="s">
        <v>4603</v>
      </c>
      <c r="AC616" t="s">
        <v>74</v>
      </c>
      <c r="AD616" t="s">
        <v>74</v>
      </c>
      <c r="AE616" t="s">
        <v>74</v>
      </c>
      <c r="AF616" t="s">
        <v>74</v>
      </c>
      <c r="AG616" t="s">
        <v>74</v>
      </c>
      <c r="AH616" t="s">
        <v>74</v>
      </c>
      <c r="AI616" t="s">
        <v>74</v>
      </c>
      <c r="AJ616" t="s">
        <v>74</v>
      </c>
      <c r="AK616" t="s">
        <v>74</v>
      </c>
      <c r="AL616" t="s">
        <v>74</v>
      </c>
      <c r="AM616" t="s">
        <v>74</v>
      </c>
      <c r="AN616" t="s">
        <v>74</v>
      </c>
      <c r="AO616" t="s">
        <v>1834</v>
      </c>
      <c r="AP616" t="s">
        <v>1835</v>
      </c>
      <c r="AQ616" t="s">
        <v>74</v>
      </c>
      <c r="AR616" t="s">
        <v>74</v>
      </c>
      <c r="AS616" t="s">
        <v>74</v>
      </c>
      <c r="AT616" t="s">
        <v>624</v>
      </c>
      <c r="AU616">
        <v>2012</v>
      </c>
      <c r="AV616">
        <v>35</v>
      </c>
      <c r="AW616">
        <v>4</v>
      </c>
      <c r="AX616" t="s">
        <v>74</v>
      </c>
      <c r="AY616" t="s">
        <v>74</v>
      </c>
      <c r="AZ616" t="s">
        <v>74</v>
      </c>
      <c r="BA616" t="s">
        <v>74</v>
      </c>
      <c r="BB616">
        <v>913</v>
      </c>
      <c r="BC616">
        <v>929</v>
      </c>
      <c r="BD616" t="s">
        <v>74</v>
      </c>
      <c r="BE616" t="s">
        <v>4604</v>
      </c>
      <c r="BF616" t="str">
        <f>HYPERLINK("http://dx.doi.org/10.1007/s12237-012-9482-2","http://dx.doi.org/10.1007/s12237-012-9482-2")</f>
        <v>http://dx.doi.org/10.1007/s12237-012-9482-2</v>
      </c>
      <c r="BG616" t="s">
        <v>74</v>
      </c>
      <c r="BH616" t="s">
        <v>74</v>
      </c>
      <c r="BI616" t="s">
        <v>74</v>
      </c>
      <c r="BJ616" t="s">
        <v>74</v>
      </c>
      <c r="BK616" t="s">
        <v>74</v>
      </c>
      <c r="BL616" t="s">
        <v>74</v>
      </c>
      <c r="BM616" t="s">
        <v>74</v>
      </c>
      <c r="BN616" t="s">
        <v>74</v>
      </c>
      <c r="BO616" t="s">
        <v>74</v>
      </c>
      <c r="BP616" t="s">
        <v>74</v>
      </c>
      <c r="BQ616" t="s">
        <v>74</v>
      </c>
      <c r="BR616" t="s">
        <v>74</v>
      </c>
      <c r="BS616" t="s">
        <v>4605</v>
      </c>
      <c r="BT616" t="str">
        <f>HYPERLINK("https%3A%2F%2Fwww.webofscience.com%2Fwos%2Fwoscc%2Ffull-record%2FWOS:000304697600001","View Full Record in Web of Science")</f>
        <v>View Full Record in Web of Science</v>
      </c>
    </row>
    <row r="617" spans="1:72" x14ac:dyDescent="0.2">
      <c r="A617" t="s">
        <v>72</v>
      </c>
      <c r="B617" t="s">
        <v>4606</v>
      </c>
      <c r="C617" t="s">
        <v>74</v>
      </c>
      <c r="D617" t="s">
        <v>74</v>
      </c>
      <c r="E617" t="s">
        <v>74</v>
      </c>
      <c r="F617" t="s">
        <v>4607</v>
      </c>
      <c r="G617" t="s">
        <v>74</v>
      </c>
      <c r="H617" t="s">
        <v>74</v>
      </c>
      <c r="I617" t="s">
        <v>4608</v>
      </c>
      <c r="J617" t="s">
        <v>3443</v>
      </c>
      <c r="K617" t="s">
        <v>74</v>
      </c>
      <c r="L617" t="s">
        <v>74</v>
      </c>
      <c r="M617" t="s">
        <v>74</v>
      </c>
      <c r="N617" t="s">
        <v>74</v>
      </c>
      <c r="O617" t="s">
        <v>74</v>
      </c>
      <c r="P617" t="s">
        <v>74</v>
      </c>
      <c r="Q617" t="s">
        <v>74</v>
      </c>
      <c r="R617" t="s">
        <v>74</v>
      </c>
      <c r="S617" t="s">
        <v>74</v>
      </c>
      <c r="T617" t="s">
        <v>74</v>
      </c>
      <c r="U617" t="s">
        <v>74</v>
      </c>
      <c r="V617" t="s">
        <v>74</v>
      </c>
      <c r="W617" t="s">
        <v>74</v>
      </c>
      <c r="X617" t="s">
        <v>74</v>
      </c>
      <c r="Y617" t="s">
        <v>74</v>
      </c>
      <c r="Z617" t="s">
        <v>74</v>
      </c>
      <c r="AA617" t="s">
        <v>4609</v>
      </c>
      <c r="AB617" t="s">
        <v>7120</v>
      </c>
      <c r="AC617" t="s">
        <v>74</v>
      </c>
      <c r="AD617" t="s">
        <v>74</v>
      </c>
      <c r="AE617" t="s">
        <v>74</v>
      </c>
      <c r="AF617" t="s">
        <v>74</v>
      </c>
      <c r="AG617" t="s">
        <v>74</v>
      </c>
      <c r="AH617" t="s">
        <v>74</v>
      </c>
      <c r="AI617" t="s">
        <v>74</v>
      </c>
      <c r="AJ617" t="s">
        <v>74</v>
      </c>
      <c r="AK617" t="s">
        <v>74</v>
      </c>
      <c r="AL617" t="s">
        <v>74</v>
      </c>
      <c r="AM617" t="s">
        <v>74</v>
      </c>
      <c r="AN617" t="s">
        <v>74</v>
      </c>
      <c r="AO617" t="s">
        <v>3445</v>
      </c>
      <c r="AP617" t="s">
        <v>74</v>
      </c>
      <c r="AQ617" t="s">
        <v>74</v>
      </c>
      <c r="AR617" t="s">
        <v>74</v>
      </c>
      <c r="AS617" t="s">
        <v>74</v>
      </c>
      <c r="AT617" t="s">
        <v>4610</v>
      </c>
      <c r="AU617">
        <v>2012</v>
      </c>
      <c r="AV617">
        <v>7</v>
      </c>
      <c r="AW617">
        <v>6</v>
      </c>
      <c r="AX617" t="s">
        <v>74</v>
      </c>
      <c r="AY617" t="s">
        <v>74</v>
      </c>
      <c r="AZ617" t="s">
        <v>74</v>
      </c>
      <c r="BA617" t="s">
        <v>74</v>
      </c>
      <c r="BB617" t="s">
        <v>74</v>
      </c>
      <c r="BC617" t="s">
        <v>74</v>
      </c>
      <c r="BD617" t="s">
        <v>4611</v>
      </c>
      <c r="BE617" t="s">
        <v>4612</v>
      </c>
      <c r="BF617" t="str">
        <f>HYPERLINK("http://dx.doi.org/10.1371/journal.pone.0038552","http://dx.doi.org/10.1371/journal.pone.0038552")</f>
        <v>http://dx.doi.org/10.1371/journal.pone.0038552</v>
      </c>
      <c r="BG617" t="s">
        <v>74</v>
      </c>
      <c r="BH617" t="s">
        <v>74</v>
      </c>
      <c r="BI617" t="s">
        <v>74</v>
      </c>
      <c r="BJ617" t="s">
        <v>74</v>
      </c>
      <c r="BK617" t="s">
        <v>74</v>
      </c>
      <c r="BL617" t="s">
        <v>74</v>
      </c>
      <c r="BM617" t="s">
        <v>74</v>
      </c>
      <c r="BN617">
        <v>22715392</v>
      </c>
      <c r="BO617" t="s">
        <v>74</v>
      </c>
      <c r="BP617" t="s">
        <v>74</v>
      </c>
      <c r="BQ617" t="s">
        <v>74</v>
      </c>
      <c r="BR617" t="s">
        <v>74</v>
      </c>
      <c r="BS617" t="s">
        <v>4613</v>
      </c>
      <c r="BT617" t="str">
        <f>HYPERLINK("https%3A%2F%2Fwww.webofscience.com%2Fwos%2Fwoscc%2Ffull-record%2FWOS:000305336800034","View Full Record in Web of Science")</f>
        <v>View Full Record in Web of Science</v>
      </c>
    </row>
    <row r="618" spans="1:72" x14ac:dyDescent="0.2">
      <c r="A618" t="s">
        <v>72</v>
      </c>
      <c r="B618" t="s">
        <v>4614</v>
      </c>
      <c r="C618" t="s">
        <v>74</v>
      </c>
      <c r="D618" t="s">
        <v>74</v>
      </c>
      <c r="E618" t="s">
        <v>74</v>
      </c>
      <c r="F618" t="s">
        <v>4615</v>
      </c>
      <c r="G618" t="s">
        <v>74</v>
      </c>
      <c r="H618" t="s">
        <v>74</v>
      </c>
      <c r="I618" t="s">
        <v>4616</v>
      </c>
      <c r="J618" t="s">
        <v>1523</v>
      </c>
      <c r="K618" t="s">
        <v>74</v>
      </c>
      <c r="L618" t="s">
        <v>74</v>
      </c>
      <c r="M618" t="s">
        <v>74</v>
      </c>
      <c r="N618" t="s">
        <v>74</v>
      </c>
      <c r="O618" t="s">
        <v>74</v>
      </c>
      <c r="P618" t="s">
        <v>74</v>
      </c>
      <c r="Q618" t="s">
        <v>74</v>
      </c>
      <c r="R618" t="s">
        <v>74</v>
      </c>
      <c r="S618" t="s">
        <v>74</v>
      </c>
      <c r="T618" t="s">
        <v>74</v>
      </c>
      <c r="U618" t="s">
        <v>74</v>
      </c>
      <c r="V618" t="s">
        <v>74</v>
      </c>
      <c r="W618" t="s">
        <v>74</v>
      </c>
      <c r="X618" t="s">
        <v>74</v>
      </c>
      <c r="Y618" t="s">
        <v>74</v>
      </c>
      <c r="Z618" t="s">
        <v>74</v>
      </c>
      <c r="AA618" t="s">
        <v>74</v>
      </c>
      <c r="AB618" t="s">
        <v>4617</v>
      </c>
      <c r="AC618" t="s">
        <v>74</v>
      </c>
      <c r="AD618" t="s">
        <v>74</v>
      </c>
      <c r="AE618" t="s">
        <v>74</v>
      </c>
      <c r="AF618" t="s">
        <v>74</v>
      </c>
      <c r="AG618" t="s">
        <v>74</v>
      </c>
      <c r="AH618" t="s">
        <v>74</v>
      </c>
      <c r="AI618" t="s">
        <v>74</v>
      </c>
      <c r="AJ618" t="s">
        <v>74</v>
      </c>
      <c r="AK618" t="s">
        <v>74</v>
      </c>
      <c r="AL618" t="s">
        <v>74</v>
      </c>
      <c r="AM618" t="s">
        <v>74</v>
      </c>
      <c r="AN618" t="s">
        <v>74</v>
      </c>
      <c r="AO618" t="s">
        <v>1524</v>
      </c>
      <c r="AP618" t="s">
        <v>1525</v>
      </c>
      <c r="AQ618" t="s">
        <v>74</v>
      </c>
      <c r="AR618" t="s">
        <v>74</v>
      </c>
      <c r="AS618" t="s">
        <v>74</v>
      </c>
      <c r="AT618" t="s">
        <v>569</v>
      </c>
      <c r="AU618">
        <v>2012</v>
      </c>
      <c r="AV618">
        <v>93</v>
      </c>
      <c r="AW618">
        <v>6</v>
      </c>
      <c r="AX618" t="s">
        <v>74</v>
      </c>
      <c r="AY618" t="s">
        <v>74</v>
      </c>
      <c r="AZ618" t="s">
        <v>74</v>
      </c>
      <c r="BA618" t="s">
        <v>74</v>
      </c>
      <c r="BB618">
        <v>1254</v>
      </c>
      <c r="BC618">
        <v>1261</v>
      </c>
      <c r="BD618" t="s">
        <v>74</v>
      </c>
      <c r="BE618" t="s">
        <v>4618</v>
      </c>
      <c r="BF618" t="str">
        <f>HYPERLINK("http://dx.doi.org/10.1890/11-1821.1","http://dx.doi.org/10.1890/11-1821.1")</f>
        <v>http://dx.doi.org/10.1890/11-1821.1</v>
      </c>
      <c r="BG618" t="s">
        <v>74</v>
      </c>
      <c r="BH618" t="s">
        <v>74</v>
      </c>
      <c r="BI618" t="s">
        <v>74</v>
      </c>
      <c r="BJ618" t="s">
        <v>74</v>
      </c>
      <c r="BK618" t="s">
        <v>74</v>
      </c>
      <c r="BL618" t="s">
        <v>74</v>
      </c>
      <c r="BM618" t="s">
        <v>74</v>
      </c>
      <c r="BN618">
        <v>22834365</v>
      </c>
      <c r="BO618" t="s">
        <v>74</v>
      </c>
      <c r="BP618" t="s">
        <v>74</v>
      </c>
      <c r="BQ618" t="s">
        <v>74</v>
      </c>
      <c r="BR618" t="s">
        <v>74</v>
      </c>
      <c r="BS618" t="s">
        <v>4619</v>
      </c>
      <c r="BT618" t="str">
        <f>HYPERLINK("https%3A%2F%2Fwww.webofscience.com%2Fwos%2Fwoscc%2Ffull-record%2FWOS:000305296600002","View Full Record in Web of Science")</f>
        <v>View Full Record in Web of Science</v>
      </c>
    </row>
    <row r="619" spans="1:72" x14ac:dyDescent="0.2">
      <c r="A619" t="s">
        <v>72</v>
      </c>
      <c r="B619" t="s">
        <v>4620</v>
      </c>
      <c r="C619" t="s">
        <v>74</v>
      </c>
      <c r="D619" t="s">
        <v>74</v>
      </c>
      <c r="E619" t="s">
        <v>74</v>
      </c>
      <c r="F619" t="s">
        <v>4621</v>
      </c>
      <c r="G619" t="s">
        <v>74</v>
      </c>
      <c r="H619" t="s">
        <v>74</v>
      </c>
      <c r="I619" t="s">
        <v>4622</v>
      </c>
      <c r="J619" t="s">
        <v>4623</v>
      </c>
      <c r="K619" t="s">
        <v>74</v>
      </c>
      <c r="L619" t="s">
        <v>74</v>
      </c>
      <c r="M619" t="s">
        <v>74</v>
      </c>
      <c r="N619" t="s">
        <v>74</v>
      </c>
      <c r="O619" t="s">
        <v>74</v>
      </c>
      <c r="P619" t="s">
        <v>74</v>
      </c>
      <c r="Q619" t="s">
        <v>74</v>
      </c>
      <c r="R619" t="s">
        <v>74</v>
      </c>
      <c r="S619" t="s">
        <v>74</v>
      </c>
      <c r="T619" t="s">
        <v>74</v>
      </c>
      <c r="U619" t="s">
        <v>74</v>
      </c>
      <c r="V619" t="s">
        <v>74</v>
      </c>
      <c r="W619" t="s">
        <v>74</v>
      </c>
      <c r="X619" t="s">
        <v>74</v>
      </c>
      <c r="Y619" t="s">
        <v>74</v>
      </c>
      <c r="Z619" t="s">
        <v>74</v>
      </c>
      <c r="AA619" t="s">
        <v>4624</v>
      </c>
      <c r="AB619" t="s">
        <v>4625</v>
      </c>
      <c r="AC619" t="s">
        <v>74</v>
      </c>
      <c r="AD619" t="s">
        <v>74</v>
      </c>
      <c r="AE619" t="s">
        <v>74</v>
      </c>
      <c r="AF619" t="s">
        <v>74</v>
      </c>
      <c r="AG619" t="s">
        <v>74</v>
      </c>
      <c r="AH619" t="s">
        <v>74</v>
      </c>
      <c r="AI619" t="s">
        <v>74</v>
      </c>
      <c r="AJ619" t="s">
        <v>74</v>
      </c>
      <c r="AK619" t="s">
        <v>74</v>
      </c>
      <c r="AL619" t="s">
        <v>74</v>
      </c>
      <c r="AM619" t="s">
        <v>74</v>
      </c>
      <c r="AN619" t="s">
        <v>74</v>
      </c>
      <c r="AO619" t="s">
        <v>4626</v>
      </c>
      <c r="AP619" t="s">
        <v>74</v>
      </c>
      <c r="AQ619" t="s">
        <v>74</v>
      </c>
      <c r="AR619" t="s">
        <v>74</v>
      </c>
      <c r="AS619" t="s">
        <v>74</v>
      </c>
      <c r="AT619" t="s">
        <v>3687</v>
      </c>
      <c r="AU619">
        <v>2012</v>
      </c>
      <c r="AV619">
        <v>6</v>
      </c>
      <c r="AW619">
        <v>20</v>
      </c>
      <c r="AX619" t="s">
        <v>74</v>
      </c>
      <c r="AY619" t="s">
        <v>74</v>
      </c>
      <c r="AZ619" t="s">
        <v>74</v>
      </c>
      <c r="BA619" t="s">
        <v>74</v>
      </c>
      <c r="BB619">
        <v>4277</v>
      </c>
      <c r="BC619">
        <v>4291</v>
      </c>
      <c r="BD619" t="s">
        <v>74</v>
      </c>
      <c r="BE619" t="s">
        <v>4627</v>
      </c>
      <c r="BF619" t="str">
        <f>HYPERLINK("http://dx.doi.org/10.5897/AJMR11.735","http://dx.doi.org/10.5897/AJMR11.735")</f>
        <v>http://dx.doi.org/10.5897/AJMR11.735</v>
      </c>
      <c r="BG619" t="s">
        <v>74</v>
      </c>
      <c r="BH619" t="s">
        <v>74</v>
      </c>
      <c r="BI619" t="s">
        <v>74</v>
      </c>
      <c r="BJ619" t="s">
        <v>74</v>
      </c>
      <c r="BK619" t="s">
        <v>74</v>
      </c>
      <c r="BL619" t="s">
        <v>74</v>
      </c>
      <c r="BM619" t="s">
        <v>74</v>
      </c>
      <c r="BN619" t="s">
        <v>74</v>
      </c>
      <c r="BO619" t="s">
        <v>74</v>
      </c>
      <c r="BP619" t="s">
        <v>74</v>
      </c>
      <c r="BQ619" t="s">
        <v>74</v>
      </c>
      <c r="BR619" t="s">
        <v>74</v>
      </c>
      <c r="BS619" t="s">
        <v>4628</v>
      </c>
      <c r="BT619" t="str">
        <f>HYPERLINK("https%3A%2F%2Fwww.webofscience.com%2Fwos%2Fwoscc%2Ffull-record%2FWOS:000307405500012","View Full Record in Web of Science")</f>
        <v>View Full Record in Web of Science</v>
      </c>
    </row>
    <row r="620" spans="1:72" x14ac:dyDescent="0.2">
      <c r="A620" t="s">
        <v>72</v>
      </c>
      <c r="B620" t="s">
        <v>4629</v>
      </c>
      <c r="C620" t="s">
        <v>74</v>
      </c>
      <c r="D620" t="s">
        <v>74</v>
      </c>
      <c r="E620" t="s">
        <v>74</v>
      </c>
      <c r="F620" t="s">
        <v>4630</v>
      </c>
      <c r="G620" t="s">
        <v>74</v>
      </c>
      <c r="H620" t="s">
        <v>74</v>
      </c>
      <c r="I620" t="s">
        <v>4631</v>
      </c>
      <c r="J620" t="s">
        <v>124</v>
      </c>
      <c r="K620" t="s">
        <v>74</v>
      </c>
      <c r="L620" t="s">
        <v>74</v>
      </c>
      <c r="M620" t="s">
        <v>74</v>
      </c>
      <c r="N620" t="s">
        <v>74</v>
      </c>
      <c r="O620" t="s">
        <v>74</v>
      </c>
      <c r="P620" t="s">
        <v>74</v>
      </c>
      <c r="Q620" t="s">
        <v>74</v>
      </c>
      <c r="R620" t="s">
        <v>74</v>
      </c>
      <c r="S620" t="s">
        <v>74</v>
      </c>
      <c r="T620" t="s">
        <v>74</v>
      </c>
      <c r="U620" t="s">
        <v>74</v>
      </c>
      <c r="V620" t="s">
        <v>74</v>
      </c>
      <c r="W620" t="s">
        <v>74</v>
      </c>
      <c r="X620" t="s">
        <v>74</v>
      </c>
      <c r="Y620" t="s">
        <v>74</v>
      </c>
      <c r="Z620" t="s">
        <v>74</v>
      </c>
      <c r="AA620" t="s">
        <v>4632</v>
      </c>
      <c r="AB620" t="s">
        <v>4633</v>
      </c>
      <c r="AC620" t="s">
        <v>74</v>
      </c>
      <c r="AD620" t="s">
        <v>74</v>
      </c>
      <c r="AE620" t="s">
        <v>74</v>
      </c>
      <c r="AF620" t="s">
        <v>74</v>
      </c>
      <c r="AG620" t="s">
        <v>74</v>
      </c>
      <c r="AH620" t="s">
        <v>74</v>
      </c>
      <c r="AI620" t="s">
        <v>74</v>
      </c>
      <c r="AJ620" t="s">
        <v>74</v>
      </c>
      <c r="AK620" t="s">
        <v>74</v>
      </c>
      <c r="AL620" t="s">
        <v>74</v>
      </c>
      <c r="AM620" t="s">
        <v>74</v>
      </c>
      <c r="AN620" t="s">
        <v>74</v>
      </c>
      <c r="AO620" t="s">
        <v>127</v>
      </c>
      <c r="AP620" t="s">
        <v>128</v>
      </c>
      <c r="AQ620" t="s">
        <v>74</v>
      </c>
      <c r="AR620" t="s">
        <v>74</v>
      </c>
      <c r="AS620" t="s">
        <v>74</v>
      </c>
      <c r="AT620" t="s">
        <v>575</v>
      </c>
      <c r="AU620">
        <v>2012</v>
      </c>
      <c r="AV620">
        <v>686</v>
      </c>
      <c r="AW620">
        <v>1</v>
      </c>
      <c r="AX620" t="s">
        <v>74</v>
      </c>
      <c r="AY620" t="s">
        <v>74</v>
      </c>
      <c r="AZ620" t="s">
        <v>74</v>
      </c>
      <c r="BA620" t="s">
        <v>74</v>
      </c>
      <c r="BB620">
        <v>1</v>
      </c>
      <c r="BC620">
        <v>14</v>
      </c>
      <c r="BD620" t="s">
        <v>74</v>
      </c>
      <c r="BE620" t="s">
        <v>4634</v>
      </c>
      <c r="BF620" t="str">
        <f>HYPERLINK("http://dx.doi.org/10.1007/s10750-012-1011-6","http://dx.doi.org/10.1007/s10750-012-1011-6")</f>
        <v>http://dx.doi.org/10.1007/s10750-012-1011-6</v>
      </c>
      <c r="BG620" t="s">
        <v>74</v>
      </c>
      <c r="BH620" t="s">
        <v>74</v>
      </c>
      <c r="BI620" t="s">
        <v>74</v>
      </c>
      <c r="BJ620" t="s">
        <v>74</v>
      </c>
      <c r="BK620" t="s">
        <v>74</v>
      </c>
      <c r="BL620" t="s">
        <v>74</v>
      </c>
      <c r="BM620" t="s">
        <v>74</v>
      </c>
      <c r="BN620" t="s">
        <v>74</v>
      </c>
      <c r="BO620" t="s">
        <v>74</v>
      </c>
      <c r="BP620" t="s">
        <v>74</v>
      </c>
      <c r="BQ620" t="s">
        <v>74</v>
      </c>
      <c r="BR620" t="s">
        <v>74</v>
      </c>
      <c r="BS620" t="s">
        <v>4635</v>
      </c>
      <c r="BT620" t="str">
        <f>HYPERLINK("https%3A%2F%2Fwww.webofscience.com%2Fwos%2Fwoscc%2Ffull-record%2FWOS:000301778600001","View Full Record in Web of Science")</f>
        <v>View Full Record in Web of Science</v>
      </c>
    </row>
    <row r="621" spans="1:72" x14ac:dyDescent="0.2">
      <c r="A621" t="s">
        <v>72</v>
      </c>
      <c r="B621" t="s">
        <v>4636</v>
      </c>
      <c r="C621" t="s">
        <v>74</v>
      </c>
      <c r="D621" t="s">
        <v>74</v>
      </c>
      <c r="E621" t="s">
        <v>74</v>
      </c>
      <c r="F621" t="s">
        <v>4637</v>
      </c>
      <c r="G621" t="s">
        <v>74</v>
      </c>
      <c r="H621" t="s">
        <v>74</v>
      </c>
      <c r="I621" t="s">
        <v>4638</v>
      </c>
      <c r="J621" t="s">
        <v>1063</v>
      </c>
      <c r="K621" t="s">
        <v>74</v>
      </c>
      <c r="L621" t="s">
        <v>74</v>
      </c>
      <c r="M621" t="s">
        <v>74</v>
      </c>
      <c r="N621" t="s">
        <v>74</v>
      </c>
      <c r="O621" t="s">
        <v>74</v>
      </c>
      <c r="P621" t="s">
        <v>74</v>
      </c>
      <c r="Q621" t="s">
        <v>74</v>
      </c>
      <c r="R621" t="s">
        <v>74</v>
      </c>
      <c r="S621" t="s">
        <v>74</v>
      </c>
      <c r="T621" t="s">
        <v>74</v>
      </c>
      <c r="U621" t="s">
        <v>74</v>
      </c>
      <c r="V621" t="s">
        <v>74</v>
      </c>
      <c r="W621" t="s">
        <v>74</v>
      </c>
      <c r="X621" t="s">
        <v>74</v>
      </c>
      <c r="Y621" t="s">
        <v>74</v>
      </c>
      <c r="Z621" t="s">
        <v>74</v>
      </c>
      <c r="AA621" t="s">
        <v>4639</v>
      </c>
      <c r="AB621" t="s">
        <v>4640</v>
      </c>
      <c r="AC621" t="s">
        <v>74</v>
      </c>
      <c r="AD621" t="s">
        <v>74</v>
      </c>
      <c r="AE621" t="s">
        <v>74</v>
      </c>
      <c r="AF621" t="s">
        <v>74</v>
      </c>
      <c r="AG621" t="s">
        <v>74</v>
      </c>
      <c r="AH621" t="s">
        <v>74</v>
      </c>
      <c r="AI621" t="s">
        <v>74</v>
      </c>
      <c r="AJ621" t="s">
        <v>74</v>
      </c>
      <c r="AK621" t="s">
        <v>74</v>
      </c>
      <c r="AL621" t="s">
        <v>74</v>
      </c>
      <c r="AM621" t="s">
        <v>74</v>
      </c>
      <c r="AN621" t="s">
        <v>74</v>
      </c>
      <c r="AO621" t="s">
        <v>1065</v>
      </c>
      <c r="AP621" t="s">
        <v>1066</v>
      </c>
      <c r="AQ621" t="s">
        <v>74</v>
      </c>
      <c r="AR621" t="s">
        <v>74</v>
      </c>
      <c r="AS621" t="s">
        <v>74</v>
      </c>
      <c r="AT621" t="s">
        <v>203</v>
      </c>
      <c r="AU621">
        <v>2012</v>
      </c>
      <c r="AV621">
        <v>87</v>
      </c>
      <c r="AW621">
        <v>4</v>
      </c>
      <c r="AX621" t="s">
        <v>74</v>
      </c>
      <c r="AY621" t="s">
        <v>74</v>
      </c>
      <c r="AZ621" t="s">
        <v>74</v>
      </c>
      <c r="BA621" t="s">
        <v>74</v>
      </c>
      <c r="BB621">
        <v>326</v>
      </c>
      <c r="BC621">
        <v>332</v>
      </c>
      <c r="BD621" t="s">
        <v>74</v>
      </c>
      <c r="BE621" t="s">
        <v>4641</v>
      </c>
      <c r="BF621" t="str">
        <f>HYPERLINK("http://dx.doi.org/10.1016/j.chemosphere.2011.12.014","http://dx.doi.org/10.1016/j.chemosphere.2011.12.014")</f>
        <v>http://dx.doi.org/10.1016/j.chemosphere.2011.12.014</v>
      </c>
      <c r="BG621" t="s">
        <v>74</v>
      </c>
      <c r="BH621" t="s">
        <v>74</v>
      </c>
      <c r="BI621" t="s">
        <v>74</v>
      </c>
      <c r="BJ621" t="s">
        <v>74</v>
      </c>
      <c r="BK621" t="s">
        <v>74</v>
      </c>
      <c r="BL621" t="s">
        <v>74</v>
      </c>
      <c r="BM621" t="s">
        <v>74</v>
      </c>
      <c r="BN621">
        <v>22209250</v>
      </c>
      <c r="BO621" t="s">
        <v>74</v>
      </c>
      <c r="BP621" t="s">
        <v>74</v>
      </c>
      <c r="BQ621" t="s">
        <v>74</v>
      </c>
      <c r="BR621" t="s">
        <v>74</v>
      </c>
      <c r="BS621" t="s">
        <v>4642</v>
      </c>
      <c r="BT621" t="str">
        <f>HYPERLINK("https%3A%2F%2Fwww.webofscience.com%2Fwos%2Fwoscc%2Ffull-record%2FWOS:000302045600006","View Full Record in Web of Science")</f>
        <v>View Full Record in Web of Science</v>
      </c>
    </row>
    <row r="622" spans="1:72" x14ac:dyDescent="0.2">
      <c r="A622" t="s">
        <v>72</v>
      </c>
      <c r="B622" t="s">
        <v>4643</v>
      </c>
      <c r="C622" t="s">
        <v>74</v>
      </c>
      <c r="D622" t="s">
        <v>74</v>
      </c>
      <c r="E622" t="s">
        <v>74</v>
      </c>
      <c r="F622" t="s">
        <v>4644</v>
      </c>
      <c r="G622" t="s">
        <v>74</v>
      </c>
      <c r="H622" t="s">
        <v>74</v>
      </c>
      <c r="I622" t="s">
        <v>4645</v>
      </c>
      <c r="J622" t="s">
        <v>2180</v>
      </c>
      <c r="K622" t="s">
        <v>74</v>
      </c>
      <c r="L622" t="s">
        <v>74</v>
      </c>
      <c r="M622" t="s">
        <v>74</v>
      </c>
      <c r="N622" t="s">
        <v>74</v>
      </c>
      <c r="O622" t="s">
        <v>74</v>
      </c>
      <c r="P622" t="s">
        <v>74</v>
      </c>
      <c r="Q622" t="s">
        <v>74</v>
      </c>
      <c r="R622" t="s">
        <v>74</v>
      </c>
      <c r="S622" t="s">
        <v>74</v>
      </c>
      <c r="T622" t="s">
        <v>74</v>
      </c>
      <c r="U622" t="s">
        <v>74</v>
      </c>
      <c r="V622" t="s">
        <v>74</v>
      </c>
      <c r="W622" t="s">
        <v>74</v>
      </c>
      <c r="X622" t="s">
        <v>74</v>
      </c>
      <c r="Y622" t="s">
        <v>74</v>
      </c>
      <c r="Z622" t="s">
        <v>74</v>
      </c>
      <c r="AA622" t="s">
        <v>4646</v>
      </c>
      <c r="AB622" t="s">
        <v>4647</v>
      </c>
      <c r="AC622" t="s">
        <v>74</v>
      </c>
      <c r="AD622" t="s">
        <v>74</v>
      </c>
      <c r="AE622" t="s">
        <v>74</v>
      </c>
      <c r="AF622" t="s">
        <v>74</v>
      </c>
      <c r="AG622" t="s">
        <v>74</v>
      </c>
      <c r="AH622" t="s">
        <v>74</v>
      </c>
      <c r="AI622" t="s">
        <v>74</v>
      </c>
      <c r="AJ622" t="s">
        <v>74</v>
      </c>
      <c r="AK622" t="s">
        <v>74</v>
      </c>
      <c r="AL622" t="s">
        <v>74</v>
      </c>
      <c r="AM622" t="s">
        <v>74</v>
      </c>
      <c r="AN622" t="s">
        <v>74</v>
      </c>
      <c r="AO622" t="s">
        <v>2185</v>
      </c>
      <c r="AP622" t="s">
        <v>2186</v>
      </c>
      <c r="AQ622" t="s">
        <v>74</v>
      </c>
      <c r="AR622" t="s">
        <v>74</v>
      </c>
      <c r="AS622" t="s">
        <v>74</v>
      </c>
      <c r="AT622" t="s">
        <v>203</v>
      </c>
      <c r="AU622">
        <v>2012</v>
      </c>
      <c r="AV622">
        <v>85</v>
      </c>
      <c r="AW622" t="s">
        <v>4648</v>
      </c>
      <c r="AX622" t="s">
        <v>74</v>
      </c>
      <c r="AY622" t="s">
        <v>74</v>
      </c>
      <c r="AZ622" t="s">
        <v>74</v>
      </c>
      <c r="BA622" t="s">
        <v>74</v>
      </c>
      <c r="BB622">
        <v>447</v>
      </c>
      <c r="BC622">
        <v>462</v>
      </c>
      <c r="BD622" t="s">
        <v>74</v>
      </c>
      <c r="BE622" t="s">
        <v>4649</v>
      </c>
      <c r="BF622" t="str">
        <f>HYPERLINK("http://dx.doi.org/10.1163/156854012X634401","http://dx.doi.org/10.1163/156854012X634401")</f>
        <v>http://dx.doi.org/10.1163/156854012X634401</v>
      </c>
      <c r="BG622" t="s">
        <v>74</v>
      </c>
      <c r="BH622" t="s">
        <v>74</v>
      </c>
      <c r="BI622" t="s">
        <v>74</v>
      </c>
      <c r="BJ622" t="s">
        <v>74</v>
      </c>
      <c r="BK622" t="s">
        <v>74</v>
      </c>
      <c r="BL622" t="s">
        <v>74</v>
      </c>
      <c r="BM622" t="s">
        <v>74</v>
      </c>
      <c r="BN622" t="s">
        <v>74</v>
      </c>
      <c r="BO622" t="s">
        <v>74</v>
      </c>
      <c r="BP622" t="s">
        <v>74</v>
      </c>
      <c r="BQ622" t="s">
        <v>74</v>
      </c>
      <c r="BR622" t="s">
        <v>74</v>
      </c>
      <c r="BS622" t="s">
        <v>4650</v>
      </c>
      <c r="BT622" t="str">
        <f>HYPERLINK("https%3A%2F%2Fwww.webofscience.com%2Fwos%2Fwoscc%2Ffull-record%2FWOS:000305928900004","View Full Record in Web of Science")</f>
        <v>View Full Record in Web of Science</v>
      </c>
    </row>
    <row r="623" spans="1:72" x14ac:dyDescent="0.2">
      <c r="A623" t="s">
        <v>72</v>
      </c>
      <c r="B623" t="s">
        <v>4651</v>
      </c>
      <c r="C623" t="s">
        <v>74</v>
      </c>
      <c r="D623" t="s">
        <v>74</v>
      </c>
      <c r="E623" t="s">
        <v>74</v>
      </c>
      <c r="F623" t="s">
        <v>4652</v>
      </c>
      <c r="G623" t="s">
        <v>74</v>
      </c>
      <c r="H623" t="s">
        <v>74</v>
      </c>
      <c r="I623" t="s">
        <v>4653</v>
      </c>
      <c r="J623" t="s">
        <v>171</v>
      </c>
      <c r="K623" t="s">
        <v>74</v>
      </c>
      <c r="L623" t="s">
        <v>74</v>
      </c>
      <c r="M623" t="s">
        <v>74</v>
      </c>
      <c r="N623" t="s">
        <v>74</v>
      </c>
      <c r="O623" t="s">
        <v>74</v>
      </c>
      <c r="P623" t="s">
        <v>74</v>
      </c>
      <c r="Q623" t="s">
        <v>74</v>
      </c>
      <c r="R623" t="s">
        <v>74</v>
      </c>
      <c r="S623" t="s">
        <v>74</v>
      </c>
      <c r="T623" t="s">
        <v>74</v>
      </c>
      <c r="U623" t="s">
        <v>74</v>
      </c>
      <c r="V623" t="s">
        <v>74</v>
      </c>
      <c r="W623" t="s">
        <v>74</v>
      </c>
      <c r="X623" t="s">
        <v>74</v>
      </c>
      <c r="Y623" t="s">
        <v>74</v>
      </c>
      <c r="Z623" t="s">
        <v>74</v>
      </c>
      <c r="AA623" t="s">
        <v>7121</v>
      </c>
      <c r="AB623" t="s">
        <v>7122</v>
      </c>
      <c r="AC623" t="s">
        <v>74</v>
      </c>
      <c r="AD623" t="s">
        <v>74</v>
      </c>
      <c r="AE623" t="s">
        <v>74</v>
      </c>
      <c r="AF623" t="s">
        <v>74</v>
      </c>
      <c r="AG623" t="s">
        <v>74</v>
      </c>
      <c r="AH623" t="s">
        <v>74</v>
      </c>
      <c r="AI623" t="s">
        <v>74</v>
      </c>
      <c r="AJ623" t="s">
        <v>74</v>
      </c>
      <c r="AK623" t="s">
        <v>74</v>
      </c>
      <c r="AL623" t="s">
        <v>74</v>
      </c>
      <c r="AM623" t="s">
        <v>74</v>
      </c>
      <c r="AN623" t="s">
        <v>74</v>
      </c>
      <c r="AO623" t="s">
        <v>172</v>
      </c>
      <c r="AP623" t="s">
        <v>173</v>
      </c>
      <c r="AQ623" t="s">
        <v>74</v>
      </c>
      <c r="AR623" t="s">
        <v>74</v>
      </c>
      <c r="AS623" t="s">
        <v>74</v>
      </c>
      <c r="AT623" t="s">
        <v>727</v>
      </c>
      <c r="AU623">
        <v>2012</v>
      </c>
      <c r="AV623">
        <v>46</v>
      </c>
      <c r="AW623">
        <v>5</v>
      </c>
      <c r="AX623" t="s">
        <v>74</v>
      </c>
      <c r="AY623" t="s">
        <v>74</v>
      </c>
      <c r="AZ623" t="s">
        <v>632</v>
      </c>
      <c r="BA623" t="s">
        <v>74</v>
      </c>
      <c r="BB623">
        <v>1394</v>
      </c>
      <c r="BC623">
        <v>1407</v>
      </c>
      <c r="BD623" t="s">
        <v>74</v>
      </c>
      <c r="BE623" t="s">
        <v>4654</v>
      </c>
      <c r="BF623" t="str">
        <f>HYPERLINK("http://dx.doi.org/10.1016/j.watres.2011.12.016","http://dx.doi.org/10.1016/j.watres.2011.12.016")</f>
        <v>http://dx.doi.org/10.1016/j.watres.2011.12.016</v>
      </c>
      <c r="BG623" t="s">
        <v>74</v>
      </c>
      <c r="BH623" t="s">
        <v>74</v>
      </c>
      <c r="BI623" t="s">
        <v>74</v>
      </c>
      <c r="BJ623" t="s">
        <v>74</v>
      </c>
      <c r="BK623" t="s">
        <v>74</v>
      </c>
      <c r="BL623" t="s">
        <v>74</v>
      </c>
      <c r="BM623" t="s">
        <v>74</v>
      </c>
      <c r="BN623">
        <v>22217430</v>
      </c>
      <c r="BO623" t="s">
        <v>74</v>
      </c>
      <c r="BP623" t="s">
        <v>74</v>
      </c>
      <c r="BQ623" t="s">
        <v>74</v>
      </c>
      <c r="BR623" t="s">
        <v>74</v>
      </c>
      <c r="BS623" t="s">
        <v>4655</v>
      </c>
      <c r="BT623" t="str">
        <f>HYPERLINK("https%3A%2F%2Fwww.webofscience.com%2Fwos%2Fwoscc%2Ffull-record%2FWOS:000301018700005","View Full Record in Web of Science")</f>
        <v>View Full Record in Web of Science</v>
      </c>
    </row>
    <row r="624" spans="1:72" x14ac:dyDescent="0.2">
      <c r="A624" t="s">
        <v>72</v>
      </c>
      <c r="B624" t="s">
        <v>4656</v>
      </c>
      <c r="C624" t="s">
        <v>74</v>
      </c>
      <c r="D624" t="s">
        <v>74</v>
      </c>
      <c r="E624" t="s">
        <v>74</v>
      </c>
      <c r="F624" t="s">
        <v>4657</v>
      </c>
      <c r="G624" t="s">
        <v>74</v>
      </c>
      <c r="H624" t="s">
        <v>74</v>
      </c>
      <c r="I624" t="s">
        <v>4658</v>
      </c>
      <c r="J624" t="s">
        <v>4659</v>
      </c>
      <c r="K624" t="s">
        <v>74</v>
      </c>
      <c r="L624" t="s">
        <v>74</v>
      </c>
      <c r="M624" t="s">
        <v>74</v>
      </c>
      <c r="N624" t="s">
        <v>74</v>
      </c>
      <c r="O624" t="s">
        <v>74</v>
      </c>
      <c r="P624" t="s">
        <v>74</v>
      </c>
      <c r="Q624" t="s">
        <v>74</v>
      </c>
      <c r="R624" t="s">
        <v>74</v>
      </c>
      <c r="S624" t="s">
        <v>74</v>
      </c>
      <c r="T624" t="s">
        <v>74</v>
      </c>
      <c r="U624" t="s">
        <v>74</v>
      </c>
      <c r="V624" t="s">
        <v>74</v>
      </c>
      <c r="W624" t="s">
        <v>74</v>
      </c>
      <c r="X624" t="s">
        <v>74</v>
      </c>
      <c r="Y624" t="s">
        <v>74</v>
      </c>
      <c r="Z624" t="s">
        <v>74</v>
      </c>
      <c r="AA624" t="s">
        <v>4660</v>
      </c>
      <c r="AB624" t="s">
        <v>4661</v>
      </c>
      <c r="AC624" t="s">
        <v>74</v>
      </c>
      <c r="AD624" t="s">
        <v>74</v>
      </c>
      <c r="AE624" t="s">
        <v>74</v>
      </c>
      <c r="AF624" t="s">
        <v>74</v>
      </c>
      <c r="AG624" t="s">
        <v>74</v>
      </c>
      <c r="AH624" t="s">
        <v>74</v>
      </c>
      <c r="AI624" t="s">
        <v>74</v>
      </c>
      <c r="AJ624" t="s">
        <v>74</v>
      </c>
      <c r="AK624" t="s">
        <v>74</v>
      </c>
      <c r="AL624" t="s">
        <v>74</v>
      </c>
      <c r="AM624" t="s">
        <v>74</v>
      </c>
      <c r="AN624" t="s">
        <v>74</v>
      </c>
      <c r="AO624" t="s">
        <v>4662</v>
      </c>
      <c r="AP624" t="s">
        <v>74</v>
      </c>
      <c r="AQ624" t="s">
        <v>74</v>
      </c>
      <c r="AR624" t="s">
        <v>74</v>
      </c>
      <c r="AS624" t="s">
        <v>74</v>
      </c>
      <c r="AT624" t="s">
        <v>203</v>
      </c>
      <c r="AU624">
        <v>2012</v>
      </c>
      <c r="AV624">
        <v>13</v>
      </c>
      <c r="AW624">
        <v>4</v>
      </c>
      <c r="AX624" t="s">
        <v>74</v>
      </c>
      <c r="AY624" t="s">
        <v>74</v>
      </c>
      <c r="AZ624" t="s">
        <v>74</v>
      </c>
      <c r="BA624" t="s">
        <v>74</v>
      </c>
      <c r="BB624">
        <v>311</v>
      </c>
      <c r="BC624">
        <v>322</v>
      </c>
      <c r="BD624" t="s">
        <v>74</v>
      </c>
      <c r="BE624" t="s">
        <v>4663</v>
      </c>
      <c r="BF624" t="str">
        <f>HYPERLINK("http://dx.doi.org/10.1631/jzus.A1100197","http://dx.doi.org/10.1631/jzus.A1100197")</f>
        <v>http://dx.doi.org/10.1631/jzus.A1100197</v>
      </c>
      <c r="BG624" t="s">
        <v>74</v>
      </c>
      <c r="BH624" t="s">
        <v>74</v>
      </c>
      <c r="BI624" t="s">
        <v>74</v>
      </c>
      <c r="BJ624" t="s">
        <v>74</v>
      </c>
      <c r="BK624" t="s">
        <v>74</v>
      </c>
      <c r="BL624" t="s">
        <v>74</v>
      </c>
      <c r="BM624" t="s">
        <v>74</v>
      </c>
      <c r="BN624" t="s">
        <v>74</v>
      </c>
      <c r="BO624" t="s">
        <v>74</v>
      </c>
      <c r="BP624" t="s">
        <v>74</v>
      </c>
      <c r="BQ624" t="s">
        <v>74</v>
      </c>
      <c r="BR624" t="s">
        <v>74</v>
      </c>
      <c r="BS624" t="s">
        <v>4664</v>
      </c>
      <c r="BT624" t="str">
        <f>HYPERLINK("https%3A%2F%2Fwww.webofscience.com%2Fwos%2Fwoscc%2Ffull-record%2FWOS:000302400300006","View Full Record in Web of Science")</f>
        <v>View Full Record in Web of Science</v>
      </c>
    </row>
    <row r="625" spans="1:72" x14ac:dyDescent="0.2">
      <c r="A625" t="s">
        <v>72</v>
      </c>
      <c r="B625" t="s">
        <v>4665</v>
      </c>
      <c r="C625" t="s">
        <v>74</v>
      </c>
      <c r="D625" t="s">
        <v>74</v>
      </c>
      <c r="E625" t="s">
        <v>74</v>
      </c>
      <c r="F625" t="s">
        <v>4666</v>
      </c>
      <c r="G625" t="s">
        <v>74</v>
      </c>
      <c r="H625" t="s">
        <v>74</v>
      </c>
      <c r="I625" t="s">
        <v>4667</v>
      </c>
      <c r="J625" t="s">
        <v>4668</v>
      </c>
      <c r="K625" t="s">
        <v>74</v>
      </c>
      <c r="L625" t="s">
        <v>74</v>
      </c>
      <c r="M625" t="s">
        <v>74</v>
      </c>
      <c r="N625" t="s">
        <v>74</v>
      </c>
      <c r="O625" t="s">
        <v>74</v>
      </c>
      <c r="P625" t="s">
        <v>74</v>
      </c>
      <c r="Q625" t="s">
        <v>74</v>
      </c>
      <c r="R625" t="s">
        <v>74</v>
      </c>
      <c r="S625" t="s">
        <v>74</v>
      </c>
      <c r="T625" t="s">
        <v>74</v>
      </c>
      <c r="U625" t="s">
        <v>74</v>
      </c>
      <c r="V625" t="s">
        <v>74</v>
      </c>
      <c r="W625" t="s">
        <v>74</v>
      </c>
      <c r="X625" t="s">
        <v>74</v>
      </c>
      <c r="Y625" t="s">
        <v>74</v>
      </c>
      <c r="Z625" t="s">
        <v>74</v>
      </c>
      <c r="AA625" t="s">
        <v>4669</v>
      </c>
      <c r="AB625" t="s">
        <v>4670</v>
      </c>
      <c r="AC625" t="s">
        <v>74</v>
      </c>
      <c r="AD625" t="s">
        <v>74</v>
      </c>
      <c r="AE625" t="s">
        <v>74</v>
      </c>
      <c r="AF625" t="s">
        <v>74</v>
      </c>
      <c r="AG625" t="s">
        <v>74</v>
      </c>
      <c r="AH625" t="s">
        <v>74</v>
      </c>
      <c r="AI625" t="s">
        <v>74</v>
      </c>
      <c r="AJ625" t="s">
        <v>74</v>
      </c>
      <c r="AK625" t="s">
        <v>74</v>
      </c>
      <c r="AL625" t="s">
        <v>74</v>
      </c>
      <c r="AM625" t="s">
        <v>74</v>
      </c>
      <c r="AN625" t="s">
        <v>74</v>
      </c>
      <c r="AO625" t="s">
        <v>4671</v>
      </c>
      <c r="AP625" t="s">
        <v>4672</v>
      </c>
      <c r="AQ625" t="s">
        <v>74</v>
      </c>
      <c r="AR625" t="s">
        <v>74</v>
      </c>
      <c r="AS625" t="s">
        <v>74</v>
      </c>
      <c r="AT625" t="s">
        <v>4673</v>
      </c>
      <c r="AU625">
        <v>2012</v>
      </c>
      <c r="AV625">
        <v>338</v>
      </c>
      <c r="AW625" t="s">
        <v>74</v>
      </c>
      <c r="AX625" t="s">
        <v>74</v>
      </c>
      <c r="AY625" t="s">
        <v>74</v>
      </c>
      <c r="AZ625" t="s">
        <v>74</v>
      </c>
      <c r="BA625" t="s">
        <v>74</v>
      </c>
      <c r="BB625">
        <v>274</v>
      </c>
      <c r="BC625">
        <v>283</v>
      </c>
      <c r="BD625" t="s">
        <v>74</v>
      </c>
      <c r="BE625" t="s">
        <v>4674</v>
      </c>
      <c r="BF625" t="str">
        <f>HYPERLINK("http://dx.doi.org/10.1016/j.aquaculture.2012.01.001","http://dx.doi.org/10.1016/j.aquaculture.2012.01.001")</f>
        <v>http://dx.doi.org/10.1016/j.aquaculture.2012.01.001</v>
      </c>
      <c r="BG625" t="s">
        <v>74</v>
      </c>
      <c r="BH625" t="s">
        <v>74</v>
      </c>
      <c r="BI625" t="s">
        <v>74</v>
      </c>
      <c r="BJ625" t="s">
        <v>74</v>
      </c>
      <c r="BK625" t="s">
        <v>74</v>
      </c>
      <c r="BL625" t="s">
        <v>74</v>
      </c>
      <c r="BM625" t="s">
        <v>74</v>
      </c>
      <c r="BN625" t="s">
        <v>74</v>
      </c>
      <c r="BO625" t="s">
        <v>74</v>
      </c>
      <c r="BP625" t="s">
        <v>74</v>
      </c>
      <c r="BQ625" t="s">
        <v>74</v>
      </c>
      <c r="BR625" t="s">
        <v>74</v>
      </c>
      <c r="BS625" t="s">
        <v>4675</v>
      </c>
      <c r="BT625" t="str">
        <f>HYPERLINK("https%3A%2F%2Fwww.webofscience.com%2Fwos%2Fwoscc%2Ffull-record%2FWOS:000304290700036","View Full Record in Web of Science")</f>
        <v>View Full Record in Web of Science</v>
      </c>
    </row>
    <row r="626" spans="1:72" x14ac:dyDescent="0.2">
      <c r="A626" t="s">
        <v>72</v>
      </c>
      <c r="B626" t="s">
        <v>4676</v>
      </c>
      <c r="C626" t="s">
        <v>74</v>
      </c>
      <c r="D626" t="s">
        <v>74</v>
      </c>
      <c r="E626" t="s">
        <v>74</v>
      </c>
      <c r="F626" t="s">
        <v>4677</v>
      </c>
      <c r="G626" t="s">
        <v>74</v>
      </c>
      <c r="H626" t="s">
        <v>74</v>
      </c>
      <c r="I626" t="s">
        <v>4678</v>
      </c>
      <c r="J626" t="s">
        <v>767</v>
      </c>
      <c r="K626" t="s">
        <v>74</v>
      </c>
      <c r="L626" t="s">
        <v>74</v>
      </c>
      <c r="M626" t="s">
        <v>74</v>
      </c>
      <c r="N626" t="s">
        <v>74</v>
      </c>
      <c r="O626" t="s">
        <v>74</v>
      </c>
      <c r="P626" t="s">
        <v>74</v>
      </c>
      <c r="Q626" t="s">
        <v>74</v>
      </c>
      <c r="R626" t="s">
        <v>74</v>
      </c>
      <c r="S626" t="s">
        <v>74</v>
      </c>
      <c r="T626" t="s">
        <v>74</v>
      </c>
      <c r="U626" t="s">
        <v>74</v>
      </c>
      <c r="V626" t="s">
        <v>74</v>
      </c>
      <c r="W626" t="s">
        <v>74</v>
      </c>
      <c r="X626" t="s">
        <v>74</v>
      </c>
      <c r="Y626" t="s">
        <v>74</v>
      </c>
      <c r="Z626" t="s">
        <v>74</v>
      </c>
      <c r="AA626" t="s">
        <v>74</v>
      </c>
      <c r="AB626" t="s">
        <v>74</v>
      </c>
      <c r="AC626" t="s">
        <v>74</v>
      </c>
      <c r="AD626" t="s">
        <v>74</v>
      </c>
      <c r="AE626" t="s">
        <v>74</v>
      </c>
      <c r="AF626" t="s">
        <v>74</v>
      </c>
      <c r="AG626" t="s">
        <v>74</v>
      </c>
      <c r="AH626" t="s">
        <v>74</v>
      </c>
      <c r="AI626" t="s">
        <v>74</v>
      </c>
      <c r="AJ626" t="s">
        <v>74</v>
      </c>
      <c r="AK626" t="s">
        <v>74</v>
      </c>
      <c r="AL626" t="s">
        <v>74</v>
      </c>
      <c r="AM626" t="s">
        <v>74</v>
      </c>
      <c r="AN626" t="s">
        <v>74</v>
      </c>
      <c r="AO626" t="s">
        <v>770</v>
      </c>
      <c r="AP626" t="s">
        <v>771</v>
      </c>
      <c r="AQ626" t="s">
        <v>74</v>
      </c>
      <c r="AR626" t="s">
        <v>74</v>
      </c>
      <c r="AS626" t="s">
        <v>74</v>
      </c>
      <c r="AT626" t="s">
        <v>1846</v>
      </c>
      <c r="AU626">
        <v>2012</v>
      </c>
      <c r="AV626">
        <v>36</v>
      </c>
      <c r="AW626" t="s">
        <v>74</v>
      </c>
      <c r="AX626" t="s">
        <v>74</v>
      </c>
      <c r="AY626" t="s">
        <v>74</v>
      </c>
      <c r="AZ626" t="s">
        <v>74</v>
      </c>
      <c r="BA626" t="s">
        <v>74</v>
      </c>
      <c r="BB626">
        <v>29</v>
      </c>
      <c r="BC626">
        <v>40</v>
      </c>
      <c r="BD626" t="s">
        <v>74</v>
      </c>
      <c r="BE626" t="s">
        <v>4679</v>
      </c>
      <c r="BF626" t="str">
        <f>HYPERLINK("http://dx.doi.org/10.1016/j.csr.2012.01.008","http://dx.doi.org/10.1016/j.csr.2012.01.008")</f>
        <v>http://dx.doi.org/10.1016/j.csr.2012.01.008</v>
      </c>
      <c r="BG626" t="s">
        <v>74</v>
      </c>
      <c r="BH626" t="s">
        <v>74</v>
      </c>
      <c r="BI626" t="s">
        <v>74</v>
      </c>
      <c r="BJ626" t="s">
        <v>74</v>
      </c>
      <c r="BK626" t="s">
        <v>74</v>
      </c>
      <c r="BL626" t="s">
        <v>74</v>
      </c>
      <c r="BM626" t="s">
        <v>74</v>
      </c>
      <c r="BN626" t="s">
        <v>74</v>
      </c>
      <c r="BO626" t="s">
        <v>74</v>
      </c>
      <c r="BP626" t="s">
        <v>74</v>
      </c>
      <c r="BQ626" t="s">
        <v>74</v>
      </c>
      <c r="BR626" t="s">
        <v>74</v>
      </c>
      <c r="BS626" t="s">
        <v>4680</v>
      </c>
      <c r="BT626" t="str">
        <f>HYPERLINK("https%3A%2F%2Fwww.webofscience.com%2Fwos%2Fwoscc%2Ffull-record%2FWOS:000302431000004","View Full Record in Web of Science")</f>
        <v>View Full Record in Web of Science</v>
      </c>
    </row>
    <row r="627" spans="1:72" x14ac:dyDescent="0.2">
      <c r="A627" t="s">
        <v>72</v>
      </c>
      <c r="B627" t="s">
        <v>4681</v>
      </c>
      <c r="C627" t="s">
        <v>74</v>
      </c>
      <c r="D627" t="s">
        <v>74</v>
      </c>
      <c r="E627" t="s">
        <v>74</v>
      </c>
      <c r="F627" t="s">
        <v>4682</v>
      </c>
      <c r="G627" t="s">
        <v>74</v>
      </c>
      <c r="H627" t="s">
        <v>74</v>
      </c>
      <c r="I627" t="s">
        <v>4683</v>
      </c>
      <c r="J627" t="s">
        <v>227</v>
      </c>
      <c r="K627" t="s">
        <v>74</v>
      </c>
      <c r="L627" t="s">
        <v>74</v>
      </c>
      <c r="M627" t="s">
        <v>74</v>
      </c>
      <c r="N627" t="s">
        <v>74</v>
      </c>
      <c r="O627" t="s">
        <v>74</v>
      </c>
      <c r="P627" t="s">
        <v>74</v>
      </c>
      <c r="Q627" t="s">
        <v>74</v>
      </c>
      <c r="R627" t="s">
        <v>74</v>
      </c>
      <c r="S627" t="s">
        <v>74</v>
      </c>
      <c r="T627" t="s">
        <v>74</v>
      </c>
      <c r="U627" t="s">
        <v>74</v>
      </c>
      <c r="V627" t="s">
        <v>74</v>
      </c>
      <c r="W627" t="s">
        <v>74</v>
      </c>
      <c r="X627" t="s">
        <v>74</v>
      </c>
      <c r="Y627" t="s">
        <v>74</v>
      </c>
      <c r="Z627" t="s">
        <v>74</v>
      </c>
      <c r="AA627" t="s">
        <v>4684</v>
      </c>
      <c r="AB627" t="s">
        <v>7123</v>
      </c>
      <c r="AC627" t="s">
        <v>74</v>
      </c>
      <c r="AD627" t="s">
        <v>74</v>
      </c>
      <c r="AE627" t="s">
        <v>74</v>
      </c>
      <c r="AF627" t="s">
        <v>74</v>
      </c>
      <c r="AG627" t="s">
        <v>74</v>
      </c>
      <c r="AH627" t="s">
        <v>74</v>
      </c>
      <c r="AI627" t="s">
        <v>74</v>
      </c>
      <c r="AJ627" t="s">
        <v>74</v>
      </c>
      <c r="AK627" t="s">
        <v>74</v>
      </c>
      <c r="AL627" t="s">
        <v>74</v>
      </c>
      <c r="AM627" t="s">
        <v>74</v>
      </c>
      <c r="AN627" t="s">
        <v>74</v>
      </c>
      <c r="AO627" t="s">
        <v>230</v>
      </c>
      <c r="AP627" t="s">
        <v>231</v>
      </c>
      <c r="AQ627" t="s">
        <v>74</v>
      </c>
      <c r="AR627" t="s">
        <v>74</v>
      </c>
      <c r="AS627" t="s">
        <v>74</v>
      </c>
      <c r="AT627" t="s">
        <v>157</v>
      </c>
      <c r="AU627">
        <v>2012</v>
      </c>
      <c r="AV627">
        <v>57</v>
      </c>
      <c r="AW627">
        <v>2</v>
      </c>
      <c r="AX627" t="s">
        <v>74</v>
      </c>
      <c r="AY627" t="s">
        <v>74</v>
      </c>
      <c r="AZ627" t="s">
        <v>74</v>
      </c>
      <c r="BA627" t="s">
        <v>74</v>
      </c>
      <c r="BB627">
        <v>554</v>
      </c>
      <c r="BC627">
        <v>566</v>
      </c>
      <c r="BD627" t="s">
        <v>74</v>
      </c>
      <c r="BE627" t="s">
        <v>4685</v>
      </c>
      <c r="BF627" t="str">
        <f>HYPERLINK("http://dx.doi.org/10.4319/lo.2012.57.2.0554","http://dx.doi.org/10.4319/lo.2012.57.2.0554")</f>
        <v>http://dx.doi.org/10.4319/lo.2012.57.2.0554</v>
      </c>
      <c r="BG627" t="s">
        <v>74</v>
      </c>
      <c r="BH627" t="s">
        <v>74</v>
      </c>
      <c r="BI627" t="s">
        <v>74</v>
      </c>
      <c r="BJ627" t="s">
        <v>74</v>
      </c>
      <c r="BK627" t="s">
        <v>74</v>
      </c>
      <c r="BL627" t="s">
        <v>74</v>
      </c>
      <c r="BM627" t="s">
        <v>74</v>
      </c>
      <c r="BN627" t="s">
        <v>74</v>
      </c>
      <c r="BO627" t="s">
        <v>74</v>
      </c>
      <c r="BP627" t="s">
        <v>74</v>
      </c>
      <c r="BQ627" t="s">
        <v>74</v>
      </c>
      <c r="BR627" t="s">
        <v>74</v>
      </c>
      <c r="BS627" t="s">
        <v>4686</v>
      </c>
      <c r="BT627" t="str">
        <f>HYPERLINK("https%3A%2F%2Fwww.webofscience.com%2Fwos%2Fwoscc%2Ffull-record%2FWOS:000302613200014","View Full Record in Web of Science")</f>
        <v>View Full Record in Web of Science</v>
      </c>
    </row>
    <row r="628" spans="1:72" x14ac:dyDescent="0.2">
      <c r="A628" t="s">
        <v>72</v>
      </c>
      <c r="B628" t="s">
        <v>4687</v>
      </c>
      <c r="C628" t="s">
        <v>74</v>
      </c>
      <c r="D628" t="s">
        <v>74</v>
      </c>
      <c r="E628" t="s">
        <v>74</v>
      </c>
      <c r="F628" t="s">
        <v>4688</v>
      </c>
      <c r="G628" t="s">
        <v>74</v>
      </c>
      <c r="H628" t="s">
        <v>74</v>
      </c>
      <c r="I628" t="s">
        <v>4689</v>
      </c>
      <c r="J628" t="s">
        <v>4690</v>
      </c>
      <c r="K628" t="s">
        <v>74</v>
      </c>
      <c r="L628" t="s">
        <v>74</v>
      </c>
      <c r="M628" t="s">
        <v>74</v>
      </c>
      <c r="N628" t="s">
        <v>74</v>
      </c>
      <c r="O628" t="s">
        <v>74</v>
      </c>
      <c r="P628" t="s">
        <v>74</v>
      </c>
      <c r="Q628" t="s">
        <v>74</v>
      </c>
      <c r="R628" t="s">
        <v>74</v>
      </c>
      <c r="S628" t="s">
        <v>74</v>
      </c>
      <c r="T628" t="s">
        <v>74</v>
      </c>
      <c r="U628" t="s">
        <v>74</v>
      </c>
      <c r="V628" t="s">
        <v>74</v>
      </c>
      <c r="W628" t="s">
        <v>74</v>
      </c>
      <c r="X628" t="s">
        <v>74</v>
      </c>
      <c r="Y628" t="s">
        <v>74</v>
      </c>
      <c r="Z628" t="s">
        <v>74</v>
      </c>
      <c r="AA628" t="s">
        <v>4691</v>
      </c>
      <c r="AB628" t="s">
        <v>4692</v>
      </c>
      <c r="AC628" t="s">
        <v>74</v>
      </c>
      <c r="AD628" t="s">
        <v>74</v>
      </c>
      <c r="AE628" t="s">
        <v>74</v>
      </c>
      <c r="AF628" t="s">
        <v>74</v>
      </c>
      <c r="AG628" t="s">
        <v>74</v>
      </c>
      <c r="AH628" t="s">
        <v>74</v>
      </c>
      <c r="AI628" t="s">
        <v>74</v>
      </c>
      <c r="AJ628" t="s">
        <v>74</v>
      </c>
      <c r="AK628" t="s">
        <v>74</v>
      </c>
      <c r="AL628" t="s">
        <v>74</v>
      </c>
      <c r="AM628" t="s">
        <v>74</v>
      </c>
      <c r="AN628" t="s">
        <v>74</v>
      </c>
      <c r="AO628" t="s">
        <v>4693</v>
      </c>
      <c r="AP628" t="s">
        <v>4694</v>
      </c>
      <c r="AQ628" t="s">
        <v>74</v>
      </c>
      <c r="AR628" t="s">
        <v>74</v>
      </c>
      <c r="AS628" t="s">
        <v>74</v>
      </c>
      <c r="AT628" t="s">
        <v>157</v>
      </c>
      <c r="AU628">
        <v>2012</v>
      </c>
      <c r="AV628">
        <v>105</v>
      </c>
      <c r="AW628">
        <v>3</v>
      </c>
      <c r="AX628" t="s">
        <v>74</v>
      </c>
      <c r="AY628" t="s">
        <v>74</v>
      </c>
      <c r="AZ628" t="s">
        <v>74</v>
      </c>
      <c r="BA628" t="s">
        <v>74</v>
      </c>
      <c r="BB628">
        <v>573</v>
      </c>
      <c r="BC628">
        <v>583</v>
      </c>
      <c r="BD628" t="s">
        <v>74</v>
      </c>
      <c r="BE628" t="s">
        <v>4695</v>
      </c>
      <c r="BF628" t="str">
        <f>HYPERLINK("http://dx.doi.org/10.1111/j.1095-8312.2011.01815.x","http://dx.doi.org/10.1111/j.1095-8312.2011.01815.x")</f>
        <v>http://dx.doi.org/10.1111/j.1095-8312.2011.01815.x</v>
      </c>
      <c r="BG628" t="s">
        <v>74</v>
      </c>
      <c r="BH628" t="s">
        <v>74</v>
      </c>
      <c r="BI628" t="s">
        <v>74</v>
      </c>
      <c r="BJ628" t="s">
        <v>74</v>
      </c>
      <c r="BK628" t="s">
        <v>74</v>
      </c>
      <c r="BL628" t="s">
        <v>74</v>
      </c>
      <c r="BM628" t="s">
        <v>74</v>
      </c>
      <c r="BN628">
        <v>22611287</v>
      </c>
      <c r="BO628" t="s">
        <v>74</v>
      </c>
      <c r="BP628" t="s">
        <v>74</v>
      </c>
      <c r="BQ628" t="s">
        <v>74</v>
      </c>
      <c r="BR628" t="s">
        <v>74</v>
      </c>
      <c r="BS628" t="s">
        <v>4696</v>
      </c>
      <c r="BT628" t="str">
        <f>HYPERLINK("https%3A%2F%2Fwww.webofscience.com%2Fwos%2Fwoscc%2Ffull-record%2FWOS:000299693800007","View Full Record in Web of Science")</f>
        <v>View Full Record in Web of Science</v>
      </c>
    </row>
    <row r="629" spans="1:72" x14ac:dyDescent="0.2">
      <c r="A629" t="s">
        <v>72</v>
      </c>
      <c r="B629" t="s">
        <v>4697</v>
      </c>
      <c r="C629" t="s">
        <v>74</v>
      </c>
      <c r="D629" t="s">
        <v>74</v>
      </c>
      <c r="E629" t="s">
        <v>74</v>
      </c>
      <c r="F629" t="s">
        <v>4698</v>
      </c>
      <c r="G629" t="s">
        <v>74</v>
      </c>
      <c r="H629" t="s">
        <v>74</v>
      </c>
      <c r="I629" t="s">
        <v>4699</v>
      </c>
      <c r="J629" t="s">
        <v>1615</v>
      </c>
      <c r="K629" t="s">
        <v>74</v>
      </c>
      <c r="L629" t="s">
        <v>74</v>
      </c>
      <c r="M629" t="s">
        <v>74</v>
      </c>
      <c r="N629" t="s">
        <v>74</v>
      </c>
      <c r="O629" t="s">
        <v>74</v>
      </c>
      <c r="P629" t="s">
        <v>74</v>
      </c>
      <c r="Q629" t="s">
        <v>74</v>
      </c>
      <c r="R629" t="s">
        <v>74</v>
      </c>
      <c r="S629" t="s">
        <v>74</v>
      </c>
      <c r="T629" t="s">
        <v>74</v>
      </c>
      <c r="U629" t="s">
        <v>74</v>
      </c>
      <c r="V629" t="s">
        <v>74</v>
      </c>
      <c r="W629" t="s">
        <v>74</v>
      </c>
      <c r="X629" t="s">
        <v>74</v>
      </c>
      <c r="Y629" t="s">
        <v>74</v>
      </c>
      <c r="Z629" t="s">
        <v>74</v>
      </c>
      <c r="AA629" t="s">
        <v>74</v>
      </c>
      <c r="AB629" t="s">
        <v>74</v>
      </c>
      <c r="AC629" t="s">
        <v>74</v>
      </c>
      <c r="AD629" t="s">
        <v>74</v>
      </c>
      <c r="AE629" t="s">
        <v>74</v>
      </c>
      <c r="AF629" t="s">
        <v>74</v>
      </c>
      <c r="AG629" t="s">
        <v>74</v>
      </c>
      <c r="AH629" t="s">
        <v>74</v>
      </c>
      <c r="AI629" t="s">
        <v>74</v>
      </c>
      <c r="AJ629" t="s">
        <v>74</v>
      </c>
      <c r="AK629" t="s">
        <v>74</v>
      </c>
      <c r="AL629" t="s">
        <v>74</v>
      </c>
      <c r="AM629" t="s">
        <v>74</v>
      </c>
      <c r="AN629" t="s">
        <v>74</v>
      </c>
      <c r="AO629" t="s">
        <v>1616</v>
      </c>
      <c r="AP629" t="s">
        <v>1617</v>
      </c>
      <c r="AQ629" t="s">
        <v>74</v>
      </c>
      <c r="AR629" t="s">
        <v>74</v>
      </c>
      <c r="AS629" t="s">
        <v>74</v>
      </c>
      <c r="AT629" t="s">
        <v>157</v>
      </c>
      <c r="AU629">
        <v>2012</v>
      </c>
      <c r="AV629">
        <v>51</v>
      </c>
      <c r="AW629">
        <v>2</v>
      </c>
      <c r="AX629" t="s">
        <v>74</v>
      </c>
      <c r="AY629" t="s">
        <v>74</v>
      </c>
      <c r="AZ629" t="s">
        <v>74</v>
      </c>
      <c r="BA629" t="s">
        <v>74</v>
      </c>
      <c r="BB629">
        <v>222</v>
      </c>
      <c r="BC629">
        <v>231</v>
      </c>
      <c r="BD629" t="s">
        <v>74</v>
      </c>
      <c r="BE629" t="s">
        <v>74</v>
      </c>
      <c r="BF629" t="s">
        <v>74</v>
      </c>
      <c r="BG629" t="s">
        <v>74</v>
      </c>
      <c r="BH629" t="s">
        <v>74</v>
      </c>
      <c r="BI629" t="s">
        <v>74</v>
      </c>
      <c r="BJ629" t="s">
        <v>74</v>
      </c>
      <c r="BK629" t="s">
        <v>74</v>
      </c>
      <c r="BL629" t="s">
        <v>74</v>
      </c>
      <c r="BM629" t="s">
        <v>74</v>
      </c>
      <c r="BN629" t="s">
        <v>74</v>
      </c>
      <c r="BO629" t="s">
        <v>74</v>
      </c>
      <c r="BP629" t="s">
        <v>74</v>
      </c>
      <c r="BQ629" t="s">
        <v>74</v>
      </c>
      <c r="BR629" t="s">
        <v>74</v>
      </c>
      <c r="BS629" t="s">
        <v>4700</v>
      </c>
      <c r="BT629" t="str">
        <f>HYPERLINK("https%3A%2F%2Fwww.webofscience.com%2Fwos%2Fwoscc%2Ffull-record%2FWOS:000301691500010","View Full Record in Web of Science")</f>
        <v>View Full Record in Web of Science</v>
      </c>
    </row>
    <row r="630" spans="1:72" x14ac:dyDescent="0.2">
      <c r="A630" t="s">
        <v>72</v>
      </c>
      <c r="B630" t="s">
        <v>4701</v>
      </c>
      <c r="C630" t="s">
        <v>74</v>
      </c>
      <c r="D630" t="s">
        <v>74</v>
      </c>
      <c r="E630" t="s">
        <v>74</v>
      </c>
      <c r="F630" t="s">
        <v>4702</v>
      </c>
      <c r="G630" t="s">
        <v>74</v>
      </c>
      <c r="H630" t="s">
        <v>74</v>
      </c>
      <c r="I630" t="s">
        <v>4703</v>
      </c>
      <c r="J630" t="s">
        <v>145</v>
      </c>
      <c r="K630" t="s">
        <v>74</v>
      </c>
      <c r="L630" t="s">
        <v>74</v>
      </c>
      <c r="M630" t="s">
        <v>74</v>
      </c>
      <c r="N630" t="s">
        <v>74</v>
      </c>
      <c r="O630" t="s">
        <v>74</v>
      </c>
      <c r="P630" t="s">
        <v>74</v>
      </c>
      <c r="Q630" t="s">
        <v>74</v>
      </c>
      <c r="R630" t="s">
        <v>74</v>
      </c>
      <c r="S630" t="s">
        <v>74</v>
      </c>
      <c r="T630" t="s">
        <v>74</v>
      </c>
      <c r="U630" t="s">
        <v>74</v>
      </c>
      <c r="V630" t="s">
        <v>74</v>
      </c>
      <c r="W630" t="s">
        <v>74</v>
      </c>
      <c r="X630" t="s">
        <v>74</v>
      </c>
      <c r="Y630" t="s">
        <v>74</v>
      </c>
      <c r="Z630" t="s">
        <v>74</v>
      </c>
      <c r="AA630" t="s">
        <v>4704</v>
      </c>
      <c r="AB630" t="s">
        <v>4705</v>
      </c>
      <c r="AC630" t="s">
        <v>74</v>
      </c>
      <c r="AD630" t="s">
        <v>74</v>
      </c>
      <c r="AE630" t="s">
        <v>74</v>
      </c>
      <c r="AF630" t="s">
        <v>74</v>
      </c>
      <c r="AG630" t="s">
        <v>74</v>
      </c>
      <c r="AH630" t="s">
        <v>74</v>
      </c>
      <c r="AI630" t="s">
        <v>74</v>
      </c>
      <c r="AJ630" t="s">
        <v>74</v>
      </c>
      <c r="AK630" t="s">
        <v>74</v>
      </c>
      <c r="AL630" t="s">
        <v>74</v>
      </c>
      <c r="AM630" t="s">
        <v>74</v>
      </c>
      <c r="AN630" t="s">
        <v>74</v>
      </c>
      <c r="AO630" t="s">
        <v>146</v>
      </c>
      <c r="AP630" t="s">
        <v>147</v>
      </c>
      <c r="AQ630" t="s">
        <v>74</v>
      </c>
      <c r="AR630" t="s">
        <v>74</v>
      </c>
      <c r="AS630" t="s">
        <v>74</v>
      </c>
      <c r="AT630" t="s">
        <v>1438</v>
      </c>
      <c r="AU630">
        <v>2012</v>
      </c>
      <c r="AV630">
        <v>416</v>
      </c>
      <c r="AW630" t="s">
        <v>74</v>
      </c>
      <c r="AX630" t="s">
        <v>74</v>
      </c>
      <c r="AY630" t="s">
        <v>74</v>
      </c>
      <c r="AZ630" t="s">
        <v>74</v>
      </c>
      <c r="BA630" t="s">
        <v>74</v>
      </c>
      <c r="BB630">
        <v>300</v>
      </c>
      <c r="BC630">
        <v>313</v>
      </c>
      <c r="BD630" t="s">
        <v>74</v>
      </c>
      <c r="BE630" t="s">
        <v>4706</v>
      </c>
      <c r="BF630" t="str">
        <f>HYPERLINK("http://dx.doi.org/10.1016/j.scitotenv.2011.11.043","http://dx.doi.org/10.1016/j.scitotenv.2011.11.043")</f>
        <v>http://dx.doi.org/10.1016/j.scitotenv.2011.11.043</v>
      </c>
      <c r="BG630" t="s">
        <v>74</v>
      </c>
      <c r="BH630" t="s">
        <v>74</v>
      </c>
      <c r="BI630" t="s">
        <v>74</v>
      </c>
      <c r="BJ630" t="s">
        <v>74</v>
      </c>
      <c r="BK630" t="s">
        <v>74</v>
      </c>
      <c r="BL630" t="s">
        <v>74</v>
      </c>
      <c r="BM630" t="s">
        <v>74</v>
      </c>
      <c r="BN630">
        <v>22172662</v>
      </c>
      <c r="BO630" t="s">
        <v>74</v>
      </c>
      <c r="BP630" t="s">
        <v>74</v>
      </c>
      <c r="BQ630" t="s">
        <v>74</v>
      </c>
      <c r="BR630" t="s">
        <v>74</v>
      </c>
      <c r="BS630" t="s">
        <v>4707</v>
      </c>
      <c r="BT630" t="str">
        <f>HYPERLINK("https%3A%2F%2Fwww.webofscience.com%2Fwos%2Fwoscc%2Ffull-record%2FWOS:000301155200035","View Full Record in Web of Science")</f>
        <v>View Full Record in Web of Science</v>
      </c>
    </row>
    <row r="631" spans="1:72" x14ac:dyDescent="0.2">
      <c r="A631" t="s">
        <v>72</v>
      </c>
      <c r="B631" t="s">
        <v>4708</v>
      </c>
      <c r="C631" t="s">
        <v>74</v>
      </c>
      <c r="D631" t="s">
        <v>74</v>
      </c>
      <c r="E631" t="s">
        <v>74</v>
      </c>
      <c r="F631" t="s">
        <v>4709</v>
      </c>
      <c r="G631" t="s">
        <v>74</v>
      </c>
      <c r="H631" t="s">
        <v>74</v>
      </c>
      <c r="I631" t="s">
        <v>4710</v>
      </c>
      <c r="J631" t="s">
        <v>3271</v>
      </c>
      <c r="K631" t="s">
        <v>74</v>
      </c>
      <c r="L631" t="s">
        <v>74</v>
      </c>
      <c r="M631" t="s">
        <v>74</v>
      </c>
      <c r="N631" t="s">
        <v>74</v>
      </c>
      <c r="O631" t="s">
        <v>74</v>
      </c>
      <c r="P631" t="s">
        <v>74</v>
      </c>
      <c r="Q631" t="s">
        <v>74</v>
      </c>
      <c r="R631" t="s">
        <v>74</v>
      </c>
      <c r="S631" t="s">
        <v>74</v>
      </c>
      <c r="T631" t="s">
        <v>74</v>
      </c>
      <c r="U631" t="s">
        <v>74</v>
      </c>
      <c r="V631" t="s">
        <v>74</v>
      </c>
      <c r="W631" t="s">
        <v>74</v>
      </c>
      <c r="X631" t="s">
        <v>74</v>
      </c>
      <c r="Y631" t="s">
        <v>74</v>
      </c>
      <c r="Z631" t="s">
        <v>74</v>
      </c>
      <c r="AA631" t="s">
        <v>3272</v>
      </c>
      <c r="AB631" t="s">
        <v>3273</v>
      </c>
      <c r="AC631" t="s">
        <v>74</v>
      </c>
      <c r="AD631" t="s">
        <v>74</v>
      </c>
      <c r="AE631" t="s">
        <v>74</v>
      </c>
      <c r="AF631" t="s">
        <v>74</v>
      </c>
      <c r="AG631" t="s">
        <v>74</v>
      </c>
      <c r="AH631" t="s">
        <v>74</v>
      </c>
      <c r="AI631" t="s">
        <v>74</v>
      </c>
      <c r="AJ631" t="s">
        <v>74</v>
      </c>
      <c r="AK631" t="s">
        <v>74</v>
      </c>
      <c r="AL631" t="s">
        <v>74</v>
      </c>
      <c r="AM631" t="s">
        <v>74</v>
      </c>
      <c r="AN631" t="s">
        <v>74</v>
      </c>
      <c r="AO631" t="s">
        <v>3274</v>
      </c>
      <c r="AP631" t="s">
        <v>3275</v>
      </c>
      <c r="AQ631" t="s">
        <v>74</v>
      </c>
      <c r="AR631" t="s">
        <v>74</v>
      </c>
      <c r="AS631" t="s">
        <v>74</v>
      </c>
      <c r="AT631" t="s">
        <v>416</v>
      </c>
      <c r="AU631">
        <v>2012</v>
      </c>
      <c r="AV631">
        <v>62</v>
      </c>
      <c r="AW631" t="s">
        <v>74</v>
      </c>
      <c r="AX631">
        <v>2</v>
      </c>
      <c r="AY631" t="s">
        <v>74</v>
      </c>
      <c r="AZ631" t="s">
        <v>74</v>
      </c>
      <c r="BA631" t="s">
        <v>74</v>
      </c>
      <c r="BB631">
        <v>376</v>
      </c>
      <c r="BC631">
        <v>383</v>
      </c>
      <c r="BD631" t="s">
        <v>74</v>
      </c>
      <c r="BE631" t="s">
        <v>4711</v>
      </c>
      <c r="BF631" t="str">
        <f>HYPERLINK("http://dx.doi.org/10.1099/ijs.0.031393-0","http://dx.doi.org/10.1099/ijs.0.031393-0")</f>
        <v>http://dx.doi.org/10.1099/ijs.0.031393-0</v>
      </c>
      <c r="BG631" t="s">
        <v>74</v>
      </c>
      <c r="BH631" t="s">
        <v>74</v>
      </c>
      <c r="BI631" t="s">
        <v>74</v>
      </c>
      <c r="BJ631" t="s">
        <v>74</v>
      </c>
      <c r="BK631" t="s">
        <v>74</v>
      </c>
      <c r="BL631" t="s">
        <v>74</v>
      </c>
      <c r="BM631" t="s">
        <v>74</v>
      </c>
      <c r="BN631">
        <v>21441373</v>
      </c>
      <c r="BO631" t="s">
        <v>74</v>
      </c>
      <c r="BP631" t="s">
        <v>74</v>
      </c>
      <c r="BQ631" t="s">
        <v>74</v>
      </c>
      <c r="BR631" t="s">
        <v>74</v>
      </c>
      <c r="BS631" t="s">
        <v>4712</v>
      </c>
      <c r="BT631" t="str">
        <f>HYPERLINK("https%3A%2F%2Fwww.webofscience.com%2Fwos%2Fwoscc%2Ffull-record%2FWOS:000300861600019","View Full Record in Web of Science")</f>
        <v>View Full Record in Web of Science</v>
      </c>
    </row>
    <row r="632" spans="1:72" x14ac:dyDescent="0.2">
      <c r="A632" t="s">
        <v>72</v>
      </c>
      <c r="B632" t="s">
        <v>4713</v>
      </c>
      <c r="C632" t="s">
        <v>74</v>
      </c>
      <c r="D632" t="s">
        <v>74</v>
      </c>
      <c r="E632" t="s">
        <v>74</v>
      </c>
      <c r="F632" t="s">
        <v>4714</v>
      </c>
      <c r="G632" t="s">
        <v>74</v>
      </c>
      <c r="H632" t="s">
        <v>74</v>
      </c>
      <c r="I632" t="s">
        <v>4715</v>
      </c>
      <c r="J632" t="s">
        <v>4716</v>
      </c>
      <c r="K632" t="s">
        <v>74</v>
      </c>
      <c r="L632" t="s">
        <v>74</v>
      </c>
      <c r="M632" t="s">
        <v>74</v>
      </c>
      <c r="N632" t="s">
        <v>74</v>
      </c>
      <c r="O632" t="s">
        <v>74</v>
      </c>
      <c r="P632" t="s">
        <v>74</v>
      </c>
      <c r="Q632" t="s">
        <v>74</v>
      </c>
      <c r="R632" t="s">
        <v>74</v>
      </c>
      <c r="S632" t="s">
        <v>74</v>
      </c>
      <c r="T632" t="s">
        <v>74</v>
      </c>
      <c r="U632" t="s">
        <v>74</v>
      </c>
      <c r="V632" t="s">
        <v>74</v>
      </c>
      <c r="W632" t="s">
        <v>74</v>
      </c>
      <c r="X632" t="s">
        <v>74</v>
      </c>
      <c r="Y632" t="s">
        <v>74</v>
      </c>
      <c r="Z632" t="s">
        <v>74</v>
      </c>
      <c r="AA632" t="s">
        <v>4717</v>
      </c>
      <c r="AB632" t="s">
        <v>4718</v>
      </c>
      <c r="AC632" t="s">
        <v>74</v>
      </c>
      <c r="AD632" t="s">
        <v>74</v>
      </c>
      <c r="AE632" t="s">
        <v>74</v>
      </c>
      <c r="AF632" t="s">
        <v>74</v>
      </c>
      <c r="AG632" t="s">
        <v>74</v>
      </c>
      <c r="AH632" t="s">
        <v>74</v>
      </c>
      <c r="AI632" t="s">
        <v>74</v>
      </c>
      <c r="AJ632" t="s">
        <v>74</v>
      </c>
      <c r="AK632" t="s">
        <v>74</v>
      </c>
      <c r="AL632" t="s">
        <v>74</v>
      </c>
      <c r="AM632" t="s">
        <v>74</v>
      </c>
      <c r="AN632" t="s">
        <v>74</v>
      </c>
      <c r="AO632" t="s">
        <v>4719</v>
      </c>
      <c r="AP632" t="s">
        <v>4720</v>
      </c>
      <c r="AQ632" t="s">
        <v>74</v>
      </c>
      <c r="AR632" t="s">
        <v>74</v>
      </c>
      <c r="AS632" t="s">
        <v>74</v>
      </c>
      <c r="AT632" t="s">
        <v>416</v>
      </c>
      <c r="AU632">
        <v>2012</v>
      </c>
      <c r="AV632">
        <v>7</v>
      </c>
      <c r="AW632">
        <v>1</v>
      </c>
      <c r="AX632" t="s">
        <v>74</v>
      </c>
      <c r="AY632" t="s">
        <v>74</v>
      </c>
      <c r="AZ632" t="s">
        <v>74</v>
      </c>
      <c r="BA632" t="s">
        <v>74</v>
      </c>
      <c r="BB632">
        <v>91</v>
      </c>
      <c r="BC632">
        <v>100</v>
      </c>
      <c r="BD632" t="s">
        <v>74</v>
      </c>
      <c r="BE632" t="s">
        <v>4721</v>
      </c>
      <c r="BF632" t="str">
        <f>HYPERLINK("http://dx.doi.org/10.2478/s11535-011-0098-5","http://dx.doi.org/10.2478/s11535-011-0098-5")</f>
        <v>http://dx.doi.org/10.2478/s11535-011-0098-5</v>
      </c>
      <c r="BG632" t="s">
        <v>74</v>
      </c>
      <c r="BH632" t="s">
        <v>74</v>
      </c>
      <c r="BI632" t="s">
        <v>74</v>
      </c>
      <c r="BJ632" t="s">
        <v>74</v>
      </c>
      <c r="BK632" t="s">
        <v>74</v>
      </c>
      <c r="BL632" t="s">
        <v>74</v>
      </c>
      <c r="BM632" t="s">
        <v>74</v>
      </c>
      <c r="BN632" t="s">
        <v>74</v>
      </c>
      <c r="BO632" t="s">
        <v>74</v>
      </c>
      <c r="BP632" t="s">
        <v>74</v>
      </c>
      <c r="BQ632" t="s">
        <v>74</v>
      </c>
      <c r="BR632" t="s">
        <v>74</v>
      </c>
      <c r="BS632" t="s">
        <v>4722</v>
      </c>
      <c r="BT632" t="str">
        <f>HYPERLINK("https%3A%2F%2Fwww.webofscience.com%2Fwos%2Fwoscc%2Ffull-record%2FWOS:000298392500011","View Full Record in Web of Science")</f>
        <v>View Full Record in Web of Science</v>
      </c>
    </row>
    <row r="633" spans="1:72" x14ac:dyDescent="0.2">
      <c r="A633" t="s">
        <v>72</v>
      </c>
      <c r="B633" t="s">
        <v>4723</v>
      </c>
      <c r="C633" t="s">
        <v>74</v>
      </c>
      <c r="D633" t="s">
        <v>74</v>
      </c>
      <c r="E633" t="s">
        <v>74</v>
      </c>
      <c r="F633" t="s">
        <v>4724</v>
      </c>
      <c r="G633" t="s">
        <v>74</v>
      </c>
      <c r="H633" t="s">
        <v>74</v>
      </c>
      <c r="I633" t="s">
        <v>4725</v>
      </c>
      <c r="J633" t="s">
        <v>2827</v>
      </c>
      <c r="K633" t="s">
        <v>74</v>
      </c>
      <c r="L633" t="s">
        <v>74</v>
      </c>
      <c r="M633" t="s">
        <v>74</v>
      </c>
      <c r="N633" t="s">
        <v>74</v>
      </c>
      <c r="O633" t="s">
        <v>74</v>
      </c>
      <c r="P633" t="s">
        <v>74</v>
      </c>
      <c r="Q633" t="s">
        <v>74</v>
      </c>
      <c r="R633" t="s">
        <v>74</v>
      </c>
      <c r="S633" t="s">
        <v>74</v>
      </c>
      <c r="T633" t="s">
        <v>74</v>
      </c>
      <c r="U633" t="s">
        <v>74</v>
      </c>
      <c r="V633" t="s">
        <v>74</v>
      </c>
      <c r="W633" t="s">
        <v>74</v>
      </c>
      <c r="X633" t="s">
        <v>74</v>
      </c>
      <c r="Y633" t="s">
        <v>74</v>
      </c>
      <c r="Z633" t="s">
        <v>74</v>
      </c>
      <c r="AA633" t="s">
        <v>4726</v>
      </c>
      <c r="AB633" t="s">
        <v>4727</v>
      </c>
      <c r="AC633" t="s">
        <v>74</v>
      </c>
      <c r="AD633" t="s">
        <v>74</v>
      </c>
      <c r="AE633" t="s">
        <v>74</v>
      </c>
      <c r="AF633" t="s">
        <v>74</v>
      </c>
      <c r="AG633" t="s">
        <v>74</v>
      </c>
      <c r="AH633" t="s">
        <v>74</v>
      </c>
      <c r="AI633" t="s">
        <v>74</v>
      </c>
      <c r="AJ633" t="s">
        <v>74</v>
      </c>
      <c r="AK633" t="s">
        <v>74</v>
      </c>
      <c r="AL633" t="s">
        <v>74</v>
      </c>
      <c r="AM633" t="s">
        <v>74</v>
      </c>
      <c r="AN633" t="s">
        <v>74</v>
      </c>
      <c r="AO633" t="s">
        <v>2828</v>
      </c>
      <c r="AP633" t="s">
        <v>2829</v>
      </c>
      <c r="AQ633" t="s">
        <v>74</v>
      </c>
      <c r="AR633" t="s">
        <v>74</v>
      </c>
      <c r="AS633" t="s">
        <v>74</v>
      </c>
      <c r="AT633" t="s">
        <v>74</v>
      </c>
      <c r="AU633">
        <v>2012</v>
      </c>
      <c r="AV633">
        <v>457</v>
      </c>
      <c r="AW633" t="s">
        <v>74</v>
      </c>
      <c r="AX633" t="s">
        <v>74</v>
      </c>
      <c r="AY633" t="s">
        <v>74</v>
      </c>
      <c r="AZ633" t="s">
        <v>74</v>
      </c>
      <c r="BA633" t="s">
        <v>74</v>
      </c>
      <c r="BB633">
        <v>43</v>
      </c>
      <c r="BC633">
        <v>66</v>
      </c>
      <c r="BD633" t="s">
        <v>74</v>
      </c>
      <c r="BE633" t="s">
        <v>4728</v>
      </c>
      <c r="BF633" t="str">
        <f>HYPERLINK("http://dx.doi.org/10.3354/meps09718","http://dx.doi.org/10.3354/meps09718")</f>
        <v>http://dx.doi.org/10.3354/meps09718</v>
      </c>
      <c r="BG633" t="s">
        <v>74</v>
      </c>
      <c r="BH633" t="s">
        <v>74</v>
      </c>
      <c r="BI633" t="s">
        <v>74</v>
      </c>
      <c r="BJ633" t="s">
        <v>74</v>
      </c>
      <c r="BK633" t="s">
        <v>74</v>
      </c>
      <c r="BL633" t="s">
        <v>74</v>
      </c>
      <c r="BM633" t="s">
        <v>74</v>
      </c>
      <c r="BN633" t="s">
        <v>74</v>
      </c>
      <c r="BO633" t="s">
        <v>74</v>
      </c>
      <c r="BP633" t="s">
        <v>74</v>
      </c>
      <c r="BQ633" t="s">
        <v>74</v>
      </c>
      <c r="BR633" t="s">
        <v>74</v>
      </c>
      <c r="BS633" t="s">
        <v>4729</v>
      </c>
      <c r="BT633" t="str">
        <f>HYPERLINK("https%3A%2F%2Fwww.webofscience.com%2Fwos%2Fwoscc%2Ffull-record%2FWOS:000306755000005","View Full Record in Web of Science")</f>
        <v>View Full Record in Web of Science</v>
      </c>
    </row>
    <row r="634" spans="1:72" x14ac:dyDescent="0.2">
      <c r="A634" t="s">
        <v>72</v>
      </c>
      <c r="B634" t="s">
        <v>4730</v>
      </c>
      <c r="C634" t="s">
        <v>74</v>
      </c>
      <c r="D634" t="s">
        <v>74</v>
      </c>
      <c r="E634" t="s">
        <v>74</v>
      </c>
      <c r="F634" t="s">
        <v>4731</v>
      </c>
      <c r="G634" t="s">
        <v>74</v>
      </c>
      <c r="H634" t="s">
        <v>74</v>
      </c>
      <c r="I634" t="s">
        <v>4732</v>
      </c>
      <c r="J634" t="s">
        <v>2769</v>
      </c>
      <c r="K634" t="s">
        <v>74</v>
      </c>
      <c r="L634" t="s">
        <v>74</v>
      </c>
      <c r="M634" t="s">
        <v>74</v>
      </c>
      <c r="N634" t="s">
        <v>74</v>
      </c>
      <c r="O634" t="s">
        <v>74</v>
      </c>
      <c r="P634" t="s">
        <v>74</v>
      </c>
      <c r="Q634" t="s">
        <v>74</v>
      </c>
      <c r="R634" t="s">
        <v>74</v>
      </c>
      <c r="S634" t="s">
        <v>74</v>
      </c>
      <c r="T634" t="s">
        <v>74</v>
      </c>
      <c r="U634" t="s">
        <v>74</v>
      </c>
      <c r="V634" t="s">
        <v>74</v>
      </c>
      <c r="W634" t="s">
        <v>74</v>
      </c>
      <c r="X634" t="s">
        <v>74</v>
      </c>
      <c r="Y634" t="s">
        <v>74</v>
      </c>
      <c r="Z634" t="s">
        <v>74</v>
      </c>
      <c r="AA634" t="s">
        <v>4733</v>
      </c>
      <c r="AB634" t="s">
        <v>4734</v>
      </c>
      <c r="AC634" t="s">
        <v>74</v>
      </c>
      <c r="AD634" t="s">
        <v>74</v>
      </c>
      <c r="AE634" t="s">
        <v>74</v>
      </c>
      <c r="AF634" t="s">
        <v>74</v>
      </c>
      <c r="AG634" t="s">
        <v>74</v>
      </c>
      <c r="AH634" t="s">
        <v>74</v>
      </c>
      <c r="AI634" t="s">
        <v>74</v>
      </c>
      <c r="AJ634" t="s">
        <v>74</v>
      </c>
      <c r="AK634" t="s">
        <v>74</v>
      </c>
      <c r="AL634" t="s">
        <v>74</v>
      </c>
      <c r="AM634" t="s">
        <v>74</v>
      </c>
      <c r="AN634" t="s">
        <v>74</v>
      </c>
      <c r="AO634" t="s">
        <v>2772</v>
      </c>
      <c r="AP634" t="s">
        <v>2773</v>
      </c>
      <c r="AQ634" t="s">
        <v>74</v>
      </c>
      <c r="AR634" t="s">
        <v>74</v>
      </c>
      <c r="AS634" t="s">
        <v>74</v>
      </c>
      <c r="AT634" t="s">
        <v>74</v>
      </c>
      <c r="AU634">
        <v>2012</v>
      </c>
      <c r="AV634">
        <v>66</v>
      </c>
      <c r="AW634">
        <v>3</v>
      </c>
      <c r="AX634" t="s">
        <v>74</v>
      </c>
      <c r="AY634" t="s">
        <v>74</v>
      </c>
      <c r="AZ634" t="s">
        <v>74</v>
      </c>
      <c r="BA634" t="s">
        <v>74</v>
      </c>
      <c r="BB634">
        <v>257</v>
      </c>
      <c r="BC634">
        <v>269</v>
      </c>
      <c r="BD634" t="s">
        <v>74</v>
      </c>
      <c r="BE634" t="s">
        <v>4735</v>
      </c>
      <c r="BF634" t="str">
        <f>HYPERLINK("http://dx.doi.org/10.3354/ame01573","http://dx.doi.org/10.3354/ame01573")</f>
        <v>http://dx.doi.org/10.3354/ame01573</v>
      </c>
      <c r="BG634" t="s">
        <v>74</v>
      </c>
      <c r="BH634" t="s">
        <v>74</v>
      </c>
      <c r="BI634" t="s">
        <v>74</v>
      </c>
      <c r="BJ634" t="s">
        <v>74</v>
      </c>
      <c r="BK634" t="s">
        <v>74</v>
      </c>
      <c r="BL634" t="s">
        <v>74</v>
      </c>
      <c r="BM634" t="s">
        <v>74</v>
      </c>
      <c r="BN634" t="s">
        <v>74</v>
      </c>
      <c r="BO634" t="s">
        <v>74</v>
      </c>
      <c r="BP634" t="s">
        <v>74</v>
      </c>
      <c r="BQ634" t="s">
        <v>74</v>
      </c>
      <c r="BR634" t="s">
        <v>74</v>
      </c>
      <c r="BS634" t="s">
        <v>4736</v>
      </c>
      <c r="BT634" t="str">
        <f>HYPERLINK("https%3A%2F%2Fwww.webofscience.com%2Fwos%2Fwoscc%2Ffull-record%2FWOS:000306321900005","View Full Record in Web of Science")</f>
        <v>View Full Record in Web of Science</v>
      </c>
    </row>
    <row r="635" spans="1:72" x14ac:dyDescent="0.2">
      <c r="A635" t="s">
        <v>3144</v>
      </c>
      <c r="B635" t="s">
        <v>4737</v>
      </c>
      <c r="C635" t="s">
        <v>74</v>
      </c>
      <c r="D635" t="s">
        <v>4738</v>
      </c>
      <c r="E635" t="s">
        <v>74</v>
      </c>
      <c r="F635" t="s">
        <v>4739</v>
      </c>
      <c r="G635" t="s">
        <v>74</v>
      </c>
      <c r="H635" t="s">
        <v>74</v>
      </c>
      <c r="I635" t="s">
        <v>4740</v>
      </c>
      <c r="J635" t="s">
        <v>4741</v>
      </c>
      <c r="K635" t="s">
        <v>4742</v>
      </c>
      <c r="L635" t="s">
        <v>74</v>
      </c>
      <c r="M635" t="s">
        <v>74</v>
      </c>
      <c r="N635" t="s">
        <v>74</v>
      </c>
      <c r="O635" t="s">
        <v>74</v>
      </c>
      <c r="P635" t="s">
        <v>74</v>
      </c>
      <c r="Q635" t="s">
        <v>74</v>
      </c>
      <c r="R635" t="s">
        <v>74</v>
      </c>
      <c r="S635" t="s">
        <v>74</v>
      </c>
      <c r="T635" t="s">
        <v>74</v>
      </c>
      <c r="U635" t="s">
        <v>74</v>
      </c>
      <c r="V635" t="s">
        <v>74</v>
      </c>
      <c r="W635" t="s">
        <v>74</v>
      </c>
      <c r="X635" t="s">
        <v>74</v>
      </c>
      <c r="Y635" t="s">
        <v>74</v>
      </c>
      <c r="Z635" t="s">
        <v>74</v>
      </c>
      <c r="AA635" t="s">
        <v>7124</v>
      </c>
      <c r="AB635" t="s">
        <v>7125</v>
      </c>
      <c r="AC635" t="s">
        <v>74</v>
      </c>
      <c r="AD635" t="s">
        <v>74</v>
      </c>
      <c r="AE635" t="s">
        <v>74</v>
      </c>
      <c r="AF635" t="s">
        <v>74</v>
      </c>
      <c r="AG635" t="s">
        <v>74</v>
      </c>
      <c r="AH635" t="s">
        <v>74</v>
      </c>
      <c r="AI635" t="s">
        <v>74</v>
      </c>
      <c r="AJ635" t="s">
        <v>74</v>
      </c>
      <c r="AK635" t="s">
        <v>74</v>
      </c>
      <c r="AL635" t="s">
        <v>74</v>
      </c>
      <c r="AM635" t="s">
        <v>74</v>
      </c>
      <c r="AN635" t="s">
        <v>74</v>
      </c>
      <c r="AO635" t="s">
        <v>4743</v>
      </c>
      <c r="AP635" t="s">
        <v>4744</v>
      </c>
      <c r="AQ635" t="s">
        <v>4745</v>
      </c>
      <c r="AR635" t="s">
        <v>74</v>
      </c>
      <c r="AS635" t="s">
        <v>74</v>
      </c>
      <c r="AT635" t="s">
        <v>74</v>
      </c>
      <c r="AU635">
        <v>2012</v>
      </c>
      <c r="AV635">
        <v>46</v>
      </c>
      <c r="AW635" t="s">
        <v>74</v>
      </c>
      <c r="AX635" t="s">
        <v>74</v>
      </c>
      <c r="AY635" t="s">
        <v>74</v>
      </c>
      <c r="AZ635" t="s">
        <v>74</v>
      </c>
      <c r="BA635" t="s">
        <v>74</v>
      </c>
      <c r="BB635">
        <v>259</v>
      </c>
      <c r="BC635">
        <v>349</v>
      </c>
      <c r="BD635" t="s">
        <v>74</v>
      </c>
      <c r="BE635" t="s">
        <v>4746</v>
      </c>
      <c r="BF635" t="str">
        <f>HYPERLINK("http://dx.doi.org/10.1016/B978-0-12-396992-7.00004-6","http://dx.doi.org/10.1016/B978-0-12-396992-7.00004-6")</f>
        <v>http://dx.doi.org/10.1016/B978-0-12-396992-7.00004-6</v>
      </c>
      <c r="BG635" t="s">
        <v>74</v>
      </c>
      <c r="BH635" t="s">
        <v>74</v>
      </c>
      <c r="BI635" t="s">
        <v>74</v>
      </c>
      <c r="BJ635" t="s">
        <v>74</v>
      </c>
      <c r="BK635" t="s">
        <v>74</v>
      </c>
      <c r="BL635" t="s">
        <v>74</v>
      </c>
      <c r="BM635" t="s">
        <v>74</v>
      </c>
      <c r="BN635" t="s">
        <v>74</v>
      </c>
      <c r="BO635" t="s">
        <v>74</v>
      </c>
      <c r="BP635" t="s">
        <v>74</v>
      </c>
      <c r="BQ635" t="s">
        <v>74</v>
      </c>
      <c r="BR635" t="s">
        <v>74</v>
      </c>
      <c r="BS635" t="s">
        <v>4747</v>
      </c>
      <c r="BT635" t="str">
        <f>HYPERLINK("https%3A%2F%2Fwww.webofscience.com%2Fwos%2Fwoscc%2Ffull-record%2FWOS:000319706500004","View Full Record in Web of Science")</f>
        <v>View Full Record in Web of Science</v>
      </c>
    </row>
    <row r="636" spans="1:72" x14ac:dyDescent="0.2">
      <c r="A636" t="s">
        <v>72</v>
      </c>
      <c r="B636" t="s">
        <v>4748</v>
      </c>
      <c r="C636" t="s">
        <v>74</v>
      </c>
      <c r="D636" t="s">
        <v>74</v>
      </c>
      <c r="E636" t="s">
        <v>74</v>
      </c>
      <c r="F636" t="s">
        <v>4749</v>
      </c>
      <c r="G636" t="s">
        <v>74</v>
      </c>
      <c r="H636" t="s">
        <v>74</v>
      </c>
      <c r="I636" t="s">
        <v>4750</v>
      </c>
      <c r="J636" t="s">
        <v>1323</v>
      </c>
      <c r="K636" t="s">
        <v>74</v>
      </c>
      <c r="L636" t="s">
        <v>74</v>
      </c>
      <c r="M636" t="s">
        <v>74</v>
      </c>
      <c r="N636" t="s">
        <v>74</v>
      </c>
      <c r="O636" t="s">
        <v>74</v>
      </c>
      <c r="P636" t="s">
        <v>74</v>
      </c>
      <c r="Q636" t="s">
        <v>74</v>
      </c>
      <c r="R636" t="s">
        <v>74</v>
      </c>
      <c r="S636" t="s">
        <v>74</v>
      </c>
      <c r="T636" t="s">
        <v>74</v>
      </c>
      <c r="U636" t="s">
        <v>74</v>
      </c>
      <c r="V636" t="s">
        <v>74</v>
      </c>
      <c r="W636" t="s">
        <v>74</v>
      </c>
      <c r="X636" t="s">
        <v>74</v>
      </c>
      <c r="Y636" t="s">
        <v>74</v>
      </c>
      <c r="Z636" t="s">
        <v>74</v>
      </c>
      <c r="AA636" t="s">
        <v>74</v>
      </c>
      <c r="AB636" t="s">
        <v>74</v>
      </c>
      <c r="AC636" t="s">
        <v>74</v>
      </c>
      <c r="AD636" t="s">
        <v>74</v>
      </c>
      <c r="AE636" t="s">
        <v>74</v>
      </c>
      <c r="AF636" t="s">
        <v>74</v>
      </c>
      <c r="AG636" t="s">
        <v>74</v>
      </c>
      <c r="AH636" t="s">
        <v>74</v>
      </c>
      <c r="AI636" t="s">
        <v>74</v>
      </c>
      <c r="AJ636" t="s">
        <v>74</v>
      </c>
      <c r="AK636" t="s">
        <v>74</v>
      </c>
      <c r="AL636" t="s">
        <v>74</v>
      </c>
      <c r="AM636" t="s">
        <v>74</v>
      </c>
      <c r="AN636" t="s">
        <v>74</v>
      </c>
      <c r="AO636" t="s">
        <v>1326</v>
      </c>
      <c r="AP636" t="s">
        <v>1327</v>
      </c>
      <c r="AQ636" t="s">
        <v>74</v>
      </c>
      <c r="AR636" t="s">
        <v>74</v>
      </c>
      <c r="AS636" t="s">
        <v>74</v>
      </c>
      <c r="AT636" t="s">
        <v>315</v>
      </c>
      <c r="AU636">
        <v>2012</v>
      </c>
      <c r="AV636">
        <v>74</v>
      </c>
      <c r="AW636">
        <v>1</v>
      </c>
      <c r="AX636" t="s">
        <v>74</v>
      </c>
      <c r="AY636" t="s">
        <v>74</v>
      </c>
      <c r="AZ636" t="s">
        <v>74</v>
      </c>
      <c r="BA636" t="s">
        <v>74</v>
      </c>
      <c r="BB636">
        <v>203</v>
      </c>
      <c r="BC636">
        <v>212</v>
      </c>
      <c r="BD636" t="s">
        <v>74</v>
      </c>
      <c r="BE636" t="s">
        <v>4751</v>
      </c>
      <c r="BF636" t="str">
        <f>HYPERLINK("http://dx.doi.org/10.1007/s00027-011-0212-9","http://dx.doi.org/10.1007/s00027-011-0212-9")</f>
        <v>http://dx.doi.org/10.1007/s00027-011-0212-9</v>
      </c>
      <c r="BG636" t="s">
        <v>74</v>
      </c>
      <c r="BH636" t="s">
        <v>74</v>
      </c>
      <c r="BI636" t="s">
        <v>74</v>
      </c>
      <c r="BJ636" t="s">
        <v>74</v>
      </c>
      <c r="BK636" t="s">
        <v>74</v>
      </c>
      <c r="BL636" t="s">
        <v>74</v>
      </c>
      <c r="BM636" t="s">
        <v>74</v>
      </c>
      <c r="BN636" t="s">
        <v>74</v>
      </c>
      <c r="BO636" t="s">
        <v>74</v>
      </c>
      <c r="BP636" t="s">
        <v>74</v>
      </c>
      <c r="BQ636" t="s">
        <v>74</v>
      </c>
      <c r="BR636" t="s">
        <v>74</v>
      </c>
      <c r="BS636" t="s">
        <v>4752</v>
      </c>
      <c r="BT636" t="str">
        <f>HYPERLINK("https%3A%2F%2Fwww.webofscience.com%2Fwos%2Fwoscc%2Ffull-record%2FWOS:000298750900017","View Full Record in Web of Science")</f>
        <v>View Full Record in Web of Science</v>
      </c>
    </row>
    <row r="637" spans="1:72" x14ac:dyDescent="0.2">
      <c r="A637" t="s">
        <v>72</v>
      </c>
      <c r="B637" t="s">
        <v>4753</v>
      </c>
      <c r="C637" t="s">
        <v>74</v>
      </c>
      <c r="D637" t="s">
        <v>74</v>
      </c>
      <c r="E637" t="s">
        <v>74</v>
      </c>
      <c r="F637" t="s">
        <v>4754</v>
      </c>
      <c r="G637" t="s">
        <v>74</v>
      </c>
      <c r="H637" t="s">
        <v>74</v>
      </c>
      <c r="I637" t="s">
        <v>4755</v>
      </c>
      <c r="J637" t="s">
        <v>190</v>
      </c>
      <c r="K637" t="s">
        <v>74</v>
      </c>
      <c r="L637" t="s">
        <v>74</v>
      </c>
      <c r="M637" t="s">
        <v>74</v>
      </c>
      <c r="N637" t="s">
        <v>74</v>
      </c>
      <c r="O637" t="s">
        <v>74</v>
      </c>
      <c r="P637" t="s">
        <v>74</v>
      </c>
      <c r="Q637" t="s">
        <v>74</v>
      </c>
      <c r="R637" t="s">
        <v>74</v>
      </c>
      <c r="S637" t="s">
        <v>74</v>
      </c>
      <c r="T637" t="s">
        <v>74</v>
      </c>
      <c r="U637" t="s">
        <v>74</v>
      </c>
      <c r="V637" t="s">
        <v>74</v>
      </c>
      <c r="W637" t="s">
        <v>74</v>
      </c>
      <c r="X637" t="s">
        <v>74</v>
      </c>
      <c r="Y637" t="s">
        <v>74</v>
      </c>
      <c r="Z637" t="s">
        <v>74</v>
      </c>
      <c r="AA637" t="s">
        <v>4756</v>
      </c>
      <c r="AB637" t="s">
        <v>4757</v>
      </c>
      <c r="AC637" t="s">
        <v>74</v>
      </c>
      <c r="AD637" t="s">
        <v>74</v>
      </c>
      <c r="AE637" t="s">
        <v>74</v>
      </c>
      <c r="AF637" t="s">
        <v>74</v>
      </c>
      <c r="AG637" t="s">
        <v>74</v>
      </c>
      <c r="AH637" t="s">
        <v>74</v>
      </c>
      <c r="AI637" t="s">
        <v>74</v>
      </c>
      <c r="AJ637" t="s">
        <v>74</v>
      </c>
      <c r="AK637" t="s">
        <v>74</v>
      </c>
      <c r="AL637" t="s">
        <v>74</v>
      </c>
      <c r="AM637" t="s">
        <v>74</v>
      </c>
      <c r="AN637" t="s">
        <v>74</v>
      </c>
      <c r="AO637" t="s">
        <v>74</v>
      </c>
      <c r="AP637" t="s">
        <v>191</v>
      </c>
      <c r="AQ637" t="s">
        <v>74</v>
      </c>
      <c r="AR637" t="s">
        <v>74</v>
      </c>
      <c r="AS637" t="s">
        <v>74</v>
      </c>
      <c r="AT637" t="s">
        <v>74</v>
      </c>
      <c r="AU637">
        <v>2012</v>
      </c>
      <c r="AV637">
        <v>3</v>
      </c>
      <c r="AW637" t="s">
        <v>74</v>
      </c>
      <c r="AX637" t="s">
        <v>74</v>
      </c>
      <c r="AY637" t="s">
        <v>74</v>
      </c>
      <c r="AZ637" t="s">
        <v>74</v>
      </c>
      <c r="BA637" t="s">
        <v>74</v>
      </c>
      <c r="BB637" t="s">
        <v>74</v>
      </c>
      <c r="BC637" t="s">
        <v>74</v>
      </c>
      <c r="BD637">
        <v>86</v>
      </c>
      <c r="BE637" t="s">
        <v>4758</v>
      </c>
      <c r="BF637" t="str">
        <f>HYPERLINK("http://dx.doi.org/10.3389/fmicb.2012.00086","http://dx.doi.org/10.3389/fmicb.2012.00086")</f>
        <v>http://dx.doi.org/10.3389/fmicb.2012.00086</v>
      </c>
      <c r="BG637" t="s">
        <v>74</v>
      </c>
      <c r="BH637" t="s">
        <v>74</v>
      </c>
      <c r="BI637" t="s">
        <v>74</v>
      </c>
      <c r="BJ637" t="s">
        <v>74</v>
      </c>
      <c r="BK637" t="s">
        <v>74</v>
      </c>
      <c r="BL637" t="s">
        <v>74</v>
      </c>
      <c r="BM637" t="s">
        <v>74</v>
      </c>
      <c r="BN637">
        <v>22408640</v>
      </c>
      <c r="BO637" t="s">
        <v>74</v>
      </c>
      <c r="BP637" t="s">
        <v>74</v>
      </c>
      <c r="BQ637" t="s">
        <v>74</v>
      </c>
      <c r="BR637" t="s">
        <v>74</v>
      </c>
      <c r="BS637" t="s">
        <v>4759</v>
      </c>
      <c r="BT637" t="str">
        <f>HYPERLINK("https%3A%2F%2Fwww.webofscience.com%2Fwos%2Fwoscc%2Ffull-record%2FWOS:000208863600140","View Full Record in Web of Science")</f>
        <v>View Full Record in Web of Science</v>
      </c>
    </row>
    <row r="638" spans="1:72" x14ac:dyDescent="0.2">
      <c r="A638" t="s">
        <v>72</v>
      </c>
      <c r="B638" t="s">
        <v>4760</v>
      </c>
      <c r="C638" t="s">
        <v>74</v>
      </c>
      <c r="D638" t="s">
        <v>74</v>
      </c>
      <c r="E638" t="s">
        <v>74</v>
      </c>
      <c r="F638" t="s">
        <v>4761</v>
      </c>
      <c r="G638" t="s">
        <v>74</v>
      </c>
      <c r="H638" t="s">
        <v>74</v>
      </c>
      <c r="I638" t="s">
        <v>4762</v>
      </c>
      <c r="J638" t="s">
        <v>2759</v>
      </c>
      <c r="K638" t="s">
        <v>74</v>
      </c>
      <c r="L638" t="s">
        <v>74</v>
      </c>
      <c r="M638" t="s">
        <v>74</v>
      </c>
      <c r="N638" t="s">
        <v>74</v>
      </c>
      <c r="O638" t="s">
        <v>74</v>
      </c>
      <c r="P638" t="s">
        <v>74</v>
      </c>
      <c r="Q638" t="s">
        <v>74</v>
      </c>
      <c r="R638" t="s">
        <v>74</v>
      </c>
      <c r="S638" t="s">
        <v>74</v>
      </c>
      <c r="T638" t="s">
        <v>74</v>
      </c>
      <c r="U638" t="s">
        <v>74</v>
      </c>
      <c r="V638" t="s">
        <v>74</v>
      </c>
      <c r="W638" t="s">
        <v>74</v>
      </c>
      <c r="X638" t="s">
        <v>74</v>
      </c>
      <c r="Y638" t="s">
        <v>74</v>
      </c>
      <c r="Z638" t="s">
        <v>74</v>
      </c>
      <c r="AA638" t="s">
        <v>4763</v>
      </c>
      <c r="AB638" t="s">
        <v>4764</v>
      </c>
      <c r="AC638" t="s">
        <v>74</v>
      </c>
      <c r="AD638" t="s">
        <v>74</v>
      </c>
      <c r="AE638" t="s">
        <v>74</v>
      </c>
      <c r="AF638" t="s">
        <v>74</v>
      </c>
      <c r="AG638" t="s">
        <v>74</v>
      </c>
      <c r="AH638" t="s">
        <v>74</v>
      </c>
      <c r="AI638" t="s">
        <v>74</v>
      </c>
      <c r="AJ638" t="s">
        <v>74</v>
      </c>
      <c r="AK638" t="s">
        <v>74</v>
      </c>
      <c r="AL638" t="s">
        <v>74</v>
      </c>
      <c r="AM638" t="s">
        <v>74</v>
      </c>
      <c r="AN638" t="s">
        <v>74</v>
      </c>
      <c r="AO638" t="s">
        <v>2762</v>
      </c>
      <c r="AP638" t="s">
        <v>2763</v>
      </c>
      <c r="AQ638" t="s">
        <v>74</v>
      </c>
      <c r="AR638" t="s">
        <v>74</v>
      </c>
      <c r="AS638" t="s">
        <v>74</v>
      </c>
      <c r="AT638" t="s">
        <v>315</v>
      </c>
      <c r="AU638">
        <v>2012</v>
      </c>
      <c r="AV638">
        <v>81</v>
      </c>
      <c r="AW638">
        <v>1</v>
      </c>
      <c r="AX638" t="s">
        <v>74</v>
      </c>
      <c r="AY638" t="s">
        <v>74</v>
      </c>
      <c r="AZ638" t="s">
        <v>74</v>
      </c>
      <c r="BA638" t="s">
        <v>74</v>
      </c>
      <c r="BB638">
        <v>251</v>
      </c>
      <c r="BC638">
        <v>259</v>
      </c>
      <c r="BD638" t="s">
        <v>74</v>
      </c>
      <c r="BE638" t="s">
        <v>4765</v>
      </c>
      <c r="BF638" t="str">
        <f>HYPERLINK("http://dx.doi.org/10.1111/j.1365-2656.2011.01908.x","http://dx.doi.org/10.1111/j.1365-2656.2011.01908.x")</f>
        <v>http://dx.doi.org/10.1111/j.1365-2656.2011.01908.x</v>
      </c>
      <c r="BG638" t="s">
        <v>74</v>
      </c>
      <c r="BH638" t="s">
        <v>74</v>
      </c>
      <c r="BI638" t="s">
        <v>74</v>
      </c>
      <c r="BJ638" t="s">
        <v>74</v>
      </c>
      <c r="BK638" t="s">
        <v>74</v>
      </c>
      <c r="BL638" t="s">
        <v>74</v>
      </c>
      <c r="BM638" t="s">
        <v>74</v>
      </c>
      <c r="BN638">
        <v>21950456</v>
      </c>
      <c r="BO638" t="s">
        <v>74</v>
      </c>
      <c r="BP638" t="s">
        <v>74</v>
      </c>
      <c r="BQ638" t="s">
        <v>74</v>
      </c>
      <c r="BR638" t="s">
        <v>74</v>
      </c>
      <c r="BS638" t="s">
        <v>4766</v>
      </c>
      <c r="BT638" t="str">
        <f>HYPERLINK("https%3A%2F%2Fwww.webofscience.com%2Fwos%2Fwoscc%2Ffull-record%2FWOS:000297849300026","View Full Record in Web of Science")</f>
        <v>View Full Record in Web of Science</v>
      </c>
    </row>
    <row r="639" spans="1:72" x14ac:dyDescent="0.2">
      <c r="A639" t="s">
        <v>72</v>
      </c>
      <c r="B639" t="s">
        <v>4767</v>
      </c>
      <c r="C639" t="s">
        <v>74</v>
      </c>
      <c r="D639" t="s">
        <v>74</v>
      </c>
      <c r="E639" t="s">
        <v>74</v>
      </c>
      <c r="F639" t="s">
        <v>4768</v>
      </c>
      <c r="G639" t="s">
        <v>74</v>
      </c>
      <c r="H639" t="s">
        <v>74</v>
      </c>
      <c r="I639" t="s">
        <v>4769</v>
      </c>
      <c r="J639" t="s">
        <v>4770</v>
      </c>
      <c r="K639" t="s">
        <v>74</v>
      </c>
      <c r="L639" t="s">
        <v>74</v>
      </c>
      <c r="M639" t="s">
        <v>74</v>
      </c>
      <c r="N639" t="s">
        <v>74</v>
      </c>
      <c r="O639" t="s">
        <v>74</v>
      </c>
      <c r="P639" t="s">
        <v>74</v>
      </c>
      <c r="Q639" t="s">
        <v>74</v>
      </c>
      <c r="R639" t="s">
        <v>74</v>
      </c>
      <c r="S639" t="s">
        <v>74</v>
      </c>
      <c r="T639" t="s">
        <v>74</v>
      </c>
      <c r="U639" t="s">
        <v>74</v>
      </c>
      <c r="V639" t="s">
        <v>74</v>
      </c>
      <c r="W639" t="s">
        <v>74</v>
      </c>
      <c r="X639" t="s">
        <v>74</v>
      </c>
      <c r="Y639" t="s">
        <v>74</v>
      </c>
      <c r="Z639" t="s">
        <v>74</v>
      </c>
      <c r="AA639" t="s">
        <v>74</v>
      </c>
      <c r="AB639" t="s">
        <v>74</v>
      </c>
      <c r="AC639" t="s">
        <v>74</v>
      </c>
      <c r="AD639" t="s">
        <v>74</v>
      </c>
      <c r="AE639" t="s">
        <v>74</v>
      </c>
      <c r="AF639" t="s">
        <v>74</v>
      </c>
      <c r="AG639" t="s">
        <v>74</v>
      </c>
      <c r="AH639" t="s">
        <v>74</v>
      </c>
      <c r="AI639" t="s">
        <v>74</v>
      </c>
      <c r="AJ639" t="s">
        <v>74</v>
      </c>
      <c r="AK639" t="s">
        <v>74</v>
      </c>
      <c r="AL639" t="s">
        <v>74</v>
      </c>
      <c r="AM639" t="s">
        <v>74</v>
      </c>
      <c r="AN639" t="s">
        <v>74</v>
      </c>
      <c r="AO639" t="s">
        <v>4771</v>
      </c>
      <c r="AP639" t="s">
        <v>74</v>
      </c>
      <c r="AQ639" t="s">
        <v>74</v>
      </c>
      <c r="AR639" t="s">
        <v>74</v>
      </c>
      <c r="AS639" t="s">
        <v>74</v>
      </c>
      <c r="AT639" t="s">
        <v>74</v>
      </c>
      <c r="AU639">
        <v>2012</v>
      </c>
      <c r="AV639">
        <v>251</v>
      </c>
      <c r="AW639">
        <v>1</v>
      </c>
      <c r="AX639" t="s">
        <v>74</v>
      </c>
      <c r="AY639" t="s">
        <v>74</v>
      </c>
      <c r="AZ639" t="s">
        <v>74</v>
      </c>
      <c r="BA639" t="s">
        <v>74</v>
      </c>
      <c r="BB639">
        <v>1</v>
      </c>
      <c r="BC639">
        <v>25</v>
      </c>
      <c r="BD639" t="s">
        <v>74</v>
      </c>
      <c r="BE639" t="s">
        <v>4772</v>
      </c>
      <c r="BF639" t="str">
        <f>HYPERLINK("http://dx.doi.org/10.1016/j.jcz.2011.05.003","http://dx.doi.org/10.1016/j.jcz.2011.05.003")</f>
        <v>http://dx.doi.org/10.1016/j.jcz.2011.05.003</v>
      </c>
      <c r="BG639" t="s">
        <v>74</v>
      </c>
      <c r="BH639" t="s">
        <v>74</v>
      </c>
      <c r="BI639" t="s">
        <v>74</v>
      </c>
      <c r="BJ639" t="s">
        <v>74</v>
      </c>
      <c r="BK639" t="s">
        <v>74</v>
      </c>
      <c r="BL639" t="s">
        <v>74</v>
      </c>
      <c r="BM639" t="s">
        <v>74</v>
      </c>
      <c r="BN639" t="s">
        <v>74</v>
      </c>
      <c r="BO639" t="s">
        <v>74</v>
      </c>
      <c r="BP639" t="s">
        <v>74</v>
      </c>
      <c r="BQ639" t="s">
        <v>74</v>
      </c>
      <c r="BR639" t="s">
        <v>74</v>
      </c>
      <c r="BS639" t="s">
        <v>4773</v>
      </c>
      <c r="BT639" t="str">
        <f>HYPERLINK("https%3A%2F%2Fwww.webofscience.com%2Fwos%2Fwoscc%2Ffull-record%2FWOS:000302500300001","View Full Record in Web of Science")</f>
        <v>View Full Record in Web of Science</v>
      </c>
    </row>
    <row r="640" spans="1:72" x14ac:dyDescent="0.2">
      <c r="A640" t="s">
        <v>72</v>
      </c>
      <c r="B640" t="s">
        <v>4774</v>
      </c>
      <c r="C640" t="s">
        <v>74</v>
      </c>
      <c r="D640" t="s">
        <v>74</v>
      </c>
      <c r="E640" t="s">
        <v>74</v>
      </c>
      <c r="F640" t="s">
        <v>4775</v>
      </c>
      <c r="G640" t="s">
        <v>74</v>
      </c>
      <c r="H640" t="s">
        <v>74</v>
      </c>
      <c r="I640" t="s">
        <v>4776</v>
      </c>
      <c r="J640" t="s">
        <v>4777</v>
      </c>
      <c r="K640" t="s">
        <v>74</v>
      </c>
      <c r="L640" t="s">
        <v>74</v>
      </c>
      <c r="M640" t="s">
        <v>74</v>
      </c>
      <c r="N640" t="s">
        <v>74</v>
      </c>
      <c r="O640" t="s">
        <v>74</v>
      </c>
      <c r="P640" t="s">
        <v>74</v>
      </c>
      <c r="Q640" t="s">
        <v>74</v>
      </c>
      <c r="R640" t="s">
        <v>74</v>
      </c>
      <c r="S640" t="s">
        <v>74</v>
      </c>
      <c r="T640" t="s">
        <v>74</v>
      </c>
      <c r="U640" t="s">
        <v>74</v>
      </c>
      <c r="V640" t="s">
        <v>74</v>
      </c>
      <c r="W640" t="s">
        <v>74</v>
      </c>
      <c r="X640" t="s">
        <v>74</v>
      </c>
      <c r="Y640" t="s">
        <v>74</v>
      </c>
      <c r="Z640" t="s">
        <v>74</v>
      </c>
      <c r="AA640" t="s">
        <v>7126</v>
      </c>
      <c r="AB640" t="s">
        <v>4778</v>
      </c>
      <c r="AC640" t="s">
        <v>74</v>
      </c>
      <c r="AD640" t="s">
        <v>74</v>
      </c>
      <c r="AE640" t="s">
        <v>74</v>
      </c>
      <c r="AF640" t="s">
        <v>74</v>
      </c>
      <c r="AG640" t="s">
        <v>74</v>
      </c>
      <c r="AH640" t="s">
        <v>74</v>
      </c>
      <c r="AI640" t="s">
        <v>74</v>
      </c>
      <c r="AJ640" t="s">
        <v>74</v>
      </c>
      <c r="AK640" t="s">
        <v>74</v>
      </c>
      <c r="AL640" t="s">
        <v>74</v>
      </c>
      <c r="AM640" t="s">
        <v>74</v>
      </c>
      <c r="AN640" t="s">
        <v>74</v>
      </c>
      <c r="AO640" t="s">
        <v>4779</v>
      </c>
      <c r="AP640" t="s">
        <v>4780</v>
      </c>
      <c r="AQ640" t="s">
        <v>74</v>
      </c>
      <c r="AR640" t="s">
        <v>74</v>
      </c>
      <c r="AS640" t="s">
        <v>74</v>
      </c>
      <c r="AT640" t="s">
        <v>82</v>
      </c>
      <c r="AU640">
        <v>2011</v>
      </c>
      <c r="AV640">
        <v>55</v>
      </c>
      <c r="AW640">
        <v>4</v>
      </c>
      <c r="AX640" t="s">
        <v>74</v>
      </c>
      <c r="AY640" t="s">
        <v>74</v>
      </c>
      <c r="AZ640" t="s">
        <v>74</v>
      </c>
      <c r="BA640" t="s">
        <v>74</v>
      </c>
      <c r="BB640">
        <v>236</v>
      </c>
      <c r="BC640">
        <v>246</v>
      </c>
      <c r="BD640" t="s">
        <v>74</v>
      </c>
      <c r="BE640" t="s">
        <v>4781</v>
      </c>
      <c r="BF640" t="str">
        <f>HYPERLINK("http://dx.doi.org/10.1080/07924259.2011.576155","http://dx.doi.org/10.1080/07924259.2011.576155")</f>
        <v>http://dx.doi.org/10.1080/07924259.2011.576155</v>
      </c>
      <c r="BG640" t="s">
        <v>74</v>
      </c>
      <c r="BH640" t="s">
        <v>74</v>
      </c>
      <c r="BI640" t="s">
        <v>74</v>
      </c>
      <c r="BJ640" t="s">
        <v>74</v>
      </c>
      <c r="BK640" t="s">
        <v>74</v>
      </c>
      <c r="BL640" t="s">
        <v>74</v>
      </c>
      <c r="BM640" t="s">
        <v>74</v>
      </c>
      <c r="BN640" t="s">
        <v>74</v>
      </c>
      <c r="BO640" t="s">
        <v>74</v>
      </c>
      <c r="BP640" t="s">
        <v>74</v>
      </c>
      <c r="BQ640" t="s">
        <v>74</v>
      </c>
      <c r="BR640" t="s">
        <v>74</v>
      </c>
      <c r="BS640" t="s">
        <v>4782</v>
      </c>
      <c r="BT640" t="str">
        <f>HYPERLINK("https%3A%2F%2Fwww.webofscience.com%2Fwos%2Fwoscc%2Ffull-record%2FWOS:000298831700006","View Full Record in Web of Science")</f>
        <v>View Full Record in Web of Science</v>
      </c>
    </row>
    <row r="641" spans="1:72" x14ac:dyDescent="0.2">
      <c r="A641" t="s">
        <v>72</v>
      </c>
      <c r="B641" t="s">
        <v>4783</v>
      </c>
      <c r="C641" t="s">
        <v>74</v>
      </c>
      <c r="D641" t="s">
        <v>74</v>
      </c>
      <c r="E641" t="s">
        <v>74</v>
      </c>
      <c r="F641" t="s">
        <v>4784</v>
      </c>
      <c r="G641" t="s">
        <v>74</v>
      </c>
      <c r="H641" t="s">
        <v>74</v>
      </c>
      <c r="I641" t="s">
        <v>4785</v>
      </c>
      <c r="J641" t="s">
        <v>145</v>
      </c>
      <c r="K641" t="s">
        <v>74</v>
      </c>
      <c r="L641" t="s">
        <v>74</v>
      </c>
      <c r="M641" t="s">
        <v>74</v>
      </c>
      <c r="N641" t="s">
        <v>74</v>
      </c>
      <c r="O641" t="s">
        <v>74</v>
      </c>
      <c r="P641" t="s">
        <v>74</v>
      </c>
      <c r="Q641" t="s">
        <v>74</v>
      </c>
      <c r="R641" t="s">
        <v>74</v>
      </c>
      <c r="S641" t="s">
        <v>74</v>
      </c>
      <c r="T641" t="s">
        <v>74</v>
      </c>
      <c r="U641" t="s">
        <v>74</v>
      </c>
      <c r="V641" t="s">
        <v>74</v>
      </c>
      <c r="W641" t="s">
        <v>74</v>
      </c>
      <c r="X641" t="s">
        <v>74</v>
      </c>
      <c r="Y641" t="s">
        <v>74</v>
      </c>
      <c r="Z641" t="s">
        <v>74</v>
      </c>
      <c r="AA641" t="s">
        <v>7127</v>
      </c>
      <c r="AB641" t="s">
        <v>4786</v>
      </c>
      <c r="AC641" t="s">
        <v>74</v>
      </c>
      <c r="AD641" t="s">
        <v>74</v>
      </c>
      <c r="AE641" t="s">
        <v>74</v>
      </c>
      <c r="AF641" t="s">
        <v>74</v>
      </c>
      <c r="AG641" t="s">
        <v>74</v>
      </c>
      <c r="AH641" t="s">
        <v>74</v>
      </c>
      <c r="AI641" t="s">
        <v>74</v>
      </c>
      <c r="AJ641" t="s">
        <v>74</v>
      </c>
      <c r="AK641" t="s">
        <v>74</v>
      </c>
      <c r="AL641" t="s">
        <v>74</v>
      </c>
      <c r="AM641" t="s">
        <v>74</v>
      </c>
      <c r="AN641" t="s">
        <v>74</v>
      </c>
      <c r="AO641" t="s">
        <v>146</v>
      </c>
      <c r="AP641" t="s">
        <v>147</v>
      </c>
      <c r="AQ641" t="s">
        <v>74</v>
      </c>
      <c r="AR641" t="s">
        <v>74</v>
      </c>
      <c r="AS641" t="s">
        <v>74</v>
      </c>
      <c r="AT641" t="s">
        <v>1015</v>
      </c>
      <c r="AU641">
        <v>2011</v>
      </c>
      <c r="AV641">
        <v>409</v>
      </c>
      <c r="AW641">
        <v>24</v>
      </c>
      <c r="AX641" t="s">
        <v>74</v>
      </c>
      <c r="AY641" t="s">
        <v>74</v>
      </c>
      <c r="AZ641" t="s">
        <v>74</v>
      </c>
      <c r="BA641" t="s">
        <v>74</v>
      </c>
      <c r="BB641">
        <v>5353</v>
      </c>
      <c r="BC641">
        <v>5358</v>
      </c>
      <c r="BD641" t="s">
        <v>74</v>
      </c>
      <c r="BE641" t="s">
        <v>4787</v>
      </c>
      <c r="BF641" t="str">
        <f>HYPERLINK("http://dx.doi.org/10.1016/j.scitotenv.2011.09.030","http://dx.doi.org/10.1016/j.scitotenv.2011.09.030")</f>
        <v>http://dx.doi.org/10.1016/j.scitotenv.2011.09.030</v>
      </c>
      <c r="BG641" t="s">
        <v>74</v>
      </c>
      <c r="BH641" t="s">
        <v>74</v>
      </c>
      <c r="BI641" t="s">
        <v>74</v>
      </c>
      <c r="BJ641" t="s">
        <v>74</v>
      </c>
      <c r="BK641" t="s">
        <v>74</v>
      </c>
      <c r="BL641" t="s">
        <v>74</v>
      </c>
      <c r="BM641" t="s">
        <v>74</v>
      </c>
      <c r="BN641">
        <v>21975001</v>
      </c>
      <c r="BO641" t="s">
        <v>74</v>
      </c>
      <c r="BP641" t="s">
        <v>74</v>
      </c>
      <c r="BQ641" t="s">
        <v>74</v>
      </c>
      <c r="BR641" t="s">
        <v>74</v>
      </c>
      <c r="BS641" t="s">
        <v>4788</v>
      </c>
      <c r="BT641" t="str">
        <f>HYPERLINK("https%3A%2F%2Fwww.webofscience.com%2Fwos%2Fwoscc%2Ffull-record%2FWOS:000297444800023","View Full Record in Web of Science")</f>
        <v>View Full Record in Web of Science</v>
      </c>
    </row>
    <row r="642" spans="1:72" x14ac:dyDescent="0.2">
      <c r="A642" t="s">
        <v>72</v>
      </c>
      <c r="B642" t="s">
        <v>4789</v>
      </c>
      <c r="C642" t="s">
        <v>74</v>
      </c>
      <c r="D642" t="s">
        <v>74</v>
      </c>
      <c r="E642" t="s">
        <v>74</v>
      </c>
      <c r="F642" t="s">
        <v>4790</v>
      </c>
      <c r="G642" t="s">
        <v>74</v>
      </c>
      <c r="H642" t="s">
        <v>74</v>
      </c>
      <c r="I642" t="s">
        <v>4791</v>
      </c>
      <c r="J642" t="s">
        <v>4792</v>
      </c>
      <c r="K642" t="s">
        <v>74</v>
      </c>
      <c r="L642" t="s">
        <v>74</v>
      </c>
      <c r="M642" t="s">
        <v>74</v>
      </c>
      <c r="N642" t="s">
        <v>74</v>
      </c>
      <c r="O642" t="s">
        <v>4793</v>
      </c>
      <c r="P642" t="s">
        <v>4794</v>
      </c>
      <c r="Q642" t="s">
        <v>4795</v>
      </c>
      <c r="R642" t="s">
        <v>74</v>
      </c>
      <c r="S642" t="s">
        <v>4796</v>
      </c>
      <c r="T642" t="s">
        <v>74</v>
      </c>
      <c r="U642" t="s">
        <v>74</v>
      </c>
      <c r="V642" t="s">
        <v>74</v>
      </c>
      <c r="W642" t="s">
        <v>74</v>
      </c>
      <c r="X642" t="s">
        <v>74</v>
      </c>
      <c r="Y642" t="s">
        <v>74</v>
      </c>
      <c r="Z642" t="s">
        <v>74</v>
      </c>
      <c r="AA642" t="s">
        <v>74</v>
      </c>
      <c r="AB642" t="s">
        <v>74</v>
      </c>
      <c r="AC642" t="s">
        <v>74</v>
      </c>
      <c r="AD642" t="s">
        <v>74</v>
      </c>
      <c r="AE642" t="s">
        <v>74</v>
      </c>
      <c r="AF642" t="s">
        <v>74</v>
      </c>
      <c r="AG642" t="s">
        <v>74</v>
      </c>
      <c r="AH642" t="s">
        <v>74</v>
      </c>
      <c r="AI642" t="s">
        <v>74</v>
      </c>
      <c r="AJ642" t="s">
        <v>74</v>
      </c>
      <c r="AK642" t="s">
        <v>74</v>
      </c>
      <c r="AL642" t="s">
        <v>74</v>
      </c>
      <c r="AM642" t="s">
        <v>74</v>
      </c>
      <c r="AN642" t="s">
        <v>74</v>
      </c>
      <c r="AO642" t="s">
        <v>4797</v>
      </c>
      <c r="AP642" t="s">
        <v>4798</v>
      </c>
      <c r="AQ642" t="s">
        <v>74</v>
      </c>
      <c r="AR642" t="s">
        <v>74</v>
      </c>
      <c r="AS642" t="s">
        <v>74</v>
      </c>
      <c r="AT642" t="s">
        <v>335</v>
      </c>
      <c r="AU642">
        <v>2011</v>
      </c>
      <c r="AV642">
        <v>55</v>
      </c>
      <c r="AW642">
        <v>6</v>
      </c>
      <c r="AX642" t="s">
        <v>74</v>
      </c>
      <c r="AY642" t="s">
        <v>74</v>
      </c>
      <c r="AZ642" t="s">
        <v>74</v>
      </c>
      <c r="BA642" t="s">
        <v>74</v>
      </c>
      <c r="BB642">
        <v>805</v>
      </c>
      <c r="BC642">
        <v>817</v>
      </c>
      <c r="BD642" t="s">
        <v>74</v>
      </c>
      <c r="BE642" t="s">
        <v>4799</v>
      </c>
      <c r="BF642" t="str">
        <f>HYPERLINK("http://dx.doi.org/10.1007/s00484-011-0426-5","http://dx.doi.org/10.1007/s00484-011-0426-5")</f>
        <v>http://dx.doi.org/10.1007/s00484-011-0426-5</v>
      </c>
      <c r="BG642" t="s">
        <v>74</v>
      </c>
      <c r="BH642" t="s">
        <v>74</v>
      </c>
      <c r="BI642" t="s">
        <v>74</v>
      </c>
      <c r="BJ642" t="s">
        <v>74</v>
      </c>
      <c r="BK642" t="s">
        <v>74</v>
      </c>
      <c r="BL642" t="s">
        <v>74</v>
      </c>
      <c r="BM642" t="s">
        <v>74</v>
      </c>
      <c r="BN642">
        <v>21509461</v>
      </c>
      <c r="BO642" t="s">
        <v>74</v>
      </c>
      <c r="BP642" t="s">
        <v>74</v>
      </c>
      <c r="BQ642" t="s">
        <v>74</v>
      </c>
      <c r="BR642" t="s">
        <v>74</v>
      </c>
      <c r="BS642" t="s">
        <v>4800</v>
      </c>
      <c r="BT642" t="str">
        <f>HYPERLINK("https%3A%2F%2Fwww.webofscience.com%2Fwos%2Fwoscc%2Ffull-record%2FWOS:000298398700007","View Full Record in Web of Science")</f>
        <v>View Full Record in Web of Science</v>
      </c>
    </row>
    <row r="643" spans="1:72" x14ac:dyDescent="0.2">
      <c r="A643" t="s">
        <v>72</v>
      </c>
      <c r="B643" t="s">
        <v>4801</v>
      </c>
      <c r="C643" t="s">
        <v>74</v>
      </c>
      <c r="D643" t="s">
        <v>74</v>
      </c>
      <c r="E643" t="s">
        <v>74</v>
      </c>
      <c r="F643" t="s">
        <v>4802</v>
      </c>
      <c r="G643" t="s">
        <v>74</v>
      </c>
      <c r="H643" t="s">
        <v>74</v>
      </c>
      <c r="I643" t="s">
        <v>4803</v>
      </c>
      <c r="J643" t="s">
        <v>1523</v>
      </c>
      <c r="K643" t="s">
        <v>74</v>
      </c>
      <c r="L643" t="s">
        <v>74</v>
      </c>
      <c r="M643" t="s">
        <v>74</v>
      </c>
      <c r="N643" t="s">
        <v>74</v>
      </c>
      <c r="O643" t="s">
        <v>74</v>
      </c>
      <c r="P643" t="s">
        <v>74</v>
      </c>
      <c r="Q643" t="s">
        <v>74</v>
      </c>
      <c r="R643" t="s">
        <v>74</v>
      </c>
      <c r="S643" t="s">
        <v>74</v>
      </c>
      <c r="T643" t="s">
        <v>74</v>
      </c>
      <c r="U643" t="s">
        <v>74</v>
      </c>
      <c r="V643" t="s">
        <v>74</v>
      </c>
      <c r="W643" t="s">
        <v>74</v>
      </c>
      <c r="X643" t="s">
        <v>74</v>
      </c>
      <c r="Y643" t="s">
        <v>74</v>
      </c>
      <c r="Z643" t="s">
        <v>74</v>
      </c>
      <c r="AA643" t="s">
        <v>4383</v>
      </c>
      <c r="AB643" t="s">
        <v>4804</v>
      </c>
      <c r="AC643" t="s">
        <v>74</v>
      </c>
      <c r="AD643" t="s">
        <v>74</v>
      </c>
      <c r="AE643" t="s">
        <v>74</v>
      </c>
      <c r="AF643" t="s">
        <v>74</v>
      </c>
      <c r="AG643" t="s">
        <v>74</v>
      </c>
      <c r="AH643" t="s">
        <v>74</v>
      </c>
      <c r="AI643" t="s">
        <v>74</v>
      </c>
      <c r="AJ643" t="s">
        <v>74</v>
      </c>
      <c r="AK643" t="s">
        <v>74</v>
      </c>
      <c r="AL643" t="s">
        <v>74</v>
      </c>
      <c r="AM643" t="s">
        <v>74</v>
      </c>
      <c r="AN643" t="s">
        <v>74</v>
      </c>
      <c r="AO643" t="s">
        <v>1524</v>
      </c>
      <c r="AP643" t="s">
        <v>1525</v>
      </c>
      <c r="AQ643" t="s">
        <v>74</v>
      </c>
      <c r="AR643" t="s">
        <v>74</v>
      </c>
      <c r="AS643" t="s">
        <v>74</v>
      </c>
      <c r="AT643" t="s">
        <v>335</v>
      </c>
      <c r="AU643">
        <v>2011</v>
      </c>
      <c r="AV643">
        <v>92</v>
      </c>
      <c r="AW643">
        <v>11</v>
      </c>
      <c r="AX643" t="s">
        <v>74</v>
      </c>
      <c r="AY643" t="s">
        <v>74</v>
      </c>
      <c r="AZ643" t="s">
        <v>74</v>
      </c>
      <c r="BA643" t="s">
        <v>74</v>
      </c>
      <c r="BB643">
        <v>2085</v>
      </c>
      <c r="BC643">
        <v>2095</v>
      </c>
      <c r="BD643" t="s">
        <v>74</v>
      </c>
      <c r="BE643" t="s">
        <v>4805</v>
      </c>
      <c r="BF643" t="str">
        <f>HYPERLINK("http://dx.doi.org/10.1890/11-0395.1","http://dx.doi.org/10.1890/11-0395.1")</f>
        <v>http://dx.doi.org/10.1890/11-0395.1</v>
      </c>
      <c r="BG643" t="s">
        <v>74</v>
      </c>
      <c r="BH643" t="s">
        <v>74</v>
      </c>
      <c r="BI643" t="s">
        <v>74</v>
      </c>
      <c r="BJ643" t="s">
        <v>74</v>
      </c>
      <c r="BK643" t="s">
        <v>74</v>
      </c>
      <c r="BL643" t="s">
        <v>74</v>
      </c>
      <c r="BM643" t="s">
        <v>74</v>
      </c>
      <c r="BN643">
        <v>22164833</v>
      </c>
      <c r="BO643" t="s">
        <v>74</v>
      </c>
      <c r="BP643" t="s">
        <v>74</v>
      </c>
      <c r="BQ643" t="s">
        <v>74</v>
      </c>
      <c r="BR643" t="s">
        <v>74</v>
      </c>
      <c r="BS643" t="s">
        <v>4806</v>
      </c>
      <c r="BT643" t="str">
        <f>HYPERLINK("https%3A%2F%2Fwww.webofscience.com%2Fwos%2Fwoscc%2Ffull-record%2FWOS:000296426000010","View Full Record in Web of Science")</f>
        <v>View Full Record in Web of Science</v>
      </c>
    </row>
    <row r="644" spans="1:72" x14ac:dyDescent="0.2">
      <c r="A644" t="s">
        <v>72</v>
      </c>
      <c r="B644" t="s">
        <v>4807</v>
      </c>
      <c r="C644" t="s">
        <v>74</v>
      </c>
      <c r="D644" t="s">
        <v>74</v>
      </c>
      <c r="E644" t="s">
        <v>74</v>
      </c>
      <c r="F644" t="s">
        <v>4808</v>
      </c>
      <c r="G644" t="s">
        <v>74</v>
      </c>
      <c r="H644" t="s">
        <v>74</v>
      </c>
      <c r="I644" t="s">
        <v>4809</v>
      </c>
      <c r="J644" t="s">
        <v>4810</v>
      </c>
      <c r="K644" t="s">
        <v>74</v>
      </c>
      <c r="L644" t="s">
        <v>74</v>
      </c>
      <c r="M644" t="s">
        <v>74</v>
      </c>
      <c r="N644" t="s">
        <v>74</v>
      </c>
      <c r="O644" t="s">
        <v>74</v>
      </c>
      <c r="P644" t="s">
        <v>74</v>
      </c>
      <c r="Q644" t="s">
        <v>74</v>
      </c>
      <c r="R644" t="s">
        <v>74</v>
      </c>
      <c r="S644" t="s">
        <v>74</v>
      </c>
      <c r="T644" t="s">
        <v>74</v>
      </c>
      <c r="U644" t="s">
        <v>74</v>
      </c>
      <c r="V644" t="s">
        <v>74</v>
      </c>
      <c r="W644" t="s">
        <v>74</v>
      </c>
      <c r="X644" t="s">
        <v>74</v>
      </c>
      <c r="Y644" t="s">
        <v>74</v>
      </c>
      <c r="Z644" t="s">
        <v>74</v>
      </c>
      <c r="AA644" t="s">
        <v>6771</v>
      </c>
      <c r="AB644" t="s">
        <v>6772</v>
      </c>
      <c r="AC644" t="s">
        <v>74</v>
      </c>
      <c r="AD644" t="s">
        <v>74</v>
      </c>
      <c r="AE644" t="s">
        <v>74</v>
      </c>
      <c r="AF644" t="s">
        <v>74</v>
      </c>
      <c r="AG644" t="s">
        <v>74</v>
      </c>
      <c r="AH644" t="s">
        <v>74</v>
      </c>
      <c r="AI644" t="s">
        <v>74</v>
      </c>
      <c r="AJ644" t="s">
        <v>74</v>
      </c>
      <c r="AK644" t="s">
        <v>74</v>
      </c>
      <c r="AL644" t="s">
        <v>74</v>
      </c>
      <c r="AM644" t="s">
        <v>74</v>
      </c>
      <c r="AN644" t="s">
        <v>74</v>
      </c>
      <c r="AO644" t="s">
        <v>4811</v>
      </c>
      <c r="AP644" t="s">
        <v>74</v>
      </c>
      <c r="AQ644" t="s">
        <v>74</v>
      </c>
      <c r="AR644" t="s">
        <v>74</v>
      </c>
      <c r="AS644" t="s">
        <v>74</v>
      </c>
      <c r="AT644" t="s">
        <v>538</v>
      </c>
      <c r="AU644">
        <v>2011</v>
      </c>
      <c r="AV644">
        <v>8</v>
      </c>
      <c r="AW644" t="s">
        <v>74</v>
      </c>
      <c r="AX644" t="s">
        <v>74</v>
      </c>
      <c r="AY644" t="s">
        <v>74</v>
      </c>
      <c r="AZ644" t="s">
        <v>74</v>
      </c>
      <c r="BA644" t="s">
        <v>74</v>
      </c>
      <c r="BB644" t="s">
        <v>74</v>
      </c>
      <c r="BC644" t="s">
        <v>74</v>
      </c>
      <c r="BD644">
        <v>22</v>
      </c>
      <c r="BE644" t="s">
        <v>4812</v>
      </c>
      <c r="BF644" t="str">
        <f>HYPERLINK("http://dx.doi.org/10.1186/1742-9994-8-22","http://dx.doi.org/10.1186/1742-9994-8-22")</f>
        <v>http://dx.doi.org/10.1186/1742-9994-8-22</v>
      </c>
      <c r="BG644" t="s">
        <v>74</v>
      </c>
      <c r="BH644" t="s">
        <v>74</v>
      </c>
      <c r="BI644" t="s">
        <v>74</v>
      </c>
      <c r="BJ644" t="s">
        <v>74</v>
      </c>
      <c r="BK644" t="s">
        <v>74</v>
      </c>
      <c r="BL644" t="s">
        <v>74</v>
      </c>
      <c r="BM644" t="s">
        <v>74</v>
      </c>
      <c r="BN644">
        <v>21933388</v>
      </c>
      <c r="BO644" t="s">
        <v>74</v>
      </c>
      <c r="BP644" t="s">
        <v>74</v>
      </c>
      <c r="BQ644" t="s">
        <v>74</v>
      </c>
      <c r="BR644" t="s">
        <v>74</v>
      </c>
      <c r="BS644" t="s">
        <v>4813</v>
      </c>
      <c r="BT644" t="str">
        <f>HYPERLINK("https%3A%2F%2Fwww.webofscience.com%2Fwos%2Fwoscc%2Ffull-record%2FWOS:000295470000001","View Full Record in Web of Science")</f>
        <v>View Full Record in Web of Science</v>
      </c>
    </row>
    <row r="645" spans="1:72" x14ac:dyDescent="0.2">
      <c r="A645" t="s">
        <v>72</v>
      </c>
      <c r="B645" t="s">
        <v>4814</v>
      </c>
      <c r="C645" t="s">
        <v>74</v>
      </c>
      <c r="D645" t="s">
        <v>74</v>
      </c>
      <c r="E645" t="s">
        <v>74</v>
      </c>
      <c r="F645" t="s">
        <v>4815</v>
      </c>
      <c r="G645" t="s">
        <v>74</v>
      </c>
      <c r="H645" t="s">
        <v>74</v>
      </c>
      <c r="I645" t="s">
        <v>4816</v>
      </c>
      <c r="J645" t="s">
        <v>360</v>
      </c>
      <c r="K645" t="s">
        <v>74</v>
      </c>
      <c r="L645" t="s">
        <v>74</v>
      </c>
      <c r="M645" t="s">
        <v>74</v>
      </c>
      <c r="N645" t="s">
        <v>74</v>
      </c>
      <c r="O645" t="s">
        <v>74</v>
      </c>
      <c r="P645" t="s">
        <v>74</v>
      </c>
      <c r="Q645" t="s">
        <v>74</v>
      </c>
      <c r="R645" t="s">
        <v>74</v>
      </c>
      <c r="S645" t="s">
        <v>74</v>
      </c>
      <c r="T645" t="s">
        <v>74</v>
      </c>
      <c r="U645" t="s">
        <v>74</v>
      </c>
      <c r="V645" t="s">
        <v>74</v>
      </c>
      <c r="W645" t="s">
        <v>74</v>
      </c>
      <c r="X645" t="s">
        <v>74</v>
      </c>
      <c r="Y645" t="s">
        <v>74</v>
      </c>
      <c r="Z645" t="s">
        <v>74</v>
      </c>
      <c r="AA645" t="s">
        <v>4817</v>
      </c>
      <c r="AB645" t="s">
        <v>4818</v>
      </c>
      <c r="AC645" t="s">
        <v>74</v>
      </c>
      <c r="AD645" t="s">
        <v>74</v>
      </c>
      <c r="AE645" t="s">
        <v>74</v>
      </c>
      <c r="AF645" t="s">
        <v>74</v>
      </c>
      <c r="AG645" t="s">
        <v>74</v>
      </c>
      <c r="AH645" t="s">
        <v>74</v>
      </c>
      <c r="AI645" t="s">
        <v>74</v>
      </c>
      <c r="AJ645" t="s">
        <v>74</v>
      </c>
      <c r="AK645" t="s">
        <v>74</v>
      </c>
      <c r="AL645" t="s">
        <v>74</v>
      </c>
      <c r="AM645" t="s">
        <v>74</v>
      </c>
      <c r="AN645" t="s">
        <v>74</v>
      </c>
      <c r="AO645" t="s">
        <v>361</v>
      </c>
      <c r="AP645" t="s">
        <v>362</v>
      </c>
      <c r="AQ645" t="s">
        <v>74</v>
      </c>
      <c r="AR645" t="s">
        <v>74</v>
      </c>
      <c r="AS645" t="s">
        <v>74</v>
      </c>
      <c r="AT645" t="s">
        <v>4819</v>
      </c>
      <c r="AU645">
        <v>2011</v>
      </c>
      <c r="AV645">
        <v>278</v>
      </c>
      <c r="AW645">
        <v>1718</v>
      </c>
      <c r="AX645" t="s">
        <v>74</v>
      </c>
      <c r="AY645" t="s">
        <v>74</v>
      </c>
      <c r="AZ645" t="s">
        <v>74</v>
      </c>
      <c r="BA645" t="s">
        <v>74</v>
      </c>
      <c r="BB645">
        <v>2628</v>
      </c>
      <c r="BC645">
        <v>2637</v>
      </c>
      <c r="BD645" t="s">
        <v>74</v>
      </c>
      <c r="BE645" t="s">
        <v>4820</v>
      </c>
      <c r="BF645" t="str">
        <f>HYPERLINK("http://dx.doi.org/10.1098/rspb.2010.2634","http://dx.doi.org/10.1098/rspb.2010.2634")</f>
        <v>http://dx.doi.org/10.1098/rspb.2010.2634</v>
      </c>
      <c r="BG645" t="s">
        <v>74</v>
      </c>
      <c r="BH645" t="s">
        <v>74</v>
      </c>
      <c r="BI645" t="s">
        <v>74</v>
      </c>
      <c r="BJ645" t="s">
        <v>74</v>
      </c>
      <c r="BK645" t="s">
        <v>74</v>
      </c>
      <c r="BL645" t="s">
        <v>74</v>
      </c>
      <c r="BM645" t="s">
        <v>74</v>
      </c>
      <c r="BN645">
        <v>21270045</v>
      </c>
      <c r="BO645" t="s">
        <v>74</v>
      </c>
      <c r="BP645" t="s">
        <v>74</v>
      </c>
      <c r="BQ645" t="s">
        <v>74</v>
      </c>
      <c r="BR645" t="s">
        <v>74</v>
      </c>
      <c r="BS645" t="s">
        <v>4821</v>
      </c>
      <c r="BT645" t="str">
        <f>HYPERLINK("https%3A%2F%2Fwww.webofscience.com%2Fwos%2Fwoscc%2Ffull-record%2FWOS:000293142200011","View Full Record in Web of Science")</f>
        <v>View Full Record in Web of Science</v>
      </c>
    </row>
    <row r="646" spans="1:72" x14ac:dyDescent="0.2">
      <c r="A646" t="s">
        <v>72</v>
      </c>
      <c r="B646" t="s">
        <v>4822</v>
      </c>
      <c r="C646" t="s">
        <v>74</v>
      </c>
      <c r="D646" t="s">
        <v>74</v>
      </c>
      <c r="E646" t="s">
        <v>74</v>
      </c>
      <c r="F646" t="s">
        <v>4823</v>
      </c>
      <c r="G646" t="s">
        <v>74</v>
      </c>
      <c r="H646" t="s">
        <v>74</v>
      </c>
      <c r="I646" t="s">
        <v>4824</v>
      </c>
      <c r="J646" t="s">
        <v>124</v>
      </c>
      <c r="K646" t="s">
        <v>74</v>
      </c>
      <c r="L646" t="s">
        <v>74</v>
      </c>
      <c r="M646" t="s">
        <v>74</v>
      </c>
      <c r="N646" t="s">
        <v>74</v>
      </c>
      <c r="O646" t="s">
        <v>74</v>
      </c>
      <c r="P646" t="s">
        <v>74</v>
      </c>
      <c r="Q646" t="s">
        <v>74</v>
      </c>
      <c r="R646" t="s">
        <v>74</v>
      </c>
      <c r="S646" t="s">
        <v>74</v>
      </c>
      <c r="T646" t="s">
        <v>74</v>
      </c>
      <c r="U646" t="s">
        <v>74</v>
      </c>
      <c r="V646" t="s">
        <v>74</v>
      </c>
      <c r="W646" t="s">
        <v>74</v>
      </c>
      <c r="X646" t="s">
        <v>74</v>
      </c>
      <c r="Y646" t="s">
        <v>74</v>
      </c>
      <c r="Z646" t="s">
        <v>74</v>
      </c>
      <c r="AA646" t="s">
        <v>7128</v>
      </c>
      <c r="AB646" t="s">
        <v>7129</v>
      </c>
      <c r="AC646" t="s">
        <v>74</v>
      </c>
      <c r="AD646" t="s">
        <v>74</v>
      </c>
      <c r="AE646" t="s">
        <v>74</v>
      </c>
      <c r="AF646" t="s">
        <v>74</v>
      </c>
      <c r="AG646" t="s">
        <v>74</v>
      </c>
      <c r="AH646" t="s">
        <v>74</v>
      </c>
      <c r="AI646" t="s">
        <v>74</v>
      </c>
      <c r="AJ646" t="s">
        <v>74</v>
      </c>
      <c r="AK646" t="s">
        <v>74</v>
      </c>
      <c r="AL646" t="s">
        <v>74</v>
      </c>
      <c r="AM646" t="s">
        <v>74</v>
      </c>
      <c r="AN646" t="s">
        <v>74</v>
      </c>
      <c r="AO646" t="s">
        <v>127</v>
      </c>
      <c r="AP646" t="s">
        <v>128</v>
      </c>
      <c r="AQ646" t="s">
        <v>74</v>
      </c>
      <c r="AR646" t="s">
        <v>74</v>
      </c>
      <c r="AS646" t="s">
        <v>74</v>
      </c>
      <c r="AT646" t="s">
        <v>451</v>
      </c>
      <c r="AU646">
        <v>2011</v>
      </c>
      <c r="AV646">
        <v>673</v>
      </c>
      <c r="AW646">
        <v>1</v>
      </c>
      <c r="AX646" t="s">
        <v>74</v>
      </c>
      <c r="AY646" t="s">
        <v>74</v>
      </c>
      <c r="AZ646" t="s">
        <v>74</v>
      </c>
      <c r="BA646" t="s">
        <v>74</v>
      </c>
      <c r="BB646">
        <v>259</v>
      </c>
      <c r="BC646">
        <v>271</v>
      </c>
      <c r="BD646" t="s">
        <v>74</v>
      </c>
      <c r="BE646" t="s">
        <v>4825</v>
      </c>
      <c r="BF646" t="str">
        <f>HYPERLINK("http://dx.doi.org/10.1007/s10750-011-0786-1","http://dx.doi.org/10.1007/s10750-011-0786-1")</f>
        <v>http://dx.doi.org/10.1007/s10750-011-0786-1</v>
      </c>
      <c r="BG646" t="s">
        <v>74</v>
      </c>
      <c r="BH646" t="s">
        <v>74</v>
      </c>
      <c r="BI646" t="s">
        <v>74</v>
      </c>
      <c r="BJ646" t="s">
        <v>74</v>
      </c>
      <c r="BK646" t="s">
        <v>74</v>
      </c>
      <c r="BL646" t="s">
        <v>74</v>
      </c>
      <c r="BM646" t="s">
        <v>74</v>
      </c>
      <c r="BN646" t="s">
        <v>74</v>
      </c>
      <c r="BO646" t="s">
        <v>74</v>
      </c>
      <c r="BP646" t="s">
        <v>74</v>
      </c>
      <c r="BQ646" t="s">
        <v>74</v>
      </c>
      <c r="BR646" t="s">
        <v>74</v>
      </c>
      <c r="BS646" t="s">
        <v>4826</v>
      </c>
      <c r="BT646" t="str">
        <f>HYPERLINK("https%3A%2F%2Fwww.webofscience.com%2Fwos%2Fwoscc%2Ffull-record%2FWOS:000293162400020","View Full Record in Web of Science")</f>
        <v>View Full Record in Web of Science</v>
      </c>
    </row>
    <row r="647" spans="1:72" x14ac:dyDescent="0.2">
      <c r="A647" t="s">
        <v>72</v>
      </c>
      <c r="B647" t="s">
        <v>4827</v>
      </c>
      <c r="C647" t="s">
        <v>74</v>
      </c>
      <c r="D647" t="s">
        <v>74</v>
      </c>
      <c r="E647" t="s">
        <v>74</v>
      </c>
      <c r="F647" t="s">
        <v>4828</v>
      </c>
      <c r="G647" t="s">
        <v>74</v>
      </c>
      <c r="H647" t="s">
        <v>74</v>
      </c>
      <c r="I647" t="s">
        <v>4829</v>
      </c>
      <c r="J647" t="s">
        <v>124</v>
      </c>
      <c r="K647" t="s">
        <v>74</v>
      </c>
      <c r="L647" t="s">
        <v>74</v>
      </c>
      <c r="M647" t="s">
        <v>74</v>
      </c>
      <c r="N647" t="s">
        <v>74</v>
      </c>
      <c r="O647" t="s">
        <v>74</v>
      </c>
      <c r="P647" t="s">
        <v>74</v>
      </c>
      <c r="Q647" t="s">
        <v>74</v>
      </c>
      <c r="R647" t="s">
        <v>74</v>
      </c>
      <c r="S647" t="s">
        <v>74</v>
      </c>
      <c r="T647" t="s">
        <v>74</v>
      </c>
      <c r="U647" t="s">
        <v>74</v>
      </c>
      <c r="V647" t="s">
        <v>74</v>
      </c>
      <c r="W647" t="s">
        <v>74</v>
      </c>
      <c r="X647" t="s">
        <v>74</v>
      </c>
      <c r="Y647" t="s">
        <v>74</v>
      </c>
      <c r="Z647" t="s">
        <v>74</v>
      </c>
      <c r="AA647" t="s">
        <v>7130</v>
      </c>
      <c r="AB647" t="s">
        <v>7131</v>
      </c>
      <c r="AC647" t="s">
        <v>74</v>
      </c>
      <c r="AD647" t="s">
        <v>74</v>
      </c>
      <c r="AE647" t="s">
        <v>74</v>
      </c>
      <c r="AF647" t="s">
        <v>74</v>
      </c>
      <c r="AG647" t="s">
        <v>74</v>
      </c>
      <c r="AH647" t="s">
        <v>74</v>
      </c>
      <c r="AI647" t="s">
        <v>74</v>
      </c>
      <c r="AJ647" t="s">
        <v>74</v>
      </c>
      <c r="AK647" t="s">
        <v>74</v>
      </c>
      <c r="AL647" t="s">
        <v>74</v>
      </c>
      <c r="AM647" t="s">
        <v>74</v>
      </c>
      <c r="AN647" t="s">
        <v>74</v>
      </c>
      <c r="AO647" t="s">
        <v>127</v>
      </c>
      <c r="AP647" t="s">
        <v>128</v>
      </c>
      <c r="AQ647" t="s">
        <v>74</v>
      </c>
      <c r="AR647" t="s">
        <v>74</v>
      </c>
      <c r="AS647" t="s">
        <v>74</v>
      </c>
      <c r="AT647" t="s">
        <v>451</v>
      </c>
      <c r="AU647">
        <v>2011</v>
      </c>
      <c r="AV647">
        <v>673</v>
      </c>
      <c r="AW647">
        <v>1</v>
      </c>
      <c r="AX647" t="s">
        <v>74</v>
      </c>
      <c r="AY647" t="s">
        <v>74</v>
      </c>
      <c r="AZ647" t="s">
        <v>74</v>
      </c>
      <c r="BA647" t="s">
        <v>74</v>
      </c>
      <c r="BB647">
        <v>245</v>
      </c>
      <c r="BC647">
        <v>257</v>
      </c>
      <c r="BD647" t="s">
        <v>74</v>
      </c>
      <c r="BE647" t="s">
        <v>4830</v>
      </c>
      <c r="BF647" t="str">
        <f>HYPERLINK("http://dx.doi.org/10.1007/s10750-011-0784-3","http://dx.doi.org/10.1007/s10750-011-0784-3")</f>
        <v>http://dx.doi.org/10.1007/s10750-011-0784-3</v>
      </c>
      <c r="BG647" t="s">
        <v>74</v>
      </c>
      <c r="BH647" t="s">
        <v>74</v>
      </c>
      <c r="BI647" t="s">
        <v>74</v>
      </c>
      <c r="BJ647" t="s">
        <v>74</v>
      </c>
      <c r="BK647" t="s">
        <v>74</v>
      </c>
      <c r="BL647" t="s">
        <v>74</v>
      </c>
      <c r="BM647" t="s">
        <v>74</v>
      </c>
      <c r="BN647" t="s">
        <v>74</v>
      </c>
      <c r="BO647" t="s">
        <v>74</v>
      </c>
      <c r="BP647" t="s">
        <v>74</v>
      </c>
      <c r="BQ647" t="s">
        <v>74</v>
      </c>
      <c r="BR647" t="s">
        <v>74</v>
      </c>
      <c r="BS647" t="s">
        <v>4831</v>
      </c>
      <c r="BT647" t="str">
        <f>HYPERLINK("https%3A%2F%2Fwww.webofscience.com%2Fwos%2Fwoscc%2Ffull-record%2FWOS:000293162400019","View Full Record in Web of Science")</f>
        <v>View Full Record in Web of Science</v>
      </c>
    </row>
    <row r="648" spans="1:72" x14ac:dyDescent="0.2">
      <c r="A648" t="s">
        <v>72</v>
      </c>
      <c r="B648" t="s">
        <v>4832</v>
      </c>
      <c r="C648" t="s">
        <v>74</v>
      </c>
      <c r="D648" t="s">
        <v>74</v>
      </c>
      <c r="E648" t="s">
        <v>74</v>
      </c>
      <c r="F648" t="s">
        <v>4833</v>
      </c>
      <c r="G648" t="s">
        <v>74</v>
      </c>
      <c r="H648" t="s">
        <v>74</v>
      </c>
      <c r="I648" t="s">
        <v>4834</v>
      </c>
      <c r="J648" t="s">
        <v>423</v>
      </c>
      <c r="K648" t="s">
        <v>74</v>
      </c>
      <c r="L648" t="s">
        <v>74</v>
      </c>
      <c r="M648" t="s">
        <v>74</v>
      </c>
      <c r="N648" t="s">
        <v>74</v>
      </c>
      <c r="O648" t="s">
        <v>74</v>
      </c>
      <c r="P648" t="s">
        <v>74</v>
      </c>
      <c r="Q648" t="s">
        <v>74</v>
      </c>
      <c r="R648" t="s">
        <v>74</v>
      </c>
      <c r="S648" t="s">
        <v>74</v>
      </c>
      <c r="T648" t="s">
        <v>74</v>
      </c>
      <c r="U648" t="s">
        <v>74</v>
      </c>
      <c r="V648" t="s">
        <v>74</v>
      </c>
      <c r="W648" t="s">
        <v>74</v>
      </c>
      <c r="X648" t="s">
        <v>74</v>
      </c>
      <c r="Y648" t="s">
        <v>74</v>
      </c>
      <c r="Z648" t="s">
        <v>74</v>
      </c>
      <c r="AA648" t="s">
        <v>74</v>
      </c>
      <c r="AB648" t="s">
        <v>74</v>
      </c>
      <c r="AC648" t="s">
        <v>74</v>
      </c>
      <c r="AD648" t="s">
        <v>74</v>
      </c>
      <c r="AE648" t="s">
        <v>74</v>
      </c>
      <c r="AF648" t="s">
        <v>74</v>
      </c>
      <c r="AG648" t="s">
        <v>74</v>
      </c>
      <c r="AH648" t="s">
        <v>74</v>
      </c>
      <c r="AI648" t="s">
        <v>74</v>
      </c>
      <c r="AJ648" t="s">
        <v>74</v>
      </c>
      <c r="AK648" t="s">
        <v>74</v>
      </c>
      <c r="AL648" t="s">
        <v>74</v>
      </c>
      <c r="AM648" t="s">
        <v>74</v>
      </c>
      <c r="AN648" t="s">
        <v>74</v>
      </c>
      <c r="AO648" t="s">
        <v>425</v>
      </c>
      <c r="AP648" t="s">
        <v>74</v>
      </c>
      <c r="AQ648" t="s">
        <v>74</v>
      </c>
      <c r="AR648" t="s">
        <v>74</v>
      </c>
      <c r="AS648" t="s">
        <v>74</v>
      </c>
      <c r="AT648" t="s">
        <v>451</v>
      </c>
      <c r="AU648">
        <v>2011</v>
      </c>
      <c r="AV648">
        <v>56</v>
      </c>
      <c r="AW648">
        <v>9</v>
      </c>
      <c r="AX648" t="s">
        <v>74</v>
      </c>
      <c r="AY648" t="s">
        <v>74</v>
      </c>
      <c r="AZ648" t="s">
        <v>74</v>
      </c>
      <c r="BA648" t="s">
        <v>74</v>
      </c>
      <c r="BB648">
        <v>1825</v>
      </c>
      <c r="BC648">
        <v>1836</v>
      </c>
      <c r="BD648" t="s">
        <v>74</v>
      </c>
      <c r="BE648" t="s">
        <v>4835</v>
      </c>
      <c r="BF648" t="str">
        <f>HYPERLINK("http://dx.doi.org/10.1111/j.1365-2427.2011.02622.x","http://dx.doi.org/10.1111/j.1365-2427.2011.02622.x")</f>
        <v>http://dx.doi.org/10.1111/j.1365-2427.2011.02622.x</v>
      </c>
      <c r="BG648" t="s">
        <v>74</v>
      </c>
      <c r="BH648" t="s">
        <v>74</v>
      </c>
      <c r="BI648" t="s">
        <v>74</v>
      </c>
      <c r="BJ648" t="s">
        <v>74</v>
      </c>
      <c r="BK648" t="s">
        <v>74</v>
      </c>
      <c r="BL648" t="s">
        <v>74</v>
      </c>
      <c r="BM648" t="s">
        <v>74</v>
      </c>
      <c r="BN648" t="s">
        <v>74</v>
      </c>
      <c r="BO648" t="s">
        <v>74</v>
      </c>
      <c r="BP648" t="s">
        <v>74</v>
      </c>
      <c r="BQ648" t="s">
        <v>74</v>
      </c>
      <c r="BR648" t="s">
        <v>74</v>
      </c>
      <c r="BS648" t="s">
        <v>4836</v>
      </c>
      <c r="BT648" t="str">
        <f>HYPERLINK("https%3A%2F%2Fwww.webofscience.com%2Fwos%2Fwoscc%2Ffull-record%2FWOS:000293523200010","View Full Record in Web of Science")</f>
        <v>View Full Record in Web of Science</v>
      </c>
    </row>
    <row r="649" spans="1:72" x14ac:dyDescent="0.2">
      <c r="A649" t="s">
        <v>72</v>
      </c>
      <c r="B649" t="s">
        <v>4837</v>
      </c>
      <c r="C649" t="s">
        <v>74</v>
      </c>
      <c r="D649" t="s">
        <v>74</v>
      </c>
      <c r="E649" t="s">
        <v>74</v>
      </c>
      <c r="F649" t="s">
        <v>4838</v>
      </c>
      <c r="G649" t="s">
        <v>74</v>
      </c>
      <c r="H649" t="s">
        <v>74</v>
      </c>
      <c r="I649" t="s">
        <v>4839</v>
      </c>
      <c r="J649" t="s">
        <v>423</v>
      </c>
      <c r="K649" t="s">
        <v>74</v>
      </c>
      <c r="L649" t="s">
        <v>74</v>
      </c>
      <c r="M649" t="s">
        <v>74</v>
      </c>
      <c r="N649" t="s">
        <v>74</v>
      </c>
      <c r="O649" t="s">
        <v>74</v>
      </c>
      <c r="P649" t="s">
        <v>74</v>
      </c>
      <c r="Q649" t="s">
        <v>74</v>
      </c>
      <c r="R649" t="s">
        <v>74</v>
      </c>
      <c r="S649" t="s">
        <v>74</v>
      </c>
      <c r="T649" t="s">
        <v>74</v>
      </c>
      <c r="U649" t="s">
        <v>74</v>
      </c>
      <c r="V649" t="s">
        <v>74</v>
      </c>
      <c r="W649" t="s">
        <v>74</v>
      </c>
      <c r="X649" t="s">
        <v>74</v>
      </c>
      <c r="Y649" t="s">
        <v>74</v>
      </c>
      <c r="Z649" t="s">
        <v>74</v>
      </c>
      <c r="AA649" t="s">
        <v>74</v>
      </c>
      <c r="AB649" t="s">
        <v>4840</v>
      </c>
      <c r="AC649" t="s">
        <v>74</v>
      </c>
      <c r="AD649" t="s">
        <v>74</v>
      </c>
      <c r="AE649" t="s">
        <v>74</v>
      </c>
      <c r="AF649" t="s">
        <v>74</v>
      </c>
      <c r="AG649" t="s">
        <v>74</v>
      </c>
      <c r="AH649" t="s">
        <v>74</v>
      </c>
      <c r="AI649" t="s">
        <v>74</v>
      </c>
      <c r="AJ649" t="s">
        <v>74</v>
      </c>
      <c r="AK649" t="s">
        <v>74</v>
      </c>
      <c r="AL649" t="s">
        <v>74</v>
      </c>
      <c r="AM649" t="s">
        <v>74</v>
      </c>
      <c r="AN649" t="s">
        <v>74</v>
      </c>
      <c r="AO649" t="s">
        <v>425</v>
      </c>
      <c r="AP649" t="s">
        <v>426</v>
      </c>
      <c r="AQ649" t="s">
        <v>74</v>
      </c>
      <c r="AR649" t="s">
        <v>74</v>
      </c>
      <c r="AS649" t="s">
        <v>74</v>
      </c>
      <c r="AT649" t="s">
        <v>520</v>
      </c>
      <c r="AU649">
        <v>2011</v>
      </c>
      <c r="AV649">
        <v>56</v>
      </c>
      <c r="AW649">
        <v>8</v>
      </c>
      <c r="AX649" t="s">
        <v>74</v>
      </c>
      <c r="AY649" t="s">
        <v>74</v>
      </c>
      <c r="AZ649" t="s">
        <v>74</v>
      </c>
      <c r="BA649" t="s">
        <v>74</v>
      </c>
      <c r="BB649">
        <v>1519</v>
      </c>
      <c r="BC649">
        <v>1530</v>
      </c>
      <c r="BD649" t="s">
        <v>74</v>
      </c>
      <c r="BE649" t="s">
        <v>4841</v>
      </c>
      <c r="BF649" t="str">
        <f>HYPERLINK("http://dx.doi.org/10.1111/j.1365-2427.2011.02590.x","http://dx.doi.org/10.1111/j.1365-2427.2011.02590.x")</f>
        <v>http://dx.doi.org/10.1111/j.1365-2427.2011.02590.x</v>
      </c>
      <c r="BG649" t="s">
        <v>74</v>
      </c>
      <c r="BH649" t="s">
        <v>74</v>
      </c>
      <c r="BI649" t="s">
        <v>74</v>
      </c>
      <c r="BJ649" t="s">
        <v>74</v>
      </c>
      <c r="BK649" t="s">
        <v>74</v>
      </c>
      <c r="BL649" t="s">
        <v>74</v>
      </c>
      <c r="BM649" t="s">
        <v>74</v>
      </c>
      <c r="BN649" t="s">
        <v>74</v>
      </c>
      <c r="BO649" t="s">
        <v>74</v>
      </c>
      <c r="BP649" t="s">
        <v>74</v>
      </c>
      <c r="BQ649" t="s">
        <v>74</v>
      </c>
      <c r="BR649" t="s">
        <v>74</v>
      </c>
      <c r="BS649" t="s">
        <v>4842</v>
      </c>
      <c r="BT649" t="str">
        <f>HYPERLINK("https%3A%2F%2Fwww.webofscience.com%2Fwos%2Fwoscc%2Ffull-record%2FWOS:000292446700005","View Full Record in Web of Science")</f>
        <v>View Full Record in Web of Science</v>
      </c>
    </row>
    <row r="650" spans="1:72" x14ac:dyDescent="0.2">
      <c r="A650" t="s">
        <v>72</v>
      </c>
      <c r="B650" t="s">
        <v>4843</v>
      </c>
      <c r="C650" t="s">
        <v>74</v>
      </c>
      <c r="D650" t="s">
        <v>74</v>
      </c>
      <c r="E650" t="s">
        <v>74</v>
      </c>
      <c r="F650" t="s">
        <v>4844</v>
      </c>
      <c r="G650" t="s">
        <v>74</v>
      </c>
      <c r="H650" t="s">
        <v>74</v>
      </c>
      <c r="I650" t="s">
        <v>4845</v>
      </c>
      <c r="J650" t="s">
        <v>423</v>
      </c>
      <c r="K650" t="s">
        <v>74</v>
      </c>
      <c r="L650" t="s">
        <v>74</v>
      </c>
      <c r="M650" t="s">
        <v>74</v>
      </c>
      <c r="N650" t="s">
        <v>74</v>
      </c>
      <c r="O650" t="s">
        <v>74</v>
      </c>
      <c r="P650" t="s">
        <v>74</v>
      </c>
      <c r="Q650" t="s">
        <v>74</v>
      </c>
      <c r="R650" t="s">
        <v>74</v>
      </c>
      <c r="S650" t="s">
        <v>74</v>
      </c>
      <c r="T650" t="s">
        <v>74</v>
      </c>
      <c r="U650" t="s">
        <v>74</v>
      </c>
      <c r="V650" t="s">
        <v>74</v>
      </c>
      <c r="W650" t="s">
        <v>74</v>
      </c>
      <c r="X650" t="s">
        <v>74</v>
      </c>
      <c r="Y650" t="s">
        <v>74</v>
      </c>
      <c r="Z650" t="s">
        <v>74</v>
      </c>
      <c r="AA650" t="s">
        <v>4846</v>
      </c>
      <c r="AB650" t="s">
        <v>4403</v>
      </c>
      <c r="AC650" t="s">
        <v>74</v>
      </c>
      <c r="AD650" t="s">
        <v>74</v>
      </c>
      <c r="AE650" t="s">
        <v>74</v>
      </c>
      <c r="AF650" t="s">
        <v>74</v>
      </c>
      <c r="AG650" t="s">
        <v>74</v>
      </c>
      <c r="AH650" t="s">
        <v>74</v>
      </c>
      <c r="AI650" t="s">
        <v>74</v>
      </c>
      <c r="AJ650" t="s">
        <v>74</v>
      </c>
      <c r="AK650" t="s">
        <v>74</v>
      </c>
      <c r="AL650" t="s">
        <v>74</v>
      </c>
      <c r="AM650" t="s">
        <v>74</v>
      </c>
      <c r="AN650" t="s">
        <v>74</v>
      </c>
      <c r="AO650" t="s">
        <v>425</v>
      </c>
      <c r="AP650" t="s">
        <v>426</v>
      </c>
      <c r="AQ650" t="s">
        <v>74</v>
      </c>
      <c r="AR650" t="s">
        <v>74</v>
      </c>
      <c r="AS650" t="s">
        <v>74</v>
      </c>
      <c r="AT650" t="s">
        <v>520</v>
      </c>
      <c r="AU650">
        <v>2011</v>
      </c>
      <c r="AV650">
        <v>56</v>
      </c>
      <c r="AW650">
        <v>8</v>
      </c>
      <c r="AX650" t="s">
        <v>74</v>
      </c>
      <c r="AY650" t="s">
        <v>74</v>
      </c>
      <c r="AZ650" t="s">
        <v>74</v>
      </c>
      <c r="BA650" t="s">
        <v>74</v>
      </c>
      <c r="BB650">
        <v>1606</v>
      </c>
      <c r="BC650">
        <v>1619</v>
      </c>
      <c r="BD650" t="s">
        <v>74</v>
      </c>
      <c r="BE650" t="s">
        <v>4847</v>
      </c>
      <c r="BF650" t="str">
        <f>HYPERLINK("http://dx.doi.org/10.1111/j.1365-2427.2011.02600.x","http://dx.doi.org/10.1111/j.1365-2427.2011.02600.x")</f>
        <v>http://dx.doi.org/10.1111/j.1365-2427.2011.02600.x</v>
      </c>
      <c r="BG650" t="s">
        <v>74</v>
      </c>
      <c r="BH650" t="s">
        <v>74</v>
      </c>
      <c r="BI650" t="s">
        <v>74</v>
      </c>
      <c r="BJ650" t="s">
        <v>74</v>
      </c>
      <c r="BK650" t="s">
        <v>74</v>
      </c>
      <c r="BL650" t="s">
        <v>74</v>
      </c>
      <c r="BM650" t="s">
        <v>74</v>
      </c>
      <c r="BN650" t="s">
        <v>74</v>
      </c>
      <c r="BO650" t="s">
        <v>74</v>
      </c>
      <c r="BP650" t="s">
        <v>74</v>
      </c>
      <c r="BQ650" t="s">
        <v>74</v>
      </c>
      <c r="BR650" t="s">
        <v>74</v>
      </c>
      <c r="BS650" t="s">
        <v>4848</v>
      </c>
      <c r="BT650" t="str">
        <f>HYPERLINK("https%3A%2F%2Fwww.webofscience.com%2Fwos%2Fwoscc%2Ffull-record%2FWOS:000292446700012","View Full Record in Web of Science")</f>
        <v>View Full Record in Web of Science</v>
      </c>
    </row>
    <row r="651" spans="1:72" x14ac:dyDescent="0.2">
      <c r="A651" t="s">
        <v>72</v>
      </c>
      <c r="B651" t="s">
        <v>4849</v>
      </c>
      <c r="C651" t="s">
        <v>74</v>
      </c>
      <c r="D651" t="s">
        <v>74</v>
      </c>
      <c r="E651" t="s">
        <v>74</v>
      </c>
      <c r="F651" t="s">
        <v>4850</v>
      </c>
      <c r="G651" t="s">
        <v>74</v>
      </c>
      <c r="H651" t="s">
        <v>74</v>
      </c>
      <c r="I651" t="s">
        <v>4851</v>
      </c>
      <c r="J651" t="s">
        <v>4852</v>
      </c>
      <c r="K651" t="s">
        <v>74</v>
      </c>
      <c r="L651" t="s">
        <v>74</v>
      </c>
      <c r="M651" t="s">
        <v>74</v>
      </c>
      <c r="N651" t="s">
        <v>74</v>
      </c>
      <c r="O651" t="s">
        <v>74</v>
      </c>
      <c r="P651" t="s">
        <v>74</v>
      </c>
      <c r="Q651" t="s">
        <v>74</v>
      </c>
      <c r="R651" t="s">
        <v>74</v>
      </c>
      <c r="S651" t="s">
        <v>74</v>
      </c>
      <c r="T651" t="s">
        <v>74</v>
      </c>
      <c r="U651" t="s">
        <v>74</v>
      </c>
      <c r="V651" t="s">
        <v>74</v>
      </c>
      <c r="W651" t="s">
        <v>74</v>
      </c>
      <c r="X651" t="s">
        <v>74</v>
      </c>
      <c r="Y651" t="s">
        <v>74</v>
      </c>
      <c r="Z651" t="s">
        <v>74</v>
      </c>
      <c r="AA651" t="s">
        <v>4853</v>
      </c>
      <c r="AB651" t="s">
        <v>4854</v>
      </c>
      <c r="AC651" t="s">
        <v>74</v>
      </c>
      <c r="AD651" t="s">
        <v>74</v>
      </c>
      <c r="AE651" t="s">
        <v>74</v>
      </c>
      <c r="AF651" t="s">
        <v>74</v>
      </c>
      <c r="AG651" t="s">
        <v>74</v>
      </c>
      <c r="AH651" t="s">
        <v>74</v>
      </c>
      <c r="AI651" t="s">
        <v>74</v>
      </c>
      <c r="AJ651" t="s">
        <v>74</v>
      </c>
      <c r="AK651" t="s">
        <v>74</v>
      </c>
      <c r="AL651" t="s">
        <v>74</v>
      </c>
      <c r="AM651" t="s">
        <v>74</v>
      </c>
      <c r="AN651" t="s">
        <v>74</v>
      </c>
      <c r="AO651" t="s">
        <v>4855</v>
      </c>
      <c r="AP651" t="s">
        <v>4856</v>
      </c>
      <c r="AQ651" t="s">
        <v>74</v>
      </c>
      <c r="AR651" t="s">
        <v>74</v>
      </c>
      <c r="AS651" t="s">
        <v>74</v>
      </c>
      <c r="AT651" t="s">
        <v>520</v>
      </c>
      <c r="AU651">
        <v>2011</v>
      </c>
      <c r="AV651">
        <v>91</v>
      </c>
      <c r="AW651">
        <v>4</v>
      </c>
      <c r="AX651" t="s">
        <v>74</v>
      </c>
      <c r="AY651" t="s">
        <v>74</v>
      </c>
      <c r="AZ651" t="s">
        <v>74</v>
      </c>
      <c r="BA651" t="s">
        <v>74</v>
      </c>
      <c r="BB651">
        <v>505</v>
      </c>
      <c r="BC651">
        <v>512</v>
      </c>
      <c r="BD651" t="s">
        <v>74</v>
      </c>
      <c r="BE651" t="s">
        <v>4857</v>
      </c>
      <c r="BF651" t="str">
        <f>HYPERLINK("http://dx.doi.org/10.1007/s10641-011-9808-0","http://dx.doi.org/10.1007/s10641-011-9808-0")</f>
        <v>http://dx.doi.org/10.1007/s10641-011-9808-0</v>
      </c>
      <c r="BG651" t="s">
        <v>74</v>
      </c>
      <c r="BH651" t="s">
        <v>74</v>
      </c>
      <c r="BI651" t="s">
        <v>74</v>
      </c>
      <c r="BJ651" t="s">
        <v>74</v>
      </c>
      <c r="BK651" t="s">
        <v>74</v>
      </c>
      <c r="BL651" t="s">
        <v>74</v>
      </c>
      <c r="BM651" t="s">
        <v>74</v>
      </c>
      <c r="BN651" t="s">
        <v>74</v>
      </c>
      <c r="BO651" t="s">
        <v>74</v>
      </c>
      <c r="BP651" t="s">
        <v>74</v>
      </c>
      <c r="BQ651" t="s">
        <v>74</v>
      </c>
      <c r="BR651" t="s">
        <v>74</v>
      </c>
      <c r="BS651" t="s">
        <v>4858</v>
      </c>
      <c r="BT651" t="str">
        <f>HYPERLINK("https%3A%2F%2Fwww.webofscience.com%2Fwos%2Fwoscc%2Ffull-record%2FWOS:000293297300012","View Full Record in Web of Science")</f>
        <v>View Full Record in Web of Science</v>
      </c>
    </row>
    <row r="652" spans="1:72" x14ac:dyDescent="0.2">
      <c r="A652" t="s">
        <v>72</v>
      </c>
      <c r="B652" t="s">
        <v>4859</v>
      </c>
      <c r="C652" t="s">
        <v>74</v>
      </c>
      <c r="D652" t="s">
        <v>74</v>
      </c>
      <c r="E652" t="s">
        <v>74</v>
      </c>
      <c r="F652" t="s">
        <v>4860</v>
      </c>
      <c r="G652" t="s">
        <v>74</v>
      </c>
      <c r="H652" t="s">
        <v>74</v>
      </c>
      <c r="I652" t="s">
        <v>4861</v>
      </c>
      <c r="J652" t="s">
        <v>973</v>
      </c>
      <c r="K652" t="s">
        <v>74</v>
      </c>
      <c r="L652" t="s">
        <v>74</v>
      </c>
      <c r="M652" t="s">
        <v>74</v>
      </c>
      <c r="N652" t="s">
        <v>74</v>
      </c>
      <c r="O652" t="s">
        <v>74</v>
      </c>
      <c r="P652" t="s">
        <v>74</v>
      </c>
      <c r="Q652" t="s">
        <v>74</v>
      </c>
      <c r="R652" t="s">
        <v>74</v>
      </c>
      <c r="S652" t="s">
        <v>74</v>
      </c>
      <c r="T652" t="s">
        <v>74</v>
      </c>
      <c r="U652" t="s">
        <v>74</v>
      </c>
      <c r="V652" t="s">
        <v>74</v>
      </c>
      <c r="W652" t="s">
        <v>74</v>
      </c>
      <c r="X652" t="s">
        <v>74</v>
      </c>
      <c r="Y652" t="s">
        <v>74</v>
      </c>
      <c r="Z652" t="s">
        <v>74</v>
      </c>
      <c r="AA652" t="s">
        <v>4862</v>
      </c>
      <c r="AB652" t="s">
        <v>4863</v>
      </c>
      <c r="AC652" t="s">
        <v>74</v>
      </c>
      <c r="AD652" t="s">
        <v>74</v>
      </c>
      <c r="AE652" t="s">
        <v>74</v>
      </c>
      <c r="AF652" t="s">
        <v>74</v>
      </c>
      <c r="AG652" t="s">
        <v>74</v>
      </c>
      <c r="AH652" t="s">
        <v>74</v>
      </c>
      <c r="AI652" t="s">
        <v>74</v>
      </c>
      <c r="AJ652" t="s">
        <v>74</v>
      </c>
      <c r="AK652" t="s">
        <v>74</v>
      </c>
      <c r="AL652" t="s">
        <v>74</v>
      </c>
      <c r="AM652" t="s">
        <v>74</v>
      </c>
      <c r="AN652" t="s">
        <v>74</v>
      </c>
      <c r="AO652" t="s">
        <v>974</v>
      </c>
      <c r="AP652" t="s">
        <v>975</v>
      </c>
      <c r="AQ652" t="s">
        <v>74</v>
      </c>
      <c r="AR652" t="s">
        <v>74</v>
      </c>
      <c r="AS652" t="s">
        <v>74</v>
      </c>
      <c r="AT652" t="s">
        <v>4864</v>
      </c>
      <c r="AU652">
        <v>2011</v>
      </c>
      <c r="AV652">
        <v>94</v>
      </c>
      <c r="AW652">
        <v>1</v>
      </c>
      <c r="AX652" t="s">
        <v>74</v>
      </c>
      <c r="AY652" t="s">
        <v>74</v>
      </c>
      <c r="AZ652" t="s">
        <v>74</v>
      </c>
      <c r="BA652" t="s">
        <v>74</v>
      </c>
      <c r="BB652">
        <v>111</v>
      </c>
      <c r="BC652">
        <v>121</v>
      </c>
      <c r="BD652" t="s">
        <v>74</v>
      </c>
      <c r="BE652" t="s">
        <v>4865</v>
      </c>
      <c r="BF652" t="str">
        <f>HYPERLINK("http://dx.doi.org/10.1016/j.ecss.2011.06.001","http://dx.doi.org/10.1016/j.ecss.2011.06.001")</f>
        <v>http://dx.doi.org/10.1016/j.ecss.2011.06.001</v>
      </c>
      <c r="BG652" t="s">
        <v>74</v>
      </c>
      <c r="BH652" t="s">
        <v>74</v>
      </c>
      <c r="BI652" t="s">
        <v>74</v>
      </c>
      <c r="BJ652" t="s">
        <v>74</v>
      </c>
      <c r="BK652" t="s">
        <v>74</v>
      </c>
      <c r="BL652" t="s">
        <v>74</v>
      </c>
      <c r="BM652" t="s">
        <v>74</v>
      </c>
      <c r="BN652" t="s">
        <v>74</v>
      </c>
      <c r="BO652" t="s">
        <v>74</v>
      </c>
      <c r="BP652" t="s">
        <v>74</v>
      </c>
      <c r="BQ652" t="s">
        <v>74</v>
      </c>
      <c r="BR652" t="s">
        <v>74</v>
      </c>
      <c r="BS652" t="s">
        <v>4866</v>
      </c>
      <c r="BT652" t="str">
        <f>HYPERLINK("https%3A%2F%2Fwww.webofscience.com%2Fwos%2Fwoscc%2Ffull-record%2FWOS:000294150400012","View Full Record in Web of Science")</f>
        <v>View Full Record in Web of Science</v>
      </c>
    </row>
    <row r="653" spans="1:72" x14ac:dyDescent="0.2">
      <c r="A653" t="s">
        <v>72</v>
      </c>
      <c r="B653" t="s">
        <v>4867</v>
      </c>
      <c r="C653" t="s">
        <v>74</v>
      </c>
      <c r="D653" t="s">
        <v>74</v>
      </c>
      <c r="E653" t="s">
        <v>74</v>
      </c>
      <c r="F653" t="s">
        <v>4868</v>
      </c>
      <c r="G653" t="s">
        <v>74</v>
      </c>
      <c r="H653" t="s">
        <v>74</v>
      </c>
      <c r="I653" t="s">
        <v>4869</v>
      </c>
      <c r="J653" t="s">
        <v>3983</v>
      </c>
      <c r="K653" t="s">
        <v>74</v>
      </c>
      <c r="L653" t="s">
        <v>74</v>
      </c>
      <c r="M653" t="s">
        <v>74</v>
      </c>
      <c r="N653" t="s">
        <v>74</v>
      </c>
      <c r="O653" t="s">
        <v>74</v>
      </c>
      <c r="P653" t="s">
        <v>74</v>
      </c>
      <c r="Q653" t="s">
        <v>74</v>
      </c>
      <c r="R653" t="s">
        <v>74</v>
      </c>
      <c r="S653" t="s">
        <v>74</v>
      </c>
      <c r="T653" t="s">
        <v>74</v>
      </c>
      <c r="U653" t="s">
        <v>74</v>
      </c>
      <c r="V653" t="s">
        <v>74</v>
      </c>
      <c r="W653" t="s">
        <v>74</v>
      </c>
      <c r="X653" t="s">
        <v>74</v>
      </c>
      <c r="Y653" t="s">
        <v>74</v>
      </c>
      <c r="Z653" t="s">
        <v>74</v>
      </c>
      <c r="AA653" t="s">
        <v>4870</v>
      </c>
      <c r="AB653" t="s">
        <v>4871</v>
      </c>
      <c r="AC653" t="s">
        <v>74</v>
      </c>
      <c r="AD653" t="s">
        <v>74</v>
      </c>
      <c r="AE653" t="s">
        <v>74</v>
      </c>
      <c r="AF653" t="s">
        <v>74</v>
      </c>
      <c r="AG653" t="s">
        <v>74</v>
      </c>
      <c r="AH653" t="s">
        <v>74</v>
      </c>
      <c r="AI653" t="s">
        <v>74</v>
      </c>
      <c r="AJ653" t="s">
        <v>74</v>
      </c>
      <c r="AK653" t="s">
        <v>74</v>
      </c>
      <c r="AL653" t="s">
        <v>74</v>
      </c>
      <c r="AM653" t="s">
        <v>74</v>
      </c>
      <c r="AN653" t="s">
        <v>74</v>
      </c>
      <c r="AO653" t="s">
        <v>3985</v>
      </c>
      <c r="AP653" t="s">
        <v>3986</v>
      </c>
      <c r="AQ653" t="s">
        <v>74</v>
      </c>
      <c r="AR653" t="s">
        <v>74</v>
      </c>
      <c r="AS653" t="s">
        <v>74</v>
      </c>
      <c r="AT653" t="s">
        <v>624</v>
      </c>
      <c r="AU653">
        <v>2011</v>
      </c>
      <c r="AV653">
        <v>29</v>
      </c>
      <c r="AW653">
        <v>4</v>
      </c>
      <c r="AX653" t="s">
        <v>74</v>
      </c>
      <c r="AY653" t="s">
        <v>74</v>
      </c>
      <c r="AZ653" t="s">
        <v>74</v>
      </c>
      <c r="BA653" t="s">
        <v>74</v>
      </c>
      <c r="BB653">
        <v>892</v>
      </c>
      <c r="BC653">
        <v>897</v>
      </c>
      <c r="BD653" t="s">
        <v>74</v>
      </c>
      <c r="BE653" t="s">
        <v>4872</v>
      </c>
      <c r="BF653" t="str">
        <f>HYPERLINK("http://dx.doi.org/10.1007/s00343-011-0518-4","http://dx.doi.org/10.1007/s00343-011-0518-4")</f>
        <v>http://dx.doi.org/10.1007/s00343-011-0518-4</v>
      </c>
      <c r="BG653" t="s">
        <v>74</v>
      </c>
      <c r="BH653" t="s">
        <v>74</v>
      </c>
      <c r="BI653" t="s">
        <v>74</v>
      </c>
      <c r="BJ653" t="s">
        <v>74</v>
      </c>
      <c r="BK653" t="s">
        <v>74</v>
      </c>
      <c r="BL653" t="s">
        <v>74</v>
      </c>
      <c r="BM653" t="s">
        <v>74</v>
      </c>
      <c r="BN653" t="s">
        <v>74</v>
      </c>
      <c r="BO653" t="s">
        <v>74</v>
      </c>
      <c r="BP653" t="s">
        <v>74</v>
      </c>
      <c r="BQ653" t="s">
        <v>74</v>
      </c>
      <c r="BR653" t="s">
        <v>74</v>
      </c>
      <c r="BS653" t="s">
        <v>4873</v>
      </c>
      <c r="BT653" t="str">
        <f>HYPERLINK("https%3A%2F%2Fwww.webofscience.com%2Fwos%2Fwoscc%2Ffull-record%2FWOS:000292558700018","View Full Record in Web of Science")</f>
        <v>View Full Record in Web of Science</v>
      </c>
    </row>
    <row r="654" spans="1:72" x14ac:dyDescent="0.2">
      <c r="A654" t="s">
        <v>72</v>
      </c>
      <c r="B654" t="s">
        <v>4874</v>
      </c>
      <c r="C654" t="s">
        <v>74</v>
      </c>
      <c r="D654" t="s">
        <v>74</v>
      </c>
      <c r="E654" t="s">
        <v>74</v>
      </c>
      <c r="F654" t="s">
        <v>4875</v>
      </c>
      <c r="G654" t="s">
        <v>74</v>
      </c>
      <c r="H654" t="s">
        <v>74</v>
      </c>
      <c r="I654" t="s">
        <v>4876</v>
      </c>
      <c r="J654" t="s">
        <v>2759</v>
      </c>
      <c r="K654" t="s">
        <v>74</v>
      </c>
      <c r="L654" t="s">
        <v>74</v>
      </c>
      <c r="M654" t="s">
        <v>74</v>
      </c>
      <c r="N654" t="s">
        <v>74</v>
      </c>
      <c r="O654" t="s">
        <v>74</v>
      </c>
      <c r="P654" t="s">
        <v>74</v>
      </c>
      <c r="Q654" t="s">
        <v>74</v>
      </c>
      <c r="R654" t="s">
        <v>74</v>
      </c>
      <c r="S654" t="s">
        <v>74</v>
      </c>
      <c r="T654" t="s">
        <v>74</v>
      </c>
      <c r="U654" t="s">
        <v>74</v>
      </c>
      <c r="V654" t="s">
        <v>74</v>
      </c>
      <c r="W654" t="s">
        <v>74</v>
      </c>
      <c r="X654" t="s">
        <v>74</v>
      </c>
      <c r="Y654" t="s">
        <v>74</v>
      </c>
      <c r="Z654" t="s">
        <v>74</v>
      </c>
      <c r="AA654" t="s">
        <v>4877</v>
      </c>
      <c r="AB654" t="s">
        <v>4878</v>
      </c>
      <c r="AC654" t="s">
        <v>74</v>
      </c>
      <c r="AD654" t="s">
        <v>74</v>
      </c>
      <c r="AE654" t="s">
        <v>74</v>
      </c>
      <c r="AF654" t="s">
        <v>74</v>
      </c>
      <c r="AG654" t="s">
        <v>74</v>
      </c>
      <c r="AH654" t="s">
        <v>74</v>
      </c>
      <c r="AI654" t="s">
        <v>74</v>
      </c>
      <c r="AJ654" t="s">
        <v>74</v>
      </c>
      <c r="AK654" t="s">
        <v>74</v>
      </c>
      <c r="AL654" t="s">
        <v>74</v>
      </c>
      <c r="AM654" t="s">
        <v>74</v>
      </c>
      <c r="AN654" t="s">
        <v>74</v>
      </c>
      <c r="AO654" t="s">
        <v>2762</v>
      </c>
      <c r="AP654" t="s">
        <v>2763</v>
      </c>
      <c r="AQ654" t="s">
        <v>74</v>
      </c>
      <c r="AR654" t="s">
        <v>74</v>
      </c>
      <c r="AS654" t="s">
        <v>74</v>
      </c>
      <c r="AT654" t="s">
        <v>624</v>
      </c>
      <c r="AU654">
        <v>2011</v>
      </c>
      <c r="AV654">
        <v>80</v>
      </c>
      <c r="AW654">
        <v>4</v>
      </c>
      <c r="AX654" t="s">
        <v>74</v>
      </c>
      <c r="AY654" t="s">
        <v>74</v>
      </c>
      <c r="AZ654" t="s">
        <v>74</v>
      </c>
      <c r="BA654" t="s">
        <v>74</v>
      </c>
      <c r="BB654">
        <v>761</v>
      </c>
      <c r="BC654">
        <v>770</v>
      </c>
      <c r="BD654" t="s">
        <v>74</v>
      </c>
      <c r="BE654" t="s">
        <v>4879</v>
      </c>
      <c r="BF654" t="str">
        <f>HYPERLINK("http://dx.doi.org/10.1111/j.1365-2656.2011.01823.x","http://dx.doi.org/10.1111/j.1365-2656.2011.01823.x")</f>
        <v>http://dx.doi.org/10.1111/j.1365-2656.2011.01823.x</v>
      </c>
      <c r="BG654" t="s">
        <v>74</v>
      </c>
      <c r="BH654" t="s">
        <v>74</v>
      </c>
      <c r="BI654" t="s">
        <v>74</v>
      </c>
      <c r="BJ654" t="s">
        <v>74</v>
      </c>
      <c r="BK654" t="s">
        <v>74</v>
      </c>
      <c r="BL654" t="s">
        <v>74</v>
      </c>
      <c r="BM654" t="s">
        <v>74</v>
      </c>
      <c r="BN654">
        <v>21366565</v>
      </c>
      <c r="BO654" t="s">
        <v>74</v>
      </c>
      <c r="BP654" t="s">
        <v>74</v>
      </c>
      <c r="BQ654" t="s">
        <v>74</v>
      </c>
      <c r="BR654" t="s">
        <v>74</v>
      </c>
      <c r="BS654" t="s">
        <v>4880</v>
      </c>
      <c r="BT654" t="str">
        <f>HYPERLINK("https%3A%2F%2Fwww.webofscience.com%2Fwos%2Fwoscc%2Ffull-record%2FWOS:000291309500006","View Full Record in Web of Science")</f>
        <v>View Full Record in Web of Science</v>
      </c>
    </row>
    <row r="655" spans="1:72" x14ac:dyDescent="0.2">
      <c r="A655" t="s">
        <v>72</v>
      </c>
      <c r="B655" t="s">
        <v>4881</v>
      </c>
      <c r="C655" t="s">
        <v>74</v>
      </c>
      <c r="D655" t="s">
        <v>74</v>
      </c>
      <c r="E655" t="s">
        <v>74</v>
      </c>
      <c r="F655" t="s">
        <v>4882</v>
      </c>
      <c r="G655" t="s">
        <v>74</v>
      </c>
      <c r="H655" t="s">
        <v>74</v>
      </c>
      <c r="I655" t="s">
        <v>4883</v>
      </c>
      <c r="J655" t="s">
        <v>4884</v>
      </c>
      <c r="K655" t="s">
        <v>74</v>
      </c>
      <c r="L655" t="s">
        <v>74</v>
      </c>
      <c r="M655" t="s">
        <v>74</v>
      </c>
      <c r="N655" t="s">
        <v>74</v>
      </c>
      <c r="O655" t="s">
        <v>74</v>
      </c>
      <c r="P655" t="s">
        <v>74</v>
      </c>
      <c r="Q655" t="s">
        <v>74</v>
      </c>
      <c r="R655" t="s">
        <v>74</v>
      </c>
      <c r="S655" t="s">
        <v>74</v>
      </c>
      <c r="T655" t="s">
        <v>74</v>
      </c>
      <c r="U655" t="s">
        <v>74</v>
      </c>
      <c r="V655" t="s">
        <v>74</v>
      </c>
      <c r="W655" t="s">
        <v>74</v>
      </c>
      <c r="X655" t="s">
        <v>74</v>
      </c>
      <c r="Y655" t="s">
        <v>74</v>
      </c>
      <c r="Z655" t="s">
        <v>74</v>
      </c>
      <c r="AA655" t="s">
        <v>4885</v>
      </c>
      <c r="AB655" t="s">
        <v>4886</v>
      </c>
      <c r="AC655" t="s">
        <v>74</v>
      </c>
      <c r="AD655" t="s">
        <v>74</v>
      </c>
      <c r="AE655" t="s">
        <v>74</v>
      </c>
      <c r="AF655" t="s">
        <v>74</v>
      </c>
      <c r="AG655" t="s">
        <v>74</v>
      </c>
      <c r="AH655" t="s">
        <v>74</v>
      </c>
      <c r="AI655" t="s">
        <v>74</v>
      </c>
      <c r="AJ655" t="s">
        <v>74</v>
      </c>
      <c r="AK655" t="s">
        <v>74</v>
      </c>
      <c r="AL655" t="s">
        <v>74</v>
      </c>
      <c r="AM655" t="s">
        <v>74</v>
      </c>
      <c r="AN655" t="s">
        <v>74</v>
      </c>
      <c r="AO655" t="s">
        <v>4887</v>
      </c>
      <c r="AP655" t="s">
        <v>4888</v>
      </c>
      <c r="AQ655" t="s">
        <v>74</v>
      </c>
      <c r="AR655" t="s">
        <v>74</v>
      </c>
      <c r="AS655" t="s">
        <v>74</v>
      </c>
      <c r="AT655" t="s">
        <v>548</v>
      </c>
      <c r="AU655">
        <v>2011</v>
      </c>
      <c r="AV655">
        <v>42</v>
      </c>
      <c r="AW655">
        <v>3</v>
      </c>
      <c r="AX655" t="s">
        <v>74</v>
      </c>
      <c r="AY655" t="s">
        <v>74</v>
      </c>
      <c r="AZ655" t="s">
        <v>74</v>
      </c>
      <c r="BA655" t="s">
        <v>74</v>
      </c>
      <c r="BB655">
        <v>897</v>
      </c>
      <c r="BC655">
        <v>908</v>
      </c>
      <c r="BD655" t="s">
        <v>74</v>
      </c>
      <c r="BE655" t="s">
        <v>4889</v>
      </c>
      <c r="BF655" t="str">
        <f>HYPERLINK("http://dx.doi.org/10.1590/S1517-83822011000300008","http://dx.doi.org/10.1590/S1517-83822011000300008")</f>
        <v>http://dx.doi.org/10.1590/S1517-83822011000300008</v>
      </c>
      <c r="BG655" t="s">
        <v>74</v>
      </c>
      <c r="BH655" t="s">
        <v>74</v>
      </c>
      <c r="BI655" t="s">
        <v>74</v>
      </c>
      <c r="BJ655" t="s">
        <v>74</v>
      </c>
      <c r="BK655" t="s">
        <v>74</v>
      </c>
      <c r="BL655" t="s">
        <v>74</v>
      </c>
      <c r="BM655" t="s">
        <v>74</v>
      </c>
      <c r="BN655">
        <v>24031705</v>
      </c>
      <c r="BO655" t="s">
        <v>74</v>
      </c>
      <c r="BP655" t="s">
        <v>74</v>
      </c>
      <c r="BQ655" t="s">
        <v>74</v>
      </c>
      <c r="BR655" t="s">
        <v>74</v>
      </c>
      <c r="BS655" t="s">
        <v>4890</v>
      </c>
      <c r="BT655" t="str">
        <f>HYPERLINK("https%3A%2F%2Fwww.webofscience.com%2Fwos%2Fwoscc%2Ffull-record%2FWOS:000297756800008","View Full Record in Web of Science")</f>
        <v>View Full Record in Web of Science</v>
      </c>
    </row>
    <row r="656" spans="1:72" x14ac:dyDescent="0.2">
      <c r="A656" t="s">
        <v>72</v>
      </c>
      <c r="B656" t="s">
        <v>4891</v>
      </c>
      <c r="C656" t="s">
        <v>74</v>
      </c>
      <c r="D656" t="s">
        <v>74</v>
      </c>
      <c r="E656" t="s">
        <v>74</v>
      </c>
      <c r="F656" t="s">
        <v>4892</v>
      </c>
      <c r="G656" t="s">
        <v>74</v>
      </c>
      <c r="H656" t="s">
        <v>74</v>
      </c>
      <c r="I656" t="s">
        <v>4893</v>
      </c>
      <c r="J656" t="s">
        <v>2268</v>
      </c>
      <c r="K656" t="s">
        <v>74</v>
      </c>
      <c r="L656" t="s">
        <v>74</v>
      </c>
      <c r="M656" t="s">
        <v>74</v>
      </c>
      <c r="N656" t="s">
        <v>74</v>
      </c>
      <c r="O656" t="s">
        <v>74</v>
      </c>
      <c r="P656" t="s">
        <v>74</v>
      </c>
      <c r="Q656" t="s">
        <v>74</v>
      </c>
      <c r="R656" t="s">
        <v>74</v>
      </c>
      <c r="S656" t="s">
        <v>74</v>
      </c>
      <c r="T656" t="s">
        <v>74</v>
      </c>
      <c r="U656" t="s">
        <v>74</v>
      </c>
      <c r="V656" t="s">
        <v>74</v>
      </c>
      <c r="W656" t="s">
        <v>74</v>
      </c>
      <c r="X656" t="s">
        <v>74</v>
      </c>
      <c r="Y656" t="s">
        <v>74</v>
      </c>
      <c r="Z656" t="s">
        <v>74</v>
      </c>
      <c r="AA656" t="s">
        <v>7132</v>
      </c>
      <c r="AB656" t="s">
        <v>6743</v>
      </c>
      <c r="AC656" t="s">
        <v>74</v>
      </c>
      <c r="AD656" t="s">
        <v>74</v>
      </c>
      <c r="AE656" t="s">
        <v>74</v>
      </c>
      <c r="AF656" t="s">
        <v>74</v>
      </c>
      <c r="AG656" t="s">
        <v>74</v>
      </c>
      <c r="AH656" t="s">
        <v>74</v>
      </c>
      <c r="AI656" t="s">
        <v>74</v>
      </c>
      <c r="AJ656" t="s">
        <v>74</v>
      </c>
      <c r="AK656" t="s">
        <v>74</v>
      </c>
      <c r="AL656" t="s">
        <v>74</v>
      </c>
      <c r="AM656" t="s">
        <v>74</v>
      </c>
      <c r="AN656" t="s">
        <v>74</v>
      </c>
      <c r="AO656" t="s">
        <v>2269</v>
      </c>
      <c r="AP656" t="s">
        <v>2270</v>
      </c>
      <c r="AQ656" t="s">
        <v>74</v>
      </c>
      <c r="AR656" t="s">
        <v>74</v>
      </c>
      <c r="AS656" t="s">
        <v>74</v>
      </c>
      <c r="AT656" t="s">
        <v>624</v>
      </c>
      <c r="AU656">
        <v>2011</v>
      </c>
      <c r="AV656">
        <v>178</v>
      </c>
      <c r="AW656">
        <v>1</v>
      </c>
      <c r="AX656" t="s">
        <v>74</v>
      </c>
      <c r="AY656" t="s">
        <v>74</v>
      </c>
      <c r="AZ656" t="s">
        <v>74</v>
      </c>
      <c r="BA656" t="s">
        <v>74</v>
      </c>
      <c r="BB656">
        <v>98</v>
      </c>
      <c r="BC656">
        <v>112</v>
      </c>
      <c r="BD656" t="s">
        <v>74</v>
      </c>
      <c r="BE656" t="s">
        <v>4894</v>
      </c>
      <c r="BF656" t="str">
        <f>HYPERLINK("http://dx.doi.org/10.1086/660284","http://dx.doi.org/10.1086/660284")</f>
        <v>http://dx.doi.org/10.1086/660284</v>
      </c>
      <c r="BG656" t="s">
        <v>74</v>
      </c>
      <c r="BH656" t="s">
        <v>74</v>
      </c>
      <c r="BI656" t="s">
        <v>74</v>
      </c>
      <c r="BJ656" t="s">
        <v>74</v>
      </c>
      <c r="BK656" t="s">
        <v>74</v>
      </c>
      <c r="BL656" t="s">
        <v>74</v>
      </c>
      <c r="BM656" t="s">
        <v>74</v>
      </c>
      <c r="BN656">
        <v>21670581</v>
      </c>
      <c r="BO656" t="s">
        <v>74</v>
      </c>
      <c r="BP656" t="s">
        <v>74</v>
      </c>
      <c r="BQ656" t="s">
        <v>74</v>
      </c>
      <c r="BR656" t="s">
        <v>74</v>
      </c>
      <c r="BS656" t="s">
        <v>4895</v>
      </c>
      <c r="BT656" t="str">
        <f>HYPERLINK("https%3A%2F%2Fwww.webofscience.com%2Fwos%2Fwoscc%2Ffull-record%2FWOS:000292040200011","View Full Record in Web of Science")</f>
        <v>View Full Record in Web of Science</v>
      </c>
    </row>
    <row r="657" spans="1:72" x14ac:dyDescent="0.2">
      <c r="A657" t="s">
        <v>72</v>
      </c>
      <c r="B657" t="s">
        <v>4896</v>
      </c>
      <c r="C657" t="s">
        <v>74</v>
      </c>
      <c r="D657" t="s">
        <v>74</v>
      </c>
      <c r="E657" t="s">
        <v>74</v>
      </c>
      <c r="F657" t="s">
        <v>4897</v>
      </c>
      <c r="G657" t="s">
        <v>74</v>
      </c>
      <c r="H657" t="s">
        <v>74</v>
      </c>
      <c r="I657" t="s">
        <v>4898</v>
      </c>
      <c r="J657" t="s">
        <v>124</v>
      </c>
      <c r="K657" t="s">
        <v>74</v>
      </c>
      <c r="L657" t="s">
        <v>74</v>
      </c>
      <c r="M657" t="s">
        <v>74</v>
      </c>
      <c r="N657" t="s">
        <v>74</v>
      </c>
      <c r="O657" t="s">
        <v>74</v>
      </c>
      <c r="P657" t="s">
        <v>74</v>
      </c>
      <c r="Q657" t="s">
        <v>74</v>
      </c>
      <c r="R657" t="s">
        <v>74</v>
      </c>
      <c r="S657" t="s">
        <v>74</v>
      </c>
      <c r="T657" t="s">
        <v>74</v>
      </c>
      <c r="U657" t="s">
        <v>74</v>
      </c>
      <c r="V657" t="s">
        <v>74</v>
      </c>
      <c r="W657" t="s">
        <v>74</v>
      </c>
      <c r="X657" t="s">
        <v>74</v>
      </c>
      <c r="Y657" t="s">
        <v>74</v>
      </c>
      <c r="Z657" t="s">
        <v>74</v>
      </c>
      <c r="AA657" t="s">
        <v>74</v>
      </c>
      <c r="AB657" t="s">
        <v>4899</v>
      </c>
      <c r="AC657" t="s">
        <v>74</v>
      </c>
      <c r="AD657" t="s">
        <v>74</v>
      </c>
      <c r="AE657" t="s">
        <v>74</v>
      </c>
      <c r="AF657" t="s">
        <v>74</v>
      </c>
      <c r="AG657" t="s">
        <v>74</v>
      </c>
      <c r="AH657" t="s">
        <v>74</v>
      </c>
      <c r="AI657" t="s">
        <v>74</v>
      </c>
      <c r="AJ657" t="s">
        <v>74</v>
      </c>
      <c r="AK657" t="s">
        <v>74</v>
      </c>
      <c r="AL657" t="s">
        <v>74</v>
      </c>
      <c r="AM657" t="s">
        <v>74</v>
      </c>
      <c r="AN657" t="s">
        <v>74</v>
      </c>
      <c r="AO657" t="s">
        <v>127</v>
      </c>
      <c r="AP657" t="s">
        <v>128</v>
      </c>
      <c r="AQ657" t="s">
        <v>74</v>
      </c>
      <c r="AR657" t="s">
        <v>74</v>
      </c>
      <c r="AS657" t="s">
        <v>74</v>
      </c>
      <c r="AT657" t="s">
        <v>569</v>
      </c>
      <c r="AU657">
        <v>2011</v>
      </c>
      <c r="AV657">
        <v>668</v>
      </c>
      <c r="AW657">
        <v>1</v>
      </c>
      <c r="AX657" t="s">
        <v>74</v>
      </c>
      <c r="AY657" t="s">
        <v>74</v>
      </c>
      <c r="AZ657" t="s">
        <v>74</v>
      </c>
      <c r="BA657" t="s">
        <v>74</v>
      </c>
      <c r="BB657">
        <v>61</v>
      </c>
      <c r="BC657">
        <v>108</v>
      </c>
      <c r="BD657" t="s">
        <v>74</v>
      </c>
      <c r="BE657" t="s">
        <v>4900</v>
      </c>
      <c r="BF657" t="str">
        <f>HYPERLINK("http://dx.doi.org/10.1007/s10750-010-0400-y","http://dx.doi.org/10.1007/s10750-010-0400-y")</f>
        <v>http://dx.doi.org/10.1007/s10750-010-0400-y</v>
      </c>
      <c r="BG657" t="s">
        <v>74</v>
      </c>
      <c r="BH657" t="s">
        <v>74</v>
      </c>
      <c r="BI657" t="s">
        <v>74</v>
      </c>
      <c r="BJ657" t="s">
        <v>74</v>
      </c>
      <c r="BK657" t="s">
        <v>74</v>
      </c>
      <c r="BL657" t="s">
        <v>74</v>
      </c>
      <c r="BM657" t="s">
        <v>74</v>
      </c>
      <c r="BN657" t="s">
        <v>74</v>
      </c>
      <c r="BO657" t="s">
        <v>74</v>
      </c>
      <c r="BP657" t="s">
        <v>74</v>
      </c>
      <c r="BQ657" t="s">
        <v>74</v>
      </c>
      <c r="BR657" t="s">
        <v>74</v>
      </c>
      <c r="BS657" t="s">
        <v>4901</v>
      </c>
      <c r="BT657" t="str">
        <f>HYPERLINK("https%3A%2F%2Fwww.webofscience.com%2Fwos%2Fwoscc%2Ffull-record%2FWOS:000290177300006","View Full Record in Web of Science")</f>
        <v>View Full Record in Web of Science</v>
      </c>
    </row>
    <row r="658" spans="1:72" x14ac:dyDescent="0.2">
      <c r="A658" t="s">
        <v>72</v>
      </c>
      <c r="B658" t="s">
        <v>4902</v>
      </c>
      <c r="C658" t="s">
        <v>74</v>
      </c>
      <c r="D658" t="s">
        <v>74</v>
      </c>
      <c r="E658" t="s">
        <v>74</v>
      </c>
      <c r="F658" t="s">
        <v>4903</v>
      </c>
      <c r="G658" t="s">
        <v>74</v>
      </c>
      <c r="H658" t="s">
        <v>74</v>
      </c>
      <c r="I658" t="s">
        <v>4904</v>
      </c>
      <c r="J658" t="s">
        <v>124</v>
      </c>
      <c r="K658" t="s">
        <v>74</v>
      </c>
      <c r="L658" t="s">
        <v>74</v>
      </c>
      <c r="M658" t="s">
        <v>74</v>
      </c>
      <c r="N658" t="s">
        <v>74</v>
      </c>
      <c r="O658" t="s">
        <v>74</v>
      </c>
      <c r="P658" t="s">
        <v>74</v>
      </c>
      <c r="Q658" t="s">
        <v>74</v>
      </c>
      <c r="R658" t="s">
        <v>74</v>
      </c>
      <c r="S658" t="s">
        <v>74</v>
      </c>
      <c r="T658" t="s">
        <v>74</v>
      </c>
      <c r="U658" t="s">
        <v>74</v>
      </c>
      <c r="V658" t="s">
        <v>74</v>
      </c>
      <c r="W658" t="s">
        <v>74</v>
      </c>
      <c r="X658" t="s">
        <v>74</v>
      </c>
      <c r="Y658" t="s">
        <v>74</v>
      </c>
      <c r="Z658" t="s">
        <v>74</v>
      </c>
      <c r="AA658" t="s">
        <v>4905</v>
      </c>
      <c r="AB658" t="s">
        <v>4906</v>
      </c>
      <c r="AC658" t="s">
        <v>74</v>
      </c>
      <c r="AD658" t="s">
        <v>74</v>
      </c>
      <c r="AE658" t="s">
        <v>74</v>
      </c>
      <c r="AF658" t="s">
        <v>74</v>
      </c>
      <c r="AG658" t="s">
        <v>74</v>
      </c>
      <c r="AH658" t="s">
        <v>74</v>
      </c>
      <c r="AI658" t="s">
        <v>74</v>
      </c>
      <c r="AJ658" t="s">
        <v>74</v>
      </c>
      <c r="AK658" t="s">
        <v>74</v>
      </c>
      <c r="AL658" t="s">
        <v>74</v>
      </c>
      <c r="AM658" t="s">
        <v>74</v>
      </c>
      <c r="AN658" t="s">
        <v>74</v>
      </c>
      <c r="AO658" t="s">
        <v>127</v>
      </c>
      <c r="AP658" t="s">
        <v>128</v>
      </c>
      <c r="AQ658" t="s">
        <v>74</v>
      </c>
      <c r="AR658" t="s">
        <v>74</v>
      </c>
      <c r="AS658" t="s">
        <v>74</v>
      </c>
      <c r="AT658" t="s">
        <v>569</v>
      </c>
      <c r="AU658">
        <v>2011</v>
      </c>
      <c r="AV658">
        <v>668</v>
      </c>
      <c r="AW658">
        <v>1</v>
      </c>
      <c r="AX658" t="s">
        <v>74</v>
      </c>
      <c r="AY658" t="s">
        <v>74</v>
      </c>
      <c r="AZ658" t="s">
        <v>74</v>
      </c>
      <c r="BA658" t="s">
        <v>74</v>
      </c>
      <c r="BB658">
        <v>3</v>
      </c>
      <c r="BC658">
        <v>19</v>
      </c>
      <c r="BD658" t="s">
        <v>74</v>
      </c>
      <c r="BE658" t="s">
        <v>4907</v>
      </c>
      <c r="BF658" t="str">
        <f>HYPERLINK("http://dx.doi.org/10.1007/s10750-010-0395-4","http://dx.doi.org/10.1007/s10750-010-0395-4")</f>
        <v>http://dx.doi.org/10.1007/s10750-010-0395-4</v>
      </c>
      <c r="BG658" t="s">
        <v>74</v>
      </c>
      <c r="BH658" t="s">
        <v>74</v>
      </c>
      <c r="BI658" t="s">
        <v>74</v>
      </c>
      <c r="BJ658" t="s">
        <v>74</v>
      </c>
      <c r="BK658" t="s">
        <v>74</v>
      </c>
      <c r="BL658" t="s">
        <v>74</v>
      </c>
      <c r="BM658" t="s">
        <v>74</v>
      </c>
      <c r="BN658" t="s">
        <v>74</v>
      </c>
      <c r="BO658" t="s">
        <v>74</v>
      </c>
      <c r="BP658" t="s">
        <v>74</v>
      </c>
      <c r="BQ658" t="s">
        <v>74</v>
      </c>
      <c r="BR658" t="s">
        <v>74</v>
      </c>
      <c r="BS658" t="s">
        <v>4908</v>
      </c>
      <c r="BT658" t="str">
        <f>HYPERLINK("https%3A%2F%2Fwww.webofscience.com%2Fwos%2Fwoscc%2Ffull-record%2FWOS:000290177300002","View Full Record in Web of Science")</f>
        <v>View Full Record in Web of Science</v>
      </c>
    </row>
    <row r="659" spans="1:72" x14ac:dyDescent="0.2">
      <c r="A659" t="s">
        <v>72</v>
      </c>
      <c r="B659" t="s">
        <v>4909</v>
      </c>
      <c r="C659" t="s">
        <v>74</v>
      </c>
      <c r="D659" t="s">
        <v>74</v>
      </c>
      <c r="E659" t="s">
        <v>74</v>
      </c>
      <c r="F659" t="s">
        <v>4910</v>
      </c>
      <c r="G659" t="s">
        <v>74</v>
      </c>
      <c r="H659" t="s">
        <v>74</v>
      </c>
      <c r="I659" t="s">
        <v>4911</v>
      </c>
      <c r="J659" t="s">
        <v>106</v>
      </c>
      <c r="K659" t="s">
        <v>74</v>
      </c>
      <c r="L659" t="s">
        <v>74</v>
      </c>
      <c r="M659" t="s">
        <v>74</v>
      </c>
      <c r="N659" t="s">
        <v>74</v>
      </c>
      <c r="O659" t="s">
        <v>74</v>
      </c>
      <c r="P659" t="s">
        <v>74</v>
      </c>
      <c r="Q659" t="s">
        <v>74</v>
      </c>
      <c r="R659" t="s">
        <v>74</v>
      </c>
      <c r="S659" t="s">
        <v>74</v>
      </c>
      <c r="T659" t="s">
        <v>74</v>
      </c>
      <c r="U659" t="s">
        <v>74</v>
      </c>
      <c r="V659" t="s">
        <v>74</v>
      </c>
      <c r="W659" t="s">
        <v>74</v>
      </c>
      <c r="X659" t="s">
        <v>74</v>
      </c>
      <c r="Y659" t="s">
        <v>74</v>
      </c>
      <c r="Z659" t="s">
        <v>74</v>
      </c>
      <c r="AA659" t="s">
        <v>4912</v>
      </c>
      <c r="AB659" t="s">
        <v>4913</v>
      </c>
      <c r="AC659" t="s">
        <v>74</v>
      </c>
      <c r="AD659" t="s">
        <v>74</v>
      </c>
      <c r="AE659" t="s">
        <v>74</v>
      </c>
      <c r="AF659" t="s">
        <v>74</v>
      </c>
      <c r="AG659" t="s">
        <v>74</v>
      </c>
      <c r="AH659" t="s">
        <v>74</v>
      </c>
      <c r="AI659" t="s">
        <v>74</v>
      </c>
      <c r="AJ659" t="s">
        <v>74</v>
      </c>
      <c r="AK659" t="s">
        <v>74</v>
      </c>
      <c r="AL659" t="s">
        <v>74</v>
      </c>
      <c r="AM659" t="s">
        <v>74</v>
      </c>
      <c r="AN659" t="s">
        <v>74</v>
      </c>
      <c r="AO659" t="s">
        <v>107</v>
      </c>
      <c r="AP659" t="s">
        <v>108</v>
      </c>
      <c r="AQ659" t="s">
        <v>74</v>
      </c>
      <c r="AR659" t="s">
        <v>74</v>
      </c>
      <c r="AS659" t="s">
        <v>74</v>
      </c>
      <c r="AT659" t="s">
        <v>569</v>
      </c>
      <c r="AU659">
        <v>2011</v>
      </c>
      <c r="AV659">
        <v>33</v>
      </c>
      <c r="AW659">
        <v>6</v>
      </c>
      <c r="AX659" t="s">
        <v>74</v>
      </c>
      <c r="AY659" t="s">
        <v>74</v>
      </c>
      <c r="AZ659" t="s">
        <v>74</v>
      </c>
      <c r="BA659" t="s">
        <v>74</v>
      </c>
      <c r="BB659">
        <v>907</v>
      </c>
      <c r="BC659">
        <v>916</v>
      </c>
      <c r="BD659" t="s">
        <v>74</v>
      </c>
      <c r="BE659" t="s">
        <v>4914</v>
      </c>
      <c r="BF659" t="str">
        <f>HYPERLINK("http://dx.doi.org/10.1093/plankt/fbq164","http://dx.doi.org/10.1093/plankt/fbq164")</f>
        <v>http://dx.doi.org/10.1093/plankt/fbq164</v>
      </c>
      <c r="BG659" t="s">
        <v>74</v>
      </c>
      <c r="BH659" t="s">
        <v>74</v>
      </c>
      <c r="BI659" t="s">
        <v>74</v>
      </c>
      <c r="BJ659" t="s">
        <v>74</v>
      </c>
      <c r="BK659" t="s">
        <v>74</v>
      </c>
      <c r="BL659" t="s">
        <v>74</v>
      </c>
      <c r="BM659" t="s">
        <v>74</v>
      </c>
      <c r="BN659" t="s">
        <v>74</v>
      </c>
      <c r="BO659" t="s">
        <v>74</v>
      </c>
      <c r="BP659" t="s">
        <v>74</v>
      </c>
      <c r="BQ659" t="s">
        <v>74</v>
      </c>
      <c r="BR659" t="s">
        <v>74</v>
      </c>
      <c r="BS659" t="s">
        <v>4915</v>
      </c>
      <c r="BT659" t="str">
        <f>HYPERLINK("https%3A%2F%2Fwww.webofscience.com%2Fwos%2Fwoscc%2Ffull-record%2FWOS:000290394300006","View Full Record in Web of Science")</f>
        <v>View Full Record in Web of Science</v>
      </c>
    </row>
    <row r="660" spans="1:72" x14ac:dyDescent="0.2">
      <c r="A660" t="s">
        <v>72</v>
      </c>
      <c r="B660" t="s">
        <v>4916</v>
      </c>
      <c r="C660" t="s">
        <v>74</v>
      </c>
      <c r="D660" t="s">
        <v>74</v>
      </c>
      <c r="E660" t="s">
        <v>74</v>
      </c>
      <c r="F660" t="s">
        <v>4917</v>
      </c>
      <c r="G660" t="s">
        <v>74</v>
      </c>
      <c r="H660" t="s">
        <v>74</v>
      </c>
      <c r="I660" t="s">
        <v>4918</v>
      </c>
      <c r="J660" t="s">
        <v>3464</v>
      </c>
      <c r="K660" t="s">
        <v>74</v>
      </c>
      <c r="L660" t="s">
        <v>74</v>
      </c>
      <c r="M660" t="s">
        <v>74</v>
      </c>
      <c r="N660" t="s">
        <v>74</v>
      </c>
      <c r="O660" t="s">
        <v>74</v>
      </c>
      <c r="P660" t="s">
        <v>74</v>
      </c>
      <c r="Q660" t="s">
        <v>74</v>
      </c>
      <c r="R660" t="s">
        <v>74</v>
      </c>
      <c r="S660" t="s">
        <v>74</v>
      </c>
      <c r="T660" t="s">
        <v>74</v>
      </c>
      <c r="U660" t="s">
        <v>74</v>
      </c>
      <c r="V660" t="s">
        <v>74</v>
      </c>
      <c r="W660" t="s">
        <v>74</v>
      </c>
      <c r="X660" t="s">
        <v>74</v>
      </c>
      <c r="Y660" t="s">
        <v>74</v>
      </c>
      <c r="Z660" t="s">
        <v>74</v>
      </c>
      <c r="AA660" t="s">
        <v>4919</v>
      </c>
      <c r="AB660" t="s">
        <v>4920</v>
      </c>
      <c r="AC660" t="s">
        <v>74</v>
      </c>
      <c r="AD660" t="s">
        <v>74</v>
      </c>
      <c r="AE660" t="s">
        <v>74</v>
      </c>
      <c r="AF660" t="s">
        <v>74</v>
      </c>
      <c r="AG660" t="s">
        <v>74</v>
      </c>
      <c r="AH660" t="s">
        <v>74</v>
      </c>
      <c r="AI660" t="s">
        <v>74</v>
      </c>
      <c r="AJ660" t="s">
        <v>74</v>
      </c>
      <c r="AK660" t="s">
        <v>74</v>
      </c>
      <c r="AL660" t="s">
        <v>74</v>
      </c>
      <c r="AM660" t="s">
        <v>74</v>
      </c>
      <c r="AN660" t="s">
        <v>74</v>
      </c>
      <c r="AO660" t="s">
        <v>3467</v>
      </c>
      <c r="AP660" t="s">
        <v>74</v>
      </c>
      <c r="AQ660" t="s">
        <v>74</v>
      </c>
      <c r="AR660" t="s">
        <v>74</v>
      </c>
      <c r="AS660" t="s">
        <v>74</v>
      </c>
      <c r="AT660" t="s">
        <v>3967</v>
      </c>
      <c r="AU660">
        <v>2011</v>
      </c>
      <c r="AV660">
        <v>11</v>
      </c>
      <c r="AW660" t="s">
        <v>74</v>
      </c>
      <c r="AX660" t="s">
        <v>74</v>
      </c>
      <c r="AY660" t="s">
        <v>74</v>
      </c>
      <c r="AZ660" t="s">
        <v>74</v>
      </c>
      <c r="BA660" t="s">
        <v>74</v>
      </c>
      <c r="BB660" t="s">
        <v>74</v>
      </c>
      <c r="BC660" t="s">
        <v>74</v>
      </c>
      <c r="BD660">
        <v>125</v>
      </c>
      <c r="BE660" t="s">
        <v>4921</v>
      </c>
      <c r="BF660" t="str">
        <f>HYPERLINK("http://dx.doi.org/10.1186/1471-2148-11-125","http://dx.doi.org/10.1186/1471-2148-11-125")</f>
        <v>http://dx.doi.org/10.1186/1471-2148-11-125</v>
      </c>
      <c r="BG660" t="s">
        <v>74</v>
      </c>
      <c r="BH660" t="s">
        <v>74</v>
      </c>
      <c r="BI660" t="s">
        <v>74</v>
      </c>
      <c r="BJ660" t="s">
        <v>74</v>
      </c>
      <c r="BK660" t="s">
        <v>74</v>
      </c>
      <c r="BL660" t="s">
        <v>74</v>
      </c>
      <c r="BM660" t="s">
        <v>74</v>
      </c>
      <c r="BN660">
        <v>21569560</v>
      </c>
      <c r="BO660" t="s">
        <v>74</v>
      </c>
      <c r="BP660" t="s">
        <v>74</v>
      </c>
      <c r="BQ660" t="s">
        <v>74</v>
      </c>
      <c r="BR660" t="s">
        <v>74</v>
      </c>
      <c r="BS660" t="s">
        <v>4922</v>
      </c>
      <c r="BT660" t="str">
        <f>HYPERLINK("https%3A%2F%2Fwww.webofscience.com%2Fwos%2Fwoscc%2Ffull-record%2FWOS:000292048000001","View Full Record in Web of Science")</f>
        <v>View Full Record in Web of Science</v>
      </c>
    </row>
    <row r="661" spans="1:72" x14ac:dyDescent="0.2">
      <c r="A661" t="s">
        <v>72</v>
      </c>
      <c r="B661" t="s">
        <v>4923</v>
      </c>
      <c r="C661" t="s">
        <v>74</v>
      </c>
      <c r="D661" t="s">
        <v>74</v>
      </c>
      <c r="E661" t="s">
        <v>74</v>
      </c>
      <c r="F661" t="s">
        <v>4924</v>
      </c>
      <c r="G661" t="s">
        <v>74</v>
      </c>
      <c r="H661" t="s">
        <v>74</v>
      </c>
      <c r="I661" t="s">
        <v>4925</v>
      </c>
      <c r="J661" t="s">
        <v>4926</v>
      </c>
      <c r="K661" t="s">
        <v>74</v>
      </c>
      <c r="L661" t="s">
        <v>74</v>
      </c>
      <c r="M661" t="s">
        <v>74</v>
      </c>
      <c r="N661" t="s">
        <v>74</v>
      </c>
      <c r="O661" t="s">
        <v>74</v>
      </c>
      <c r="P661" t="s">
        <v>74</v>
      </c>
      <c r="Q661" t="s">
        <v>74</v>
      </c>
      <c r="R661" t="s">
        <v>74</v>
      </c>
      <c r="S661" t="s">
        <v>74</v>
      </c>
      <c r="T661" t="s">
        <v>74</v>
      </c>
      <c r="U661" t="s">
        <v>74</v>
      </c>
      <c r="V661" t="s">
        <v>74</v>
      </c>
      <c r="W661" t="s">
        <v>74</v>
      </c>
      <c r="X661" t="s">
        <v>74</v>
      </c>
      <c r="Y661" t="s">
        <v>74</v>
      </c>
      <c r="Z661" t="s">
        <v>74</v>
      </c>
      <c r="AA661" t="s">
        <v>4927</v>
      </c>
      <c r="AB661" t="s">
        <v>74</v>
      </c>
      <c r="AC661" t="s">
        <v>74</v>
      </c>
      <c r="AD661" t="s">
        <v>74</v>
      </c>
      <c r="AE661" t="s">
        <v>74</v>
      </c>
      <c r="AF661" t="s">
        <v>74</v>
      </c>
      <c r="AG661" t="s">
        <v>74</v>
      </c>
      <c r="AH661" t="s">
        <v>74</v>
      </c>
      <c r="AI661" t="s">
        <v>74</v>
      </c>
      <c r="AJ661" t="s">
        <v>74</v>
      </c>
      <c r="AK661" t="s">
        <v>74</v>
      </c>
      <c r="AL661" t="s">
        <v>74</v>
      </c>
      <c r="AM661" t="s">
        <v>74</v>
      </c>
      <c r="AN661" t="s">
        <v>74</v>
      </c>
      <c r="AO661" t="s">
        <v>4928</v>
      </c>
      <c r="AP661" t="s">
        <v>4929</v>
      </c>
      <c r="AQ661" t="s">
        <v>74</v>
      </c>
      <c r="AR661" t="s">
        <v>74</v>
      </c>
      <c r="AS661" t="s">
        <v>74</v>
      </c>
      <c r="AT661" t="s">
        <v>2624</v>
      </c>
      <c r="AU661">
        <v>2011</v>
      </c>
      <c r="AV661">
        <v>54</v>
      </c>
      <c r="AW661">
        <v>3</v>
      </c>
      <c r="AX661" t="s">
        <v>74</v>
      </c>
      <c r="AY661" t="s">
        <v>74</v>
      </c>
      <c r="AZ661" t="s">
        <v>74</v>
      </c>
      <c r="BA661" t="s">
        <v>74</v>
      </c>
      <c r="BB661">
        <v>523</v>
      </c>
      <c r="BC661">
        <v>526</v>
      </c>
      <c r="BD661" t="s">
        <v>74</v>
      </c>
      <c r="BE661" t="s">
        <v>4930</v>
      </c>
      <c r="BF661" t="str">
        <f>HYPERLINK("http://dx.doi.org/10.1590/S1516-89132011000300013","http://dx.doi.org/10.1590/S1516-89132011000300013")</f>
        <v>http://dx.doi.org/10.1590/S1516-89132011000300013</v>
      </c>
      <c r="BG661" t="s">
        <v>74</v>
      </c>
      <c r="BH661" t="s">
        <v>74</v>
      </c>
      <c r="BI661" t="s">
        <v>74</v>
      </c>
      <c r="BJ661" t="s">
        <v>74</v>
      </c>
      <c r="BK661" t="s">
        <v>74</v>
      </c>
      <c r="BL661" t="s">
        <v>74</v>
      </c>
      <c r="BM661" t="s">
        <v>74</v>
      </c>
      <c r="BN661" t="s">
        <v>74</v>
      </c>
      <c r="BO661" t="s">
        <v>74</v>
      </c>
      <c r="BP661" t="s">
        <v>74</v>
      </c>
      <c r="BQ661" t="s">
        <v>74</v>
      </c>
      <c r="BR661" t="s">
        <v>74</v>
      </c>
      <c r="BS661" t="s">
        <v>4931</v>
      </c>
      <c r="BT661" t="str">
        <f>HYPERLINK("https%3A%2F%2Fwww.webofscience.com%2Fwos%2Fwoscc%2Ffull-record%2FWOS:000291849900013","View Full Record in Web of Science")</f>
        <v>View Full Record in Web of Science</v>
      </c>
    </row>
    <row r="662" spans="1:72" x14ac:dyDescent="0.2">
      <c r="A662" t="s">
        <v>72</v>
      </c>
      <c r="B662" t="s">
        <v>4932</v>
      </c>
      <c r="C662" t="s">
        <v>74</v>
      </c>
      <c r="D662" t="s">
        <v>74</v>
      </c>
      <c r="E662" t="s">
        <v>74</v>
      </c>
      <c r="F662" t="s">
        <v>4933</v>
      </c>
      <c r="G662" t="s">
        <v>74</v>
      </c>
      <c r="H662" t="s">
        <v>74</v>
      </c>
      <c r="I662" t="s">
        <v>4934</v>
      </c>
      <c r="J662" t="s">
        <v>124</v>
      </c>
      <c r="K662" t="s">
        <v>74</v>
      </c>
      <c r="L662" t="s">
        <v>74</v>
      </c>
      <c r="M662" t="s">
        <v>74</v>
      </c>
      <c r="N662" t="s">
        <v>74</v>
      </c>
      <c r="O662" t="s">
        <v>74</v>
      </c>
      <c r="P662" t="s">
        <v>74</v>
      </c>
      <c r="Q662" t="s">
        <v>74</v>
      </c>
      <c r="R662" t="s">
        <v>74</v>
      </c>
      <c r="S662" t="s">
        <v>74</v>
      </c>
      <c r="T662" t="s">
        <v>74</v>
      </c>
      <c r="U662" t="s">
        <v>74</v>
      </c>
      <c r="V662" t="s">
        <v>74</v>
      </c>
      <c r="W662" t="s">
        <v>74</v>
      </c>
      <c r="X662" t="s">
        <v>74</v>
      </c>
      <c r="Y662" t="s">
        <v>74</v>
      </c>
      <c r="Z662" t="s">
        <v>74</v>
      </c>
      <c r="AA662" t="s">
        <v>74</v>
      </c>
      <c r="AB662" t="s">
        <v>4935</v>
      </c>
      <c r="AC662" t="s">
        <v>74</v>
      </c>
      <c r="AD662" t="s">
        <v>74</v>
      </c>
      <c r="AE662" t="s">
        <v>74</v>
      </c>
      <c r="AF662" t="s">
        <v>74</v>
      </c>
      <c r="AG662" t="s">
        <v>74</v>
      </c>
      <c r="AH662" t="s">
        <v>74</v>
      </c>
      <c r="AI662" t="s">
        <v>74</v>
      </c>
      <c r="AJ662" t="s">
        <v>74</v>
      </c>
      <c r="AK662" t="s">
        <v>74</v>
      </c>
      <c r="AL662" t="s">
        <v>74</v>
      </c>
      <c r="AM662" t="s">
        <v>74</v>
      </c>
      <c r="AN662" t="s">
        <v>74</v>
      </c>
      <c r="AO662" t="s">
        <v>127</v>
      </c>
      <c r="AP662" t="s">
        <v>74</v>
      </c>
      <c r="AQ662" t="s">
        <v>74</v>
      </c>
      <c r="AR662" t="s">
        <v>74</v>
      </c>
      <c r="AS662" t="s">
        <v>74</v>
      </c>
      <c r="AT662" t="s">
        <v>203</v>
      </c>
      <c r="AU662">
        <v>2011</v>
      </c>
      <c r="AV662">
        <v>664</v>
      </c>
      <c r="AW662">
        <v>1</v>
      </c>
      <c r="AX662" t="s">
        <v>74</v>
      </c>
      <c r="AY662" t="s">
        <v>74</v>
      </c>
      <c r="AZ662" t="s">
        <v>74</v>
      </c>
      <c r="BA662" t="s">
        <v>74</v>
      </c>
      <c r="BB662">
        <v>17</v>
      </c>
      <c r="BC662">
        <v>33</v>
      </c>
      <c r="BD662" t="s">
        <v>74</v>
      </c>
      <c r="BE662" t="s">
        <v>4936</v>
      </c>
      <c r="BF662" t="str">
        <f>HYPERLINK("http://dx.doi.org/10.1007/s10750-010-0579-y","http://dx.doi.org/10.1007/s10750-010-0579-y")</f>
        <v>http://dx.doi.org/10.1007/s10750-010-0579-y</v>
      </c>
      <c r="BG662" t="s">
        <v>74</v>
      </c>
      <c r="BH662" t="s">
        <v>74</v>
      </c>
      <c r="BI662" t="s">
        <v>74</v>
      </c>
      <c r="BJ662" t="s">
        <v>74</v>
      </c>
      <c r="BK662" t="s">
        <v>74</v>
      </c>
      <c r="BL662" t="s">
        <v>74</v>
      </c>
      <c r="BM662" t="s">
        <v>74</v>
      </c>
      <c r="BN662" t="s">
        <v>74</v>
      </c>
      <c r="BO662" t="s">
        <v>74</v>
      </c>
      <c r="BP662" t="s">
        <v>74</v>
      </c>
      <c r="BQ662" t="s">
        <v>74</v>
      </c>
      <c r="BR662" t="s">
        <v>74</v>
      </c>
      <c r="BS662" t="s">
        <v>4937</v>
      </c>
      <c r="BT662" t="str">
        <f>HYPERLINK("https%3A%2F%2Fwww.webofscience.com%2Fwos%2Fwoscc%2Ffull-record%2FWOS:000288562800002","View Full Record in Web of Science")</f>
        <v>View Full Record in Web of Science</v>
      </c>
    </row>
    <row r="663" spans="1:72" x14ac:dyDescent="0.2">
      <c r="A663" t="s">
        <v>72</v>
      </c>
      <c r="B663" t="s">
        <v>4938</v>
      </c>
      <c r="C663" t="s">
        <v>74</v>
      </c>
      <c r="D663" t="s">
        <v>74</v>
      </c>
      <c r="E663" t="s">
        <v>74</v>
      </c>
      <c r="F663" t="s">
        <v>4939</v>
      </c>
      <c r="G663" t="s">
        <v>74</v>
      </c>
      <c r="H663" t="s">
        <v>74</v>
      </c>
      <c r="I663" t="s">
        <v>4940</v>
      </c>
      <c r="J663" t="s">
        <v>3271</v>
      </c>
      <c r="K663" t="s">
        <v>74</v>
      </c>
      <c r="L663" t="s">
        <v>74</v>
      </c>
      <c r="M663" t="s">
        <v>74</v>
      </c>
      <c r="N663" t="s">
        <v>74</v>
      </c>
      <c r="O663" t="s">
        <v>74</v>
      </c>
      <c r="P663" t="s">
        <v>74</v>
      </c>
      <c r="Q663" t="s">
        <v>74</v>
      </c>
      <c r="R663" t="s">
        <v>74</v>
      </c>
      <c r="S663" t="s">
        <v>74</v>
      </c>
      <c r="T663" t="s">
        <v>74</v>
      </c>
      <c r="U663" t="s">
        <v>74</v>
      </c>
      <c r="V663" t="s">
        <v>74</v>
      </c>
      <c r="W663" t="s">
        <v>74</v>
      </c>
      <c r="X663" t="s">
        <v>74</v>
      </c>
      <c r="Y663" t="s">
        <v>74</v>
      </c>
      <c r="Z663" t="s">
        <v>74</v>
      </c>
      <c r="AA663" t="s">
        <v>4941</v>
      </c>
      <c r="AB663" t="s">
        <v>4942</v>
      </c>
      <c r="AC663" t="s">
        <v>74</v>
      </c>
      <c r="AD663" t="s">
        <v>74</v>
      </c>
      <c r="AE663" t="s">
        <v>74</v>
      </c>
      <c r="AF663" t="s">
        <v>74</v>
      </c>
      <c r="AG663" t="s">
        <v>74</v>
      </c>
      <c r="AH663" t="s">
        <v>74</v>
      </c>
      <c r="AI663" t="s">
        <v>74</v>
      </c>
      <c r="AJ663" t="s">
        <v>74</v>
      </c>
      <c r="AK663" t="s">
        <v>74</v>
      </c>
      <c r="AL663" t="s">
        <v>74</v>
      </c>
      <c r="AM663" t="s">
        <v>74</v>
      </c>
      <c r="AN663" t="s">
        <v>74</v>
      </c>
      <c r="AO663" t="s">
        <v>3274</v>
      </c>
      <c r="AP663" t="s">
        <v>74</v>
      </c>
      <c r="AQ663" t="s">
        <v>74</v>
      </c>
      <c r="AR663" t="s">
        <v>74</v>
      </c>
      <c r="AS663" t="s">
        <v>74</v>
      </c>
      <c r="AT663" t="s">
        <v>203</v>
      </c>
      <c r="AU663">
        <v>2011</v>
      </c>
      <c r="AV663">
        <v>61</v>
      </c>
      <c r="AW663" t="s">
        <v>74</v>
      </c>
      <c r="AX663">
        <v>4</v>
      </c>
      <c r="AY663" t="s">
        <v>74</v>
      </c>
      <c r="AZ663" t="s">
        <v>74</v>
      </c>
      <c r="BA663" t="s">
        <v>74</v>
      </c>
      <c r="BB663">
        <v>781</v>
      </c>
      <c r="BC663">
        <v>787</v>
      </c>
      <c r="BD663" t="s">
        <v>74</v>
      </c>
      <c r="BE663" t="s">
        <v>4943</v>
      </c>
      <c r="BF663" t="str">
        <f>HYPERLINK("http://dx.doi.org/10.1099/ijs.0.017350-0","http://dx.doi.org/10.1099/ijs.0.017350-0")</f>
        <v>http://dx.doi.org/10.1099/ijs.0.017350-0</v>
      </c>
      <c r="BG663" t="s">
        <v>74</v>
      </c>
      <c r="BH663" t="s">
        <v>74</v>
      </c>
      <c r="BI663" t="s">
        <v>74</v>
      </c>
      <c r="BJ663" t="s">
        <v>74</v>
      </c>
      <c r="BK663" t="s">
        <v>74</v>
      </c>
      <c r="BL663" t="s">
        <v>74</v>
      </c>
      <c r="BM663" t="s">
        <v>74</v>
      </c>
      <c r="BN663">
        <v>20435748</v>
      </c>
      <c r="BO663" t="s">
        <v>74</v>
      </c>
      <c r="BP663" t="s">
        <v>74</v>
      </c>
      <c r="BQ663" t="s">
        <v>74</v>
      </c>
      <c r="BR663" t="s">
        <v>74</v>
      </c>
      <c r="BS663" t="s">
        <v>4944</v>
      </c>
      <c r="BT663" t="str">
        <f>HYPERLINK("https%3A%2F%2Fwww.webofscience.com%2Fwos%2Fwoscc%2Ffull-record%2FWOS:000290135000015","View Full Record in Web of Science")</f>
        <v>View Full Record in Web of Science</v>
      </c>
    </row>
    <row r="664" spans="1:72" x14ac:dyDescent="0.2">
      <c r="A664" t="s">
        <v>72</v>
      </c>
      <c r="B664" t="s">
        <v>4945</v>
      </c>
      <c r="C664" t="s">
        <v>74</v>
      </c>
      <c r="D664" t="s">
        <v>74</v>
      </c>
      <c r="E664" t="s">
        <v>74</v>
      </c>
      <c r="F664" t="s">
        <v>4946</v>
      </c>
      <c r="G664" t="s">
        <v>74</v>
      </c>
      <c r="H664" t="s">
        <v>74</v>
      </c>
      <c r="I664" t="s">
        <v>4947</v>
      </c>
      <c r="J664" t="s">
        <v>3271</v>
      </c>
      <c r="K664" t="s">
        <v>74</v>
      </c>
      <c r="L664" t="s">
        <v>74</v>
      </c>
      <c r="M664" t="s">
        <v>74</v>
      </c>
      <c r="N664" t="s">
        <v>74</v>
      </c>
      <c r="O664" t="s">
        <v>74</v>
      </c>
      <c r="P664" t="s">
        <v>74</v>
      </c>
      <c r="Q664" t="s">
        <v>74</v>
      </c>
      <c r="R664" t="s">
        <v>74</v>
      </c>
      <c r="S664" t="s">
        <v>74</v>
      </c>
      <c r="T664" t="s">
        <v>74</v>
      </c>
      <c r="U664" t="s">
        <v>74</v>
      </c>
      <c r="V664" t="s">
        <v>74</v>
      </c>
      <c r="W664" t="s">
        <v>74</v>
      </c>
      <c r="X664" t="s">
        <v>74</v>
      </c>
      <c r="Y664" t="s">
        <v>74</v>
      </c>
      <c r="Z664" t="s">
        <v>74</v>
      </c>
      <c r="AA664" t="s">
        <v>3272</v>
      </c>
      <c r="AB664" t="s">
        <v>3273</v>
      </c>
      <c r="AC664" t="s">
        <v>74</v>
      </c>
      <c r="AD664" t="s">
        <v>74</v>
      </c>
      <c r="AE664" t="s">
        <v>74</v>
      </c>
      <c r="AF664" t="s">
        <v>74</v>
      </c>
      <c r="AG664" t="s">
        <v>74</v>
      </c>
      <c r="AH664" t="s">
        <v>74</v>
      </c>
      <c r="AI664" t="s">
        <v>74</v>
      </c>
      <c r="AJ664" t="s">
        <v>74</v>
      </c>
      <c r="AK664" t="s">
        <v>74</v>
      </c>
      <c r="AL664" t="s">
        <v>74</v>
      </c>
      <c r="AM664" t="s">
        <v>74</v>
      </c>
      <c r="AN664" t="s">
        <v>74</v>
      </c>
      <c r="AO664" t="s">
        <v>3274</v>
      </c>
      <c r="AP664" t="s">
        <v>3275</v>
      </c>
      <c r="AQ664" t="s">
        <v>74</v>
      </c>
      <c r="AR664" t="s">
        <v>74</v>
      </c>
      <c r="AS664" t="s">
        <v>74</v>
      </c>
      <c r="AT664" t="s">
        <v>203</v>
      </c>
      <c r="AU664">
        <v>2011</v>
      </c>
      <c r="AV664">
        <v>61</v>
      </c>
      <c r="AW664" t="s">
        <v>74</v>
      </c>
      <c r="AX664">
        <v>4</v>
      </c>
      <c r="AY664" t="s">
        <v>74</v>
      </c>
      <c r="AZ664" t="s">
        <v>74</v>
      </c>
      <c r="BA664" t="s">
        <v>74</v>
      </c>
      <c r="BB664">
        <v>788</v>
      </c>
      <c r="BC664">
        <v>794</v>
      </c>
      <c r="BD664" t="s">
        <v>74</v>
      </c>
      <c r="BE664" t="s">
        <v>4948</v>
      </c>
      <c r="BF664" t="str">
        <f>HYPERLINK("http://dx.doi.org/10.1099/ijs.0.023929-0","http://dx.doi.org/10.1099/ijs.0.023929-0")</f>
        <v>http://dx.doi.org/10.1099/ijs.0.023929-0</v>
      </c>
      <c r="BG664" t="s">
        <v>74</v>
      </c>
      <c r="BH664" t="s">
        <v>74</v>
      </c>
      <c r="BI664" t="s">
        <v>74</v>
      </c>
      <c r="BJ664" t="s">
        <v>74</v>
      </c>
      <c r="BK664" t="s">
        <v>74</v>
      </c>
      <c r="BL664" t="s">
        <v>74</v>
      </c>
      <c r="BM664" t="s">
        <v>74</v>
      </c>
      <c r="BN664">
        <v>20435747</v>
      </c>
      <c r="BO664" t="s">
        <v>74</v>
      </c>
      <c r="BP664" t="s">
        <v>74</v>
      </c>
      <c r="BQ664" t="s">
        <v>74</v>
      </c>
      <c r="BR664" t="s">
        <v>74</v>
      </c>
      <c r="BS664" t="s">
        <v>4949</v>
      </c>
      <c r="BT664" t="str">
        <f>HYPERLINK("https%3A%2F%2Fwww.webofscience.com%2Fwos%2Fwoscc%2Ffull-record%2FWOS:000290135000016","View Full Record in Web of Science")</f>
        <v>View Full Record in Web of Science</v>
      </c>
    </row>
    <row r="665" spans="1:72" x14ac:dyDescent="0.2">
      <c r="A665" t="s">
        <v>72</v>
      </c>
      <c r="B665" t="s">
        <v>4950</v>
      </c>
      <c r="C665" t="s">
        <v>74</v>
      </c>
      <c r="D665" t="s">
        <v>74</v>
      </c>
      <c r="E665" t="s">
        <v>74</v>
      </c>
      <c r="F665" t="s">
        <v>4951</v>
      </c>
      <c r="G665" t="s">
        <v>74</v>
      </c>
      <c r="H665" t="s">
        <v>74</v>
      </c>
      <c r="I665" t="s">
        <v>4952</v>
      </c>
      <c r="J665" t="s">
        <v>310</v>
      </c>
      <c r="K665" t="s">
        <v>74</v>
      </c>
      <c r="L665" t="s">
        <v>74</v>
      </c>
      <c r="M665" t="s">
        <v>74</v>
      </c>
      <c r="N665" t="s">
        <v>74</v>
      </c>
      <c r="O665" t="s">
        <v>74</v>
      </c>
      <c r="P665" t="s">
        <v>74</v>
      </c>
      <c r="Q665" t="s">
        <v>74</v>
      </c>
      <c r="R665" t="s">
        <v>74</v>
      </c>
      <c r="S665" t="s">
        <v>74</v>
      </c>
      <c r="T665" t="s">
        <v>74</v>
      </c>
      <c r="U665" t="s">
        <v>74</v>
      </c>
      <c r="V665" t="s">
        <v>74</v>
      </c>
      <c r="W665" t="s">
        <v>74</v>
      </c>
      <c r="X665" t="s">
        <v>74</v>
      </c>
      <c r="Y665" t="s">
        <v>74</v>
      </c>
      <c r="Z665" t="s">
        <v>74</v>
      </c>
      <c r="AA665" t="s">
        <v>7133</v>
      </c>
      <c r="AB665" t="s">
        <v>4953</v>
      </c>
      <c r="AC665" t="s">
        <v>74</v>
      </c>
      <c r="AD665" t="s">
        <v>74</v>
      </c>
      <c r="AE665" t="s">
        <v>74</v>
      </c>
      <c r="AF665" t="s">
        <v>74</v>
      </c>
      <c r="AG665" t="s">
        <v>74</v>
      </c>
      <c r="AH665" t="s">
        <v>74</v>
      </c>
      <c r="AI665" t="s">
        <v>74</v>
      </c>
      <c r="AJ665" t="s">
        <v>74</v>
      </c>
      <c r="AK665" t="s">
        <v>74</v>
      </c>
      <c r="AL665" t="s">
        <v>74</v>
      </c>
      <c r="AM665" t="s">
        <v>74</v>
      </c>
      <c r="AN665" t="s">
        <v>74</v>
      </c>
      <c r="AO665" t="s">
        <v>313</v>
      </c>
      <c r="AP665" t="s">
        <v>314</v>
      </c>
      <c r="AQ665" t="s">
        <v>74</v>
      </c>
      <c r="AR665" t="s">
        <v>74</v>
      </c>
      <c r="AS665" t="s">
        <v>74</v>
      </c>
      <c r="AT665" t="s">
        <v>203</v>
      </c>
      <c r="AU665">
        <v>2011</v>
      </c>
      <c r="AV665">
        <v>17</v>
      </c>
      <c r="AW665">
        <v>4</v>
      </c>
      <c r="AX665" t="s">
        <v>74</v>
      </c>
      <c r="AY665" t="s">
        <v>74</v>
      </c>
      <c r="AZ665" t="s">
        <v>74</v>
      </c>
      <c r="BA665" t="s">
        <v>74</v>
      </c>
      <c r="BB665">
        <v>1681</v>
      </c>
      <c r="BC665">
        <v>1694</v>
      </c>
      <c r="BD665" t="s">
        <v>74</v>
      </c>
      <c r="BE665" t="s">
        <v>4954</v>
      </c>
      <c r="BF665" t="str">
        <f>HYPERLINK("http://dx.doi.org/10.1111/j.1365-2486.2010.02321.x","http://dx.doi.org/10.1111/j.1365-2486.2010.02321.x")</f>
        <v>http://dx.doi.org/10.1111/j.1365-2486.2010.02321.x</v>
      </c>
      <c r="BG665" t="s">
        <v>74</v>
      </c>
      <c r="BH665" t="s">
        <v>74</v>
      </c>
      <c r="BI665" t="s">
        <v>74</v>
      </c>
      <c r="BJ665" t="s">
        <v>74</v>
      </c>
      <c r="BK665" t="s">
        <v>74</v>
      </c>
      <c r="BL665" t="s">
        <v>74</v>
      </c>
      <c r="BM665" t="s">
        <v>74</v>
      </c>
      <c r="BN665" t="s">
        <v>74</v>
      </c>
      <c r="BO665" t="s">
        <v>74</v>
      </c>
      <c r="BP665" t="s">
        <v>74</v>
      </c>
      <c r="BQ665" t="s">
        <v>74</v>
      </c>
      <c r="BR665" t="s">
        <v>74</v>
      </c>
      <c r="BS665" t="s">
        <v>4955</v>
      </c>
      <c r="BT665" t="str">
        <f>HYPERLINK("https%3A%2F%2Fwww.webofscience.com%2Fwos%2Fwoscc%2Ffull-record%2FWOS:000287853000015","View Full Record in Web of Science")</f>
        <v>View Full Record in Web of Science</v>
      </c>
    </row>
    <row r="666" spans="1:72" x14ac:dyDescent="0.2">
      <c r="A666" t="s">
        <v>72</v>
      </c>
      <c r="B666" t="s">
        <v>4956</v>
      </c>
      <c r="C666" t="s">
        <v>74</v>
      </c>
      <c r="D666" t="s">
        <v>74</v>
      </c>
      <c r="E666" t="s">
        <v>74</v>
      </c>
      <c r="F666" t="s">
        <v>4957</v>
      </c>
      <c r="G666" t="s">
        <v>74</v>
      </c>
      <c r="H666" t="s">
        <v>74</v>
      </c>
      <c r="I666" t="s">
        <v>4958</v>
      </c>
      <c r="J666" t="s">
        <v>227</v>
      </c>
      <c r="K666" t="s">
        <v>74</v>
      </c>
      <c r="L666" t="s">
        <v>74</v>
      </c>
      <c r="M666" t="s">
        <v>74</v>
      </c>
      <c r="N666" t="s">
        <v>74</v>
      </c>
      <c r="O666" t="s">
        <v>74</v>
      </c>
      <c r="P666" t="s">
        <v>74</v>
      </c>
      <c r="Q666" t="s">
        <v>74</v>
      </c>
      <c r="R666" t="s">
        <v>74</v>
      </c>
      <c r="S666" t="s">
        <v>74</v>
      </c>
      <c r="T666" t="s">
        <v>74</v>
      </c>
      <c r="U666" t="s">
        <v>74</v>
      </c>
      <c r="V666" t="s">
        <v>74</v>
      </c>
      <c r="W666" t="s">
        <v>74</v>
      </c>
      <c r="X666" t="s">
        <v>74</v>
      </c>
      <c r="Y666" t="s">
        <v>74</v>
      </c>
      <c r="Z666" t="s">
        <v>74</v>
      </c>
      <c r="AA666" t="s">
        <v>4912</v>
      </c>
      <c r="AB666" t="s">
        <v>4913</v>
      </c>
      <c r="AC666" t="s">
        <v>74</v>
      </c>
      <c r="AD666" t="s">
        <v>74</v>
      </c>
      <c r="AE666" t="s">
        <v>74</v>
      </c>
      <c r="AF666" t="s">
        <v>74</v>
      </c>
      <c r="AG666" t="s">
        <v>74</v>
      </c>
      <c r="AH666" t="s">
        <v>74</v>
      </c>
      <c r="AI666" t="s">
        <v>74</v>
      </c>
      <c r="AJ666" t="s">
        <v>74</v>
      </c>
      <c r="AK666" t="s">
        <v>74</v>
      </c>
      <c r="AL666" t="s">
        <v>74</v>
      </c>
      <c r="AM666" t="s">
        <v>74</v>
      </c>
      <c r="AN666" t="s">
        <v>74</v>
      </c>
      <c r="AO666" t="s">
        <v>230</v>
      </c>
      <c r="AP666" t="s">
        <v>231</v>
      </c>
      <c r="AQ666" t="s">
        <v>74</v>
      </c>
      <c r="AR666" t="s">
        <v>74</v>
      </c>
      <c r="AS666" t="s">
        <v>74</v>
      </c>
      <c r="AT666" t="s">
        <v>157</v>
      </c>
      <c r="AU666">
        <v>2011</v>
      </c>
      <c r="AV666">
        <v>56</v>
      </c>
      <c r="AW666">
        <v>2</v>
      </c>
      <c r="AX666" t="s">
        <v>74</v>
      </c>
      <c r="AY666" t="s">
        <v>74</v>
      </c>
      <c r="AZ666" t="s">
        <v>74</v>
      </c>
      <c r="BA666" t="s">
        <v>74</v>
      </c>
      <c r="BB666">
        <v>707</v>
      </c>
      <c r="BC666">
        <v>715</v>
      </c>
      <c r="BD666" t="s">
        <v>74</v>
      </c>
      <c r="BE666" t="s">
        <v>4959</v>
      </c>
      <c r="BF666" t="str">
        <f>HYPERLINK("http://dx.doi.org/10.4319/lo.2011.56.2.0707","http://dx.doi.org/10.4319/lo.2011.56.2.0707")</f>
        <v>http://dx.doi.org/10.4319/lo.2011.56.2.0707</v>
      </c>
      <c r="BG666" t="s">
        <v>74</v>
      </c>
      <c r="BH666" t="s">
        <v>74</v>
      </c>
      <c r="BI666" t="s">
        <v>74</v>
      </c>
      <c r="BJ666" t="s">
        <v>74</v>
      </c>
      <c r="BK666" t="s">
        <v>74</v>
      </c>
      <c r="BL666" t="s">
        <v>74</v>
      </c>
      <c r="BM666" t="s">
        <v>74</v>
      </c>
      <c r="BN666" t="s">
        <v>74</v>
      </c>
      <c r="BO666" t="s">
        <v>74</v>
      </c>
      <c r="BP666" t="s">
        <v>74</v>
      </c>
      <c r="BQ666" t="s">
        <v>74</v>
      </c>
      <c r="BR666" t="s">
        <v>74</v>
      </c>
      <c r="BS666" t="s">
        <v>4960</v>
      </c>
      <c r="BT666" t="str">
        <f>HYPERLINK("https%3A%2F%2Fwww.webofscience.com%2Fwos%2Fwoscc%2Ffull-record%2FWOS:000290677800025","View Full Record in Web of Science")</f>
        <v>View Full Record in Web of Science</v>
      </c>
    </row>
    <row r="667" spans="1:72" x14ac:dyDescent="0.2">
      <c r="A667" t="s">
        <v>72</v>
      </c>
      <c r="B667" t="s">
        <v>4961</v>
      </c>
      <c r="C667" t="s">
        <v>74</v>
      </c>
      <c r="D667" t="s">
        <v>74</v>
      </c>
      <c r="E667" t="s">
        <v>74</v>
      </c>
      <c r="F667" t="s">
        <v>4962</v>
      </c>
      <c r="G667" t="s">
        <v>74</v>
      </c>
      <c r="H667" t="s">
        <v>74</v>
      </c>
      <c r="I667" t="s">
        <v>4963</v>
      </c>
      <c r="J667" t="s">
        <v>227</v>
      </c>
      <c r="K667" t="s">
        <v>74</v>
      </c>
      <c r="L667" t="s">
        <v>74</v>
      </c>
      <c r="M667" t="s">
        <v>74</v>
      </c>
      <c r="N667" t="s">
        <v>74</v>
      </c>
      <c r="O667" t="s">
        <v>74</v>
      </c>
      <c r="P667" t="s">
        <v>74</v>
      </c>
      <c r="Q667" t="s">
        <v>74</v>
      </c>
      <c r="R667" t="s">
        <v>74</v>
      </c>
      <c r="S667" t="s">
        <v>74</v>
      </c>
      <c r="T667" t="s">
        <v>74</v>
      </c>
      <c r="U667" t="s">
        <v>74</v>
      </c>
      <c r="V667" t="s">
        <v>74</v>
      </c>
      <c r="W667" t="s">
        <v>74</v>
      </c>
      <c r="X667" t="s">
        <v>74</v>
      </c>
      <c r="Y667" t="s">
        <v>74</v>
      </c>
      <c r="Z667" t="s">
        <v>74</v>
      </c>
      <c r="AA667" t="s">
        <v>7134</v>
      </c>
      <c r="AB667" t="s">
        <v>4804</v>
      </c>
      <c r="AC667" t="s">
        <v>74</v>
      </c>
      <c r="AD667" t="s">
        <v>74</v>
      </c>
      <c r="AE667" t="s">
        <v>74</v>
      </c>
      <c r="AF667" t="s">
        <v>74</v>
      </c>
      <c r="AG667" t="s">
        <v>74</v>
      </c>
      <c r="AH667" t="s">
        <v>74</v>
      </c>
      <c r="AI667" t="s">
        <v>74</v>
      </c>
      <c r="AJ667" t="s">
        <v>74</v>
      </c>
      <c r="AK667" t="s">
        <v>74</v>
      </c>
      <c r="AL667" t="s">
        <v>74</v>
      </c>
      <c r="AM667" t="s">
        <v>74</v>
      </c>
      <c r="AN667" t="s">
        <v>74</v>
      </c>
      <c r="AO667" t="s">
        <v>230</v>
      </c>
      <c r="AP667" t="s">
        <v>231</v>
      </c>
      <c r="AQ667" t="s">
        <v>74</v>
      </c>
      <c r="AR667" t="s">
        <v>74</v>
      </c>
      <c r="AS667" t="s">
        <v>74</v>
      </c>
      <c r="AT667" t="s">
        <v>157</v>
      </c>
      <c r="AU667">
        <v>2011</v>
      </c>
      <c r="AV667">
        <v>56</v>
      </c>
      <c r="AW667">
        <v>2</v>
      </c>
      <c r="AX667" t="s">
        <v>74</v>
      </c>
      <c r="AY667" t="s">
        <v>74</v>
      </c>
      <c r="AZ667" t="s">
        <v>74</v>
      </c>
      <c r="BA667" t="s">
        <v>74</v>
      </c>
      <c r="BB667">
        <v>589</v>
      </c>
      <c r="BC667">
        <v>598</v>
      </c>
      <c r="BD667" t="s">
        <v>74</v>
      </c>
      <c r="BE667" t="s">
        <v>4964</v>
      </c>
      <c r="BF667" t="str">
        <f>HYPERLINK("http://dx.doi.org/10.4319/lo.2011.56.2.0589","http://dx.doi.org/10.4319/lo.2011.56.2.0589")</f>
        <v>http://dx.doi.org/10.4319/lo.2011.56.2.0589</v>
      </c>
      <c r="BG667" t="s">
        <v>74</v>
      </c>
      <c r="BH667" t="s">
        <v>74</v>
      </c>
      <c r="BI667" t="s">
        <v>74</v>
      </c>
      <c r="BJ667" t="s">
        <v>74</v>
      </c>
      <c r="BK667" t="s">
        <v>74</v>
      </c>
      <c r="BL667" t="s">
        <v>74</v>
      </c>
      <c r="BM667" t="s">
        <v>74</v>
      </c>
      <c r="BN667" t="s">
        <v>74</v>
      </c>
      <c r="BO667" t="s">
        <v>74</v>
      </c>
      <c r="BP667" t="s">
        <v>74</v>
      </c>
      <c r="BQ667" t="s">
        <v>74</v>
      </c>
      <c r="BR667" t="s">
        <v>74</v>
      </c>
      <c r="BS667" t="s">
        <v>4965</v>
      </c>
      <c r="BT667" t="str">
        <f>HYPERLINK("https%3A%2F%2Fwww.webofscience.com%2Fwos%2Fwoscc%2Ffull-record%2FWOS:000290677800015","View Full Record in Web of Science")</f>
        <v>View Full Record in Web of Science</v>
      </c>
    </row>
    <row r="668" spans="1:72" x14ac:dyDescent="0.2">
      <c r="A668" t="s">
        <v>72</v>
      </c>
      <c r="B668" t="s">
        <v>4966</v>
      </c>
      <c r="C668" t="s">
        <v>74</v>
      </c>
      <c r="D668" t="s">
        <v>74</v>
      </c>
      <c r="E668" t="s">
        <v>74</v>
      </c>
      <c r="F668" t="s">
        <v>4967</v>
      </c>
      <c r="G668" t="s">
        <v>74</v>
      </c>
      <c r="H668" t="s">
        <v>74</v>
      </c>
      <c r="I668" t="s">
        <v>4968</v>
      </c>
      <c r="J668" t="s">
        <v>1532</v>
      </c>
      <c r="K668" t="s">
        <v>74</v>
      </c>
      <c r="L668" t="s">
        <v>74</v>
      </c>
      <c r="M668" t="s">
        <v>74</v>
      </c>
      <c r="N668" t="s">
        <v>74</v>
      </c>
      <c r="O668" t="s">
        <v>74</v>
      </c>
      <c r="P668" t="s">
        <v>74</v>
      </c>
      <c r="Q668" t="s">
        <v>74</v>
      </c>
      <c r="R668" t="s">
        <v>74</v>
      </c>
      <c r="S668" t="s">
        <v>74</v>
      </c>
      <c r="T668" t="s">
        <v>74</v>
      </c>
      <c r="U668" t="s">
        <v>74</v>
      </c>
      <c r="V668" t="s">
        <v>74</v>
      </c>
      <c r="W668" t="s">
        <v>74</v>
      </c>
      <c r="X668" t="s">
        <v>74</v>
      </c>
      <c r="Y668" t="s">
        <v>74</v>
      </c>
      <c r="Z668" t="s">
        <v>74</v>
      </c>
      <c r="AA668" t="s">
        <v>4969</v>
      </c>
      <c r="AB668" t="s">
        <v>4970</v>
      </c>
      <c r="AC668" t="s">
        <v>74</v>
      </c>
      <c r="AD668" t="s">
        <v>74</v>
      </c>
      <c r="AE668" t="s">
        <v>74</v>
      </c>
      <c r="AF668" t="s">
        <v>74</v>
      </c>
      <c r="AG668" t="s">
        <v>74</v>
      </c>
      <c r="AH668" t="s">
        <v>74</v>
      </c>
      <c r="AI668" t="s">
        <v>74</v>
      </c>
      <c r="AJ668" t="s">
        <v>74</v>
      </c>
      <c r="AK668" t="s">
        <v>74</v>
      </c>
      <c r="AL668" t="s">
        <v>74</v>
      </c>
      <c r="AM668" t="s">
        <v>74</v>
      </c>
      <c r="AN668" t="s">
        <v>74</v>
      </c>
      <c r="AO668" t="s">
        <v>1535</v>
      </c>
      <c r="AP668" t="s">
        <v>1536</v>
      </c>
      <c r="AQ668" t="s">
        <v>74</v>
      </c>
      <c r="AR668" t="s">
        <v>74</v>
      </c>
      <c r="AS668" t="s">
        <v>74</v>
      </c>
      <c r="AT668" t="s">
        <v>416</v>
      </c>
      <c r="AU668">
        <v>2011</v>
      </c>
      <c r="AV668">
        <v>96</v>
      </c>
      <c r="AW668">
        <v>1</v>
      </c>
      <c r="AX668" t="s">
        <v>74</v>
      </c>
      <c r="AY668" t="s">
        <v>74</v>
      </c>
      <c r="AZ668" t="s">
        <v>74</v>
      </c>
      <c r="BA668" t="s">
        <v>74</v>
      </c>
      <c r="BB668">
        <v>1</v>
      </c>
      <c r="BC668">
        <v>19</v>
      </c>
      <c r="BD668" t="s">
        <v>74</v>
      </c>
      <c r="BE668" t="s">
        <v>4971</v>
      </c>
      <c r="BF668" t="str">
        <f>HYPERLINK("http://dx.doi.org/10.1002/iroh.201011286","http://dx.doi.org/10.1002/iroh.201011286")</f>
        <v>http://dx.doi.org/10.1002/iroh.201011286</v>
      </c>
      <c r="BG668" t="s">
        <v>74</v>
      </c>
      <c r="BH668" t="s">
        <v>74</v>
      </c>
      <c r="BI668" t="s">
        <v>74</v>
      </c>
      <c r="BJ668" t="s">
        <v>74</v>
      </c>
      <c r="BK668" t="s">
        <v>74</v>
      </c>
      <c r="BL668" t="s">
        <v>74</v>
      </c>
      <c r="BM668" t="s">
        <v>74</v>
      </c>
      <c r="BN668" t="s">
        <v>74</v>
      </c>
      <c r="BO668" t="s">
        <v>74</v>
      </c>
      <c r="BP668" t="s">
        <v>74</v>
      </c>
      <c r="BQ668" t="s">
        <v>74</v>
      </c>
      <c r="BR668" t="s">
        <v>74</v>
      </c>
      <c r="BS668" t="s">
        <v>4972</v>
      </c>
      <c r="BT668" t="str">
        <f>HYPERLINK("https%3A%2F%2Fwww.webofscience.com%2Fwos%2Fwoscc%2Ffull-record%2FWOS:000288099500001","View Full Record in Web of Science")</f>
        <v>View Full Record in Web of Science</v>
      </c>
    </row>
    <row r="669" spans="1:72" x14ac:dyDescent="0.2">
      <c r="A669" t="s">
        <v>72</v>
      </c>
      <c r="B669" t="s">
        <v>4973</v>
      </c>
      <c r="C669" t="s">
        <v>74</v>
      </c>
      <c r="D669" t="s">
        <v>74</v>
      </c>
      <c r="E669" t="s">
        <v>74</v>
      </c>
      <c r="F669" t="s">
        <v>4974</v>
      </c>
      <c r="G669" t="s">
        <v>74</v>
      </c>
      <c r="H669" t="s">
        <v>74</v>
      </c>
      <c r="I669" t="s">
        <v>4975</v>
      </c>
      <c r="J669" t="s">
        <v>1716</v>
      </c>
      <c r="K669" t="s">
        <v>74</v>
      </c>
      <c r="L669" t="s">
        <v>74</v>
      </c>
      <c r="M669" t="s">
        <v>74</v>
      </c>
      <c r="N669" t="s">
        <v>74</v>
      </c>
      <c r="O669" t="s">
        <v>74</v>
      </c>
      <c r="P669" t="s">
        <v>74</v>
      </c>
      <c r="Q669" t="s">
        <v>74</v>
      </c>
      <c r="R669" t="s">
        <v>74</v>
      </c>
      <c r="S669" t="s">
        <v>74</v>
      </c>
      <c r="T669" t="s">
        <v>74</v>
      </c>
      <c r="U669" t="s">
        <v>74</v>
      </c>
      <c r="V669" t="s">
        <v>74</v>
      </c>
      <c r="W669" t="s">
        <v>74</v>
      </c>
      <c r="X669" t="s">
        <v>74</v>
      </c>
      <c r="Y669" t="s">
        <v>74</v>
      </c>
      <c r="Z669" t="s">
        <v>74</v>
      </c>
      <c r="AA669" t="s">
        <v>74</v>
      </c>
      <c r="AB669" t="s">
        <v>4976</v>
      </c>
      <c r="AC669" t="s">
        <v>74</v>
      </c>
      <c r="AD669" t="s">
        <v>74</v>
      </c>
      <c r="AE669" t="s">
        <v>74</v>
      </c>
      <c r="AF669" t="s">
        <v>74</v>
      </c>
      <c r="AG669" t="s">
        <v>74</v>
      </c>
      <c r="AH669" t="s">
        <v>74</v>
      </c>
      <c r="AI669" t="s">
        <v>74</v>
      </c>
      <c r="AJ669" t="s">
        <v>74</v>
      </c>
      <c r="AK669" t="s">
        <v>74</v>
      </c>
      <c r="AL669" t="s">
        <v>74</v>
      </c>
      <c r="AM669" t="s">
        <v>74</v>
      </c>
      <c r="AN669" t="s">
        <v>74</v>
      </c>
      <c r="AO669" t="s">
        <v>1717</v>
      </c>
      <c r="AP669" t="s">
        <v>1718</v>
      </c>
      <c r="AQ669" t="s">
        <v>74</v>
      </c>
      <c r="AR669" t="s">
        <v>74</v>
      </c>
      <c r="AS669" t="s">
        <v>74</v>
      </c>
      <c r="AT669" t="s">
        <v>416</v>
      </c>
      <c r="AU669">
        <v>2011</v>
      </c>
      <c r="AV669">
        <v>47</v>
      </c>
      <c r="AW669">
        <v>1</v>
      </c>
      <c r="AX669" t="s">
        <v>74</v>
      </c>
      <c r="AY669" t="s">
        <v>74</v>
      </c>
      <c r="AZ669" t="s">
        <v>74</v>
      </c>
      <c r="BA669" t="s">
        <v>74</v>
      </c>
      <c r="BB669">
        <v>52</v>
      </c>
      <c r="BC669">
        <v>65</v>
      </c>
      <c r="BD669" t="s">
        <v>74</v>
      </c>
      <c r="BE669" t="s">
        <v>4977</v>
      </c>
      <c r="BF669" t="str">
        <f>HYPERLINK("http://dx.doi.org/10.1111/j.1529-8817.2010.00946.x","http://dx.doi.org/10.1111/j.1529-8817.2010.00946.x")</f>
        <v>http://dx.doi.org/10.1111/j.1529-8817.2010.00946.x</v>
      </c>
      <c r="BG669" t="s">
        <v>74</v>
      </c>
      <c r="BH669" t="s">
        <v>74</v>
      </c>
      <c r="BI669" t="s">
        <v>74</v>
      </c>
      <c r="BJ669" t="s">
        <v>74</v>
      </c>
      <c r="BK669" t="s">
        <v>74</v>
      </c>
      <c r="BL669" t="s">
        <v>74</v>
      </c>
      <c r="BM669" t="s">
        <v>74</v>
      </c>
      <c r="BN669">
        <v>27021710</v>
      </c>
      <c r="BO669" t="s">
        <v>74</v>
      </c>
      <c r="BP669" t="s">
        <v>74</v>
      </c>
      <c r="BQ669" t="s">
        <v>74</v>
      </c>
      <c r="BR669" t="s">
        <v>74</v>
      </c>
      <c r="BS669" t="s">
        <v>4978</v>
      </c>
      <c r="BT669" t="str">
        <f>HYPERLINK("https%3A%2F%2Fwww.webofscience.com%2Fwos%2Fwoscc%2Ffull-record%2FWOS:000287492700007","View Full Record in Web of Science")</f>
        <v>View Full Record in Web of Science</v>
      </c>
    </row>
    <row r="670" spans="1:72" x14ac:dyDescent="0.2">
      <c r="A670" t="s">
        <v>72</v>
      </c>
      <c r="B670" t="s">
        <v>4979</v>
      </c>
      <c r="C670" t="s">
        <v>74</v>
      </c>
      <c r="D670" t="s">
        <v>74</v>
      </c>
      <c r="E670" t="s">
        <v>74</v>
      </c>
      <c r="F670" t="s">
        <v>4980</v>
      </c>
      <c r="G670" t="s">
        <v>74</v>
      </c>
      <c r="H670" t="s">
        <v>74</v>
      </c>
      <c r="I670" t="s">
        <v>4981</v>
      </c>
      <c r="J670" t="s">
        <v>4982</v>
      </c>
      <c r="K670" t="s">
        <v>74</v>
      </c>
      <c r="L670" t="s">
        <v>74</v>
      </c>
      <c r="M670" t="s">
        <v>74</v>
      </c>
      <c r="N670" t="s">
        <v>74</v>
      </c>
      <c r="O670" t="s">
        <v>74</v>
      </c>
      <c r="P670" t="s">
        <v>74</v>
      </c>
      <c r="Q670" t="s">
        <v>74</v>
      </c>
      <c r="R670" t="s">
        <v>74</v>
      </c>
      <c r="S670" t="s">
        <v>74</v>
      </c>
      <c r="T670" t="s">
        <v>74</v>
      </c>
      <c r="U670" t="s">
        <v>74</v>
      </c>
      <c r="V670" t="s">
        <v>74</v>
      </c>
      <c r="W670" t="s">
        <v>74</v>
      </c>
      <c r="X670" t="s">
        <v>74</v>
      </c>
      <c r="Y670" t="s">
        <v>74</v>
      </c>
      <c r="Z670" t="s">
        <v>74</v>
      </c>
      <c r="AA670" t="s">
        <v>4983</v>
      </c>
      <c r="AB670" t="s">
        <v>74</v>
      </c>
      <c r="AC670" t="s">
        <v>74</v>
      </c>
      <c r="AD670" t="s">
        <v>74</v>
      </c>
      <c r="AE670" t="s">
        <v>74</v>
      </c>
      <c r="AF670" t="s">
        <v>74</v>
      </c>
      <c r="AG670" t="s">
        <v>74</v>
      </c>
      <c r="AH670" t="s">
        <v>74</v>
      </c>
      <c r="AI670" t="s">
        <v>74</v>
      </c>
      <c r="AJ670" t="s">
        <v>74</v>
      </c>
      <c r="AK670" t="s">
        <v>74</v>
      </c>
      <c r="AL670" t="s">
        <v>74</v>
      </c>
      <c r="AM670" t="s">
        <v>74</v>
      </c>
      <c r="AN670" t="s">
        <v>74</v>
      </c>
      <c r="AO670" t="s">
        <v>4984</v>
      </c>
      <c r="AP670" t="s">
        <v>74</v>
      </c>
      <c r="AQ670" t="s">
        <v>74</v>
      </c>
      <c r="AR670" t="s">
        <v>74</v>
      </c>
      <c r="AS670" t="s">
        <v>74</v>
      </c>
      <c r="AT670" t="s">
        <v>74</v>
      </c>
      <c r="AU670">
        <v>2011</v>
      </c>
      <c r="AV670">
        <v>16</v>
      </c>
      <c r="AW670">
        <v>1</v>
      </c>
      <c r="AX670" t="s">
        <v>74</v>
      </c>
      <c r="AY670" t="s">
        <v>74</v>
      </c>
      <c r="AZ670" t="s">
        <v>74</v>
      </c>
      <c r="BA670" t="s">
        <v>74</v>
      </c>
      <c r="BB670" t="s">
        <v>74</v>
      </c>
      <c r="BC670" t="s">
        <v>74</v>
      </c>
      <c r="BD670">
        <v>9</v>
      </c>
      <c r="BE670" t="s">
        <v>74</v>
      </c>
      <c r="BF670" t="s">
        <v>74</v>
      </c>
      <c r="BG670" t="s">
        <v>74</v>
      </c>
      <c r="BH670" t="s">
        <v>74</v>
      </c>
      <c r="BI670" t="s">
        <v>74</v>
      </c>
      <c r="BJ670" t="s">
        <v>74</v>
      </c>
      <c r="BK670" t="s">
        <v>74</v>
      </c>
      <c r="BL670" t="s">
        <v>74</v>
      </c>
      <c r="BM670" t="s">
        <v>74</v>
      </c>
      <c r="BN670" t="s">
        <v>74</v>
      </c>
      <c r="BO670" t="s">
        <v>74</v>
      </c>
      <c r="BP670" t="s">
        <v>74</v>
      </c>
      <c r="BQ670" t="s">
        <v>74</v>
      </c>
      <c r="BR670" t="s">
        <v>74</v>
      </c>
      <c r="BS670" t="s">
        <v>4985</v>
      </c>
      <c r="BT670" t="str">
        <f>HYPERLINK("https%3A%2F%2Fwww.webofscience.com%2Fwos%2Fwoscc%2Ffull-record%2FWOS:000289081200029","View Full Record in Web of Science")</f>
        <v>View Full Record in Web of Science</v>
      </c>
    </row>
    <row r="671" spans="1:72" x14ac:dyDescent="0.2">
      <c r="A671" t="s">
        <v>72</v>
      </c>
      <c r="B671" t="s">
        <v>4986</v>
      </c>
      <c r="C671" t="s">
        <v>74</v>
      </c>
      <c r="D671" t="s">
        <v>74</v>
      </c>
      <c r="E671" t="s">
        <v>74</v>
      </c>
      <c r="F671" t="s">
        <v>4987</v>
      </c>
      <c r="G671" t="s">
        <v>74</v>
      </c>
      <c r="H671" t="s">
        <v>74</v>
      </c>
      <c r="I671" t="s">
        <v>4988</v>
      </c>
      <c r="J671" t="s">
        <v>2769</v>
      </c>
      <c r="K671" t="s">
        <v>74</v>
      </c>
      <c r="L671" t="s">
        <v>74</v>
      </c>
      <c r="M671" t="s">
        <v>74</v>
      </c>
      <c r="N671" t="s">
        <v>74</v>
      </c>
      <c r="O671" t="s">
        <v>74</v>
      </c>
      <c r="P671" t="s">
        <v>74</v>
      </c>
      <c r="Q671" t="s">
        <v>74</v>
      </c>
      <c r="R671" t="s">
        <v>74</v>
      </c>
      <c r="S671" t="s">
        <v>74</v>
      </c>
      <c r="T671" t="s">
        <v>74</v>
      </c>
      <c r="U671" t="s">
        <v>74</v>
      </c>
      <c r="V671" t="s">
        <v>74</v>
      </c>
      <c r="W671" t="s">
        <v>74</v>
      </c>
      <c r="X671" t="s">
        <v>74</v>
      </c>
      <c r="Y671" t="s">
        <v>74</v>
      </c>
      <c r="Z671" t="s">
        <v>74</v>
      </c>
      <c r="AA671" t="s">
        <v>74</v>
      </c>
      <c r="AB671" t="s">
        <v>4989</v>
      </c>
      <c r="AC671" t="s">
        <v>74</v>
      </c>
      <c r="AD671" t="s">
        <v>74</v>
      </c>
      <c r="AE671" t="s">
        <v>74</v>
      </c>
      <c r="AF671" t="s">
        <v>74</v>
      </c>
      <c r="AG671" t="s">
        <v>74</v>
      </c>
      <c r="AH671" t="s">
        <v>74</v>
      </c>
      <c r="AI671" t="s">
        <v>74</v>
      </c>
      <c r="AJ671" t="s">
        <v>74</v>
      </c>
      <c r="AK671" t="s">
        <v>74</v>
      </c>
      <c r="AL671" t="s">
        <v>74</v>
      </c>
      <c r="AM671" t="s">
        <v>74</v>
      </c>
      <c r="AN671" t="s">
        <v>74</v>
      </c>
      <c r="AO671" t="s">
        <v>2772</v>
      </c>
      <c r="AP671" t="s">
        <v>2773</v>
      </c>
      <c r="AQ671" t="s">
        <v>74</v>
      </c>
      <c r="AR671" t="s">
        <v>74</v>
      </c>
      <c r="AS671" t="s">
        <v>74</v>
      </c>
      <c r="AT671" t="s">
        <v>74</v>
      </c>
      <c r="AU671">
        <v>2011</v>
      </c>
      <c r="AV671">
        <v>63</v>
      </c>
      <c r="AW671">
        <v>1</v>
      </c>
      <c r="AX671" t="s">
        <v>74</v>
      </c>
      <c r="AY671" t="s">
        <v>74</v>
      </c>
      <c r="AZ671" t="s">
        <v>74</v>
      </c>
      <c r="BA671" t="s">
        <v>74</v>
      </c>
      <c r="BB671">
        <v>29</v>
      </c>
      <c r="BC671">
        <v>45</v>
      </c>
      <c r="BD671" t="s">
        <v>74</v>
      </c>
      <c r="BE671" t="s">
        <v>4990</v>
      </c>
      <c r="BF671" t="str">
        <f>HYPERLINK("http://dx.doi.org/10.3354/ame01480","http://dx.doi.org/10.3354/ame01480")</f>
        <v>http://dx.doi.org/10.3354/ame01480</v>
      </c>
      <c r="BG671" t="s">
        <v>74</v>
      </c>
      <c r="BH671" t="s">
        <v>74</v>
      </c>
      <c r="BI671" t="s">
        <v>74</v>
      </c>
      <c r="BJ671" t="s">
        <v>74</v>
      </c>
      <c r="BK671" t="s">
        <v>74</v>
      </c>
      <c r="BL671" t="s">
        <v>74</v>
      </c>
      <c r="BM671" t="s">
        <v>74</v>
      </c>
      <c r="BN671" t="s">
        <v>74</v>
      </c>
      <c r="BO671" t="s">
        <v>74</v>
      </c>
      <c r="BP671" t="s">
        <v>74</v>
      </c>
      <c r="BQ671" t="s">
        <v>74</v>
      </c>
      <c r="BR671" t="s">
        <v>74</v>
      </c>
      <c r="BS671" t="s">
        <v>4991</v>
      </c>
      <c r="BT671" t="str">
        <f>HYPERLINK("https%3A%2F%2Fwww.webofscience.com%2Fwos%2Fwoscc%2Ffull-record%2FWOS:000287818000004","View Full Record in Web of Science")</f>
        <v>View Full Record in Web of Science</v>
      </c>
    </row>
    <row r="672" spans="1:72" x14ac:dyDescent="0.2">
      <c r="A672" t="s">
        <v>72</v>
      </c>
      <c r="B672" t="s">
        <v>4992</v>
      </c>
      <c r="C672" t="s">
        <v>74</v>
      </c>
      <c r="D672" t="s">
        <v>74</v>
      </c>
      <c r="E672" t="s">
        <v>74</v>
      </c>
      <c r="F672" t="s">
        <v>4993</v>
      </c>
      <c r="G672" t="s">
        <v>74</v>
      </c>
      <c r="H672" t="s">
        <v>74</v>
      </c>
      <c r="I672" t="s">
        <v>4994</v>
      </c>
      <c r="J672" t="s">
        <v>4995</v>
      </c>
      <c r="K672" t="s">
        <v>74</v>
      </c>
      <c r="L672" t="s">
        <v>74</v>
      </c>
      <c r="M672" t="s">
        <v>74</v>
      </c>
      <c r="N672" t="s">
        <v>74</v>
      </c>
      <c r="O672" t="s">
        <v>74</v>
      </c>
      <c r="P672" t="s">
        <v>74</v>
      </c>
      <c r="Q672" t="s">
        <v>74</v>
      </c>
      <c r="R672" t="s">
        <v>74</v>
      </c>
      <c r="S672" t="s">
        <v>74</v>
      </c>
      <c r="T672" t="s">
        <v>74</v>
      </c>
      <c r="U672" t="s">
        <v>74</v>
      </c>
      <c r="V672" t="s">
        <v>74</v>
      </c>
      <c r="W672" t="s">
        <v>74</v>
      </c>
      <c r="X672" t="s">
        <v>74</v>
      </c>
      <c r="Y672" t="s">
        <v>74</v>
      </c>
      <c r="Z672" t="s">
        <v>74</v>
      </c>
      <c r="AA672" t="s">
        <v>4996</v>
      </c>
      <c r="AB672" t="s">
        <v>4997</v>
      </c>
      <c r="AC672" t="s">
        <v>74</v>
      </c>
      <c r="AD672" t="s">
        <v>74</v>
      </c>
      <c r="AE672" t="s">
        <v>74</v>
      </c>
      <c r="AF672" t="s">
        <v>74</v>
      </c>
      <c r="AG672" t="s">
        <v>74</v>
      </c>
      <c r="AH672" t="s">
        <v>74</v>
      </c>
      <c r="AI672" t="s">
        <v>74</v>
      </c>
      <c r="AJ672" t="s">
        <v>74</v>
      </c>
      <c r="AK672" t="s">
        <v>74</v>
      </c>
      <c r="AL672" t="s">
        <v>74</v>
      </c>
      <c r="AM672" t="s">
        <v>74</v>
      </c>
      <c r="AN672" t="s">
        <v>74</v>
      </c>
      <c r="AO672" t="s">
        <v>4998</v>
      </c>
      <c r="AP672" t="s">
        <v>4999</v>
      </c>
      <c r="AQ672" t="s">
        <v>74</v>
      </c>
      <c r="AR672" t="s">
        <v>74</v>
      </c>
      <c r="AS672" t="s">
        <v>74</v>
      </c>
      <c r="AT672" t="s">
        <v>74</v>
      </c>
      <c r="AU672">
        <v>2011</v>
      </c>
      <c r="AV672">
        <v>27</v>
      </c>
      <c r="AW672">
        <v>1</v>
      </c>
      <c r="AX672" t="s">
        <v>74</v>
      </c>
      <c r="AY672" t="s">
        <v>74</v>
      </c>
      <c r="AZ672" t="s">
        <v>74</v>
      </c>
      <c r="BA672" t="s">
        <v>74</v>
      </c>
      <c r="BB672">
        <v>6</v>
      </c>
      <c r="BC672">
        <v>14</v>
      </c>
      <c r="BD672" t="s">
        <v>5000</v>
      </c>
      <c r="BE672" t="s">
        <v>5001</v>
      </c>
      <c r="BF672" t="str">
        <f>HYPERLINK("http://dx.doi.org/10.1080/07438141.2011.551027","http://dx.doi.org/10.1080/07438141.2011.551027")</f>
        <v>http://dx.doi.org/10.1080/07438141.2011.551027</v>
      </c>
      <c r="BG672" t="s">
        <v>74</v>
      </c>
      <c r="BH672" t="s">
        <v>74</v>
      </c>
      <c r="BI672" t="s">
        <v>74</v>
      </c>
      <c r="BJ672" t="s">
        <v>74</v>
      </c>
      <c r="BK672" t="s">
        <v>74</v>
      </c>
      <c r="BL672" t="s">
        <v>74</v>
      </c>
      <c r="BM672" t="s">
        <v>74</v>
      </c>
      <c r="BN672" t="s">
        <v>74</v>
      </c>
      <c r="BO672" t="s">
        <v>74</v>
      </c>
      <c r="BP672" t="s">
        <v>74</v>
      </c>
      <c r="BQ672" t="s">
        <v>74</v>
      </c>
      <c r="BR672" t="s">
        <v>74</v>
      </c>
      <c r="BS672" t="s">
        <v>5002</v>
      </c>
      <c r="BT672" t="str">
        <f>HYPERLINK("https%3A%2F%2Fwww.webofscience.com%2Fwos%2Fwoscc%2Ffull-record%2FWOS:000288676400002","View Full Record in Web of Science")</f>
        <v>View Full Record in Web of Science</v>
      </c>
    </row>
    <row r="673" spans="1:72" x14ac:dyDescent="0.2">
      <c r="A673" t="s">
        <v>2716</v>
      </c>
      <c r="B673" t="s">
        <v>5003</v>
      </c>
      <c r="C673" t="s">
        <v>74</v>
      </c>
      <c r="D673" t="s">
        <v>5004</v>
      </c>
      <c r="E673" t="s">
        <v>74</v>
      </c>
      <c r="F673" t="s">
        <v>5005</v>
      </c>
      <c r="G673" t="s">
        <v>74</v>
      </c>
      <c r="H673" t="s">
        <v>74</v>
      </c>
      <c r="I673" t="s">
        <v>5006</v>
      </c>
      <c r="J673" t="s">
        <v>5007</v>
      </c>
      <c r="K673" t="s">
        <v>74</v>
      </c>
      <c r="L673" t="s">
        <v>74</v>
      </c>
      <c r="M673" t="s">
        <v>74</v>
      </c>
      <c r="N673" t="s">
        <v>74</v>
      </c>
      <c r="O673" t="s">
        <v>74</v>
      </c>
      <c r="P673" t="s">
        <v>74</v>
      </c>
      <c r="Q673" t="s">
        <v>74</v>
      </c>
      <c r="R673" t="s">
        <v>74</v>
      </c>
      <c r="S673" t="s">
        <v>74</v>
      </c>
      <c r="T673" t="s">
        <v>74</v>
      </c>
      <c r="U673" t="s">
        <v>74</v>
      </c>
      <c r="V673" t="s">
        <v>74</v>
      </c>
      <c r="W673" t="s">
        <v>74</v>
      </c>
      <c r="X673" t="s">
        <v>74</v>
      </c>
      <c r="Y673" t="s">
        <v>74</v>
      </c>
      <c r="Z673" t="s">
        <v>74</v>
      </c>
      <c r="AA673" t="s">
        <v>74</v>
      </c>
      <c r="AB673" t="s">
        <v>5008</v>
      </c>
      <c r="AC673" t="s">
        <v>74</v>
      </c>
      <c r="AD673" t="s">
        <v>74</v>
      </c>
      <c r="AE673" t="s">
        <v>74</v>
      </c>
      <c r="AF673" t="s">
        <v>74</v>
      </c>
      <c r="AG673" t="s">
        <v>74</v>
      </c>
      <c r="AH673" t="s">
        <v>74</v>
      </c>
      <c r="AI673" t="s">
        <v>74</v>
      </c>
      <c r="AJ673" t="s">
        <v>74</v>
      </c>
      <c r="AK673" t="s">
        <v>74</v>
      </c>
      <c r="AL673" t="s">
        <v>74</v>
      </c>
      <c r="AM673" t="s">
        <v>74</v>
      </c>
      <c r="AN673" t="s">
        <v>74</v>
      </c>
      <c r="AO673" t="s">
        <v>74</v>
      </c>
      <c r="AP673" t="s">
        <v>74</v>
      </c>
      <c r="AQ673" t="s">
        <v>5009</v>
      </c>
      <c r="AR673" t="s">
        <v>74</v>
      </c>
      <c r="AS673" t="s">
        <v>74</v>
      </c>
      <c r="AT673" t="s">
        <v>74</v>
      </c>
      <c r="AU673">
        <v>2011</v>
      </c>
      <c r="AV673" t="s">
        <v>74</v>
      </c>
      <c r="AW673" t="s">
        <v>74</v>
      </c>
      <c r="AX673" t="s">
        <v>74</v>
      </c>
      <c r="AY673" t="s">
        <v>74</v>
      </c>
      <c r="AZ673" t="s">
        <v>74</v>
      </c>
      <c r="BA673" t="s">
        <v>74</v>
      </c>
      <c r="BB673">
        <v>211</v>
      </c>
      <c r="BC673">
        <v>223</v>
      </c>
      <c r="BD673" t="s">
        <v>74</v>
      </c>
      <c r="BE673" t="s">
        <v>5010</v>
      </c>
      <c r="BF673" t="str">
        <f>HYPERLINK("http://dx.doi.org/10.1007/978-90-481-9625-8_10","http://dx.doi.org/10.1007/978-90-481-9625-8_10")</f>
        <v>http://dx.doi.org/10.1007/978-90-481-9625-8_10</v>
      </c>
      <c r="BG673" t="s">
        <v>5011</v>
      </c>
      <c r="BH673" t="s">
        <v>74</v>
      </c>
      <c r="BI673" t="s">
        <v>74</v>
      </c>
      <c r="BJ673" t="s">
        <v>74</v>
      </c>
      <c r="BK673" t="s">
        <v>74</v>
      </c>
      <c r="BL673" t="s">
        <v>74</v>
      </c>
      <c r="BM673" t="s">
        <v>74</v>
      </c>
      <c r="BN673" t="s">
        <v>74</v>
      </c>
      <c r="BO673" t="s">
        <v>74</v>
      </c>
      <c r="BP673" t="s">
        <v>74</v>
      </c>
      <c r="BQ673" t="s">
        <v>74</v>
      </c>
      <c r="BR673" t="s">
        <v>74</v>
      </c>
      <c r="BS673" t="s">
        <v>5012</v>
      </c>
      <c r="BT673" t="str">
        <f>HYPERLINK("https%3A%2F%2Fwww.webofscience.com%2Fwos%2Fwoscc%2Ffull-record%2FWOS:000283620400010","View Full Record in Web of Science")</f>
        <v>View Full Record in Web of Science</v>
      </c>
    </row>
    <row r="674" spans="1:72" x14ac:dyDescent="0.2">
      <c r="A674" t="s">
        <v>72</v>
      </c>
      <c r="B674" t="s">
        <v>5013</v>
      </c>
      <c r="C674" t="s">
        <v>74</v>
      </c>
      <c r="D674" t="s">
        <v>74</v>
      </c>
      <c r="E674" t="s">
        <v>74</v>
      </c>
      <c r="F674" t="s">
        <v>5014</v>
      </c>
      <c r="G674" t="s">
        <v>74</v>
      </c>
      <c r="H674" t="s">
        <v>74</v>
      </c>
      <c r="I674" t="s">
        <v>5015</v>
      </c>
      <c r="J674" t="s">
        <v>5016</v>
      </c>
      <c r="K674" t="s">
        <v>74</v>
      </c>
      <c r="L674" t="s">
        <v>74</v>
      </c>
      <c r="M674" t="s">
        <v>74</v>
      </c>
      <c r="N674" t="s">
        <v>74</v>
      </c>
      <c r="O674" t="s">
        <v>74</v>
      </c>
      <c r="P674" t="s">
        <v>74</v>
      </c>
      <c r="Q674" t="s">
        <v>74</v>
      </c>
      <c r="R674" t="s">
        <v>74</v>
      </c>
      <c r="S674" t="s">
        <v>74</v>
      </c>
      <c r="T674" t="s">
        <v>74</v>
      </c>
      <c r="U674" t="s">
        <v>74</v>
      </c>
      <c r="V674" t="s">
        <v>74</v>
      </c>
      <c r="W674" t="s">
        <v>74</v>
      </c>
      <c r="X674" t="s">
        <v>74</v>
      </c>
      <c r="Y674" t="s">
        <v>74</v>
      </c>
      <c r="Z674" t="s">
        <v>74</v>
      </c>
      <c r="AA674" t="s">
        <v>74</v>
      </c>
      <c r="AB674" t="s">
        <v>74</v>
      </c>
      <c r="AC674" t="s">
        <v>74</v>
      </c>
      <c r="AD674" t="s">
        <v>74</v>
      </c>
      <c r="AE674" t="s">
        <v>74</v>
      </c>
      <c r="AF674" t="s">
        <v>74</v>
      </c>
      <c r="AG674" t="s">
        <v>74</v>
      </c>
      <c r="AH674" t="s">
        <v>74</v>
      </c>
      <c r="AI674" t="s">
        <v>74</v>
      </c>
      <c r="AJ674" t="s">
        <v>74</v>
      </c>
      <c r="AK674" t="s">
        <v>74</v>
      </c>
      <c r="AL674" t="s">
        <v>74</v>
      </c>
      <c r="AM674" t="s">
        <v>74</v>
      </c>
      <c r="AN674" t="s">
        <v>74</v>
      </c>
      <c r="AO674" t="s">
        <v>5017</v>
      </c>
      <c r="AP674" t="s">
        <v>5018</v>
      </c>
      <c r="AQ674" t="s">
        <v>74</v>
      </c>
      <c r="AR674" t="s">
        <v>74</v>
      </c>
      <c r="AS674" t="s">
        <v>74</v>
      </c>
      <c r="AT674" t="s">
        <v>74</v>
      </c>
      <c r="AU674">
        <v>2011</v>
      </c>
      <c r="AV674">
        <v>70</v>
      </c>
      <c r="AW674">
        <v>2</v>
      </c>
      <c r="AX674" t="s">
        <v>74</v>
      </c>
      <c r="AY674" t="s">
        <v>74</v>
      </c>
      <c r="AZ674" t="s">
        <v>74</v>
      </c>
      <c r="BA674" t="s">
        <v>74</v>
      </c>
      <c r="BB674">
        <v>329</v>
      </c>
      <c r="BC674">
        <v>333</v>
      </c>
      <c r="BD674" t="s">
        <v>74</v>
      </c>
      <c r="BE674" t="s">
        <v>5019</v>
      </c>
      <c r="BF674" t="str">
        <f>HYPERLINK("http://dx.doi.org/10.4081/jlimnol.2011.329","http://dx.doi.org/10.4081/jlimnol.2011.329")</f>
        <v>http://dx.doi.org/10.4081/jlimnol.2011.329</v>
      </c>
      <c r="BG674" t="s">
        <v>74</v>
      </c>
      <c r="BH674" t="s">
        <v>74</v>
      </c>
      <c r="BI674" t="s">
        <v>74</v>
      </c>
      <c r="BJ674" t="s">
        <v>74</v>
      </c>
      <c r="BK674" t="s">
        <v>74</v>
      </c>
      <c r="BL674" t="s">
        <v>74</v>
      </c>
      <c r="BM674" t="s">
        <v>74</v>
      </c>
      <c r="BN674" t="s">
        <v>74</v>
      </c>
      <c r="BO674" t="s">
        <v>74</v>
      </c>
      <c r="BP674" t="s">
        <v>74</v>
      </c>
      <c r="BQ674" t="s">
        <v>74</v>
      </c>
      <c r="BR674" t="s">
        <v>74</v>
      </c>
      <c r="BS674" t="s">
        <v>5020</v>
      </c>
      <c r="BT674" t="str">
        <f>HYPERLINK("https%3A%2F%2Fwww.webofscience.com%2Fwos%2Fwoscc%2Ffull-record%2FWOS:000294320400020","View Full Record in Web of Science")</f>
        <v>View Full Record in Web of Science</v>
      </c>
    </row>
    <row r="675" spans="1:72" x14ac:dyDescent="0.2">
      <c r="A675" t="s">
        <v>72</v>
      </c>
      <c r="B675" t="s">
        <v>5021</v>
      </c>
      <c r="C675" t="s">
        <v>74</v>
      </c>
      <c r="D675" t="s">
        <v>74</v>
      </c>
      <c r="E675" t="s">
        <v>74</v>
      </c>
      <c r="F675" t="s">
        <v>5022</v>
      </c>
      <c r="G675" t="s">
        <v>74</v>
      </c>
      <c r="H675" t="s">
        <v>74</v>
      </c>
      <c r="I675" t="s">
        <v>5023</v>
      </c>
      <c r="J675" t="s">
        <v>3271</v>
      </c>
      <c r="K675" t="s">
        <v>74</v>
      </c>
      <c r="L675" t="s">
        <v>74</v>
      </c>
      <c r="M675" t="s">
        <v>74</v>
      </c>
      <c r="N675" t="s">
        <v>74</v>
      </c>
      <c r="O675" t="s">
        <v>74</v>
      </c>
      <c r="P675" t="s">
        <v>74</v>
      </c>
      <c r="Q675" t="s">
        <v>74</v>
      </c>
      <c r="R675" t="s">
        <v>74</v>
      </c>
      <c r="S675" t="s">
        <v>74</v>
      </c>
      <c r="T675" t="s">
        <v>74</v>
      </c>
      <c r="U675" t="s">
        <v>74</v>
      </c>
      <c r="V675" t="s">
        <v>74</v>
      </c>
      <c r="W675" t="s">
        <v>74</v>
      </c>
      <c r="X675" t="s">
        <v>74</v>
      </c>
      <c r="Y675" t="s">
        <v>74</v>
      </c>
      <c r="Z675" t="s">
        <v>74</v>
      </c>
      <c r="AA675" t="s">
        <v>7135</v>
      </c>
      <c r="AB675" t="s">
        <v>7136</v>
      </c>
      <c r="AC675" t="s">
        <v>74</v>
      </c>
      <c r="AD675" t="s">
        <v>74</v>
      </c>
      <c r="AE675" t="s">
        <v>74</v>
      </c>
      <c r="AF675" t="s">
        <v>74</v>
      </c>
      <c r="AG675" t="s">
        <v>74</v>
      </c>
      <c r="AH675" t="s">
        <v>74</v>
      </c>
      <c r="AI675" t="s">
        <v>74</v>
      </c>
      <c r="AJ675" t="s">
        <v>74</v>
      </c>
      <c r="AK675" t="s">
        <v>74</v>
      </c>
      <c r="AL675" t="s">
        <v>74</v>
      </c>
      <c r="AM675" t="s">
        <v>74</v>
      </c>
      <c r="AN675" t="s">
        <v>74</v>
      </c>
      <c r="AO675" t="s">
        <v>3274</v>
      </c>
      <c r="AP675" t="s">
        <v>3275</v>
      </c>
      <c r="AQ675" t="s">
        <v>74</v>
      </c>
      <c r="AR675" t="s">
        <v>74</v>
      </c>
      <c r="AS675" t="s">
        <v>74</v>
      </c>
      <c r="AT675" t="s">
        <v>82</v>
      </c>
      <c r="AU675">
        <v>2010</v>
      </c>
      <c r="AV675">
        <v>60</v>
      </c>
      <c r="AW675" t="s">
        <v>74</v>
      </c>
      <c r="AX675">
        <v>12</v>
      </c>
      <c r="AY675" t="s">
        <v>74</v>
      </c>
      <c r="AZ675" t="s">
        <v>74</v>
      </c>
      <c r="BA675" t="s">
        <v>74</v>
      </c>
      <c r="BB675">
        <v>2710</v>
      </c>
      <c r="BC675">
        <v>2714</v>
      </c>
      <c r="BD675" t="s">
        <v>74</v>
      </c>
      <c r="BE675" t="s">
        <v>5024</v>
      </c>
      <c r="BF675" t="str">
        <f>HYPERLINK("http://dx.doi.org/10.1099/ijs.0.018952-0","http://dx.doi.org/10.1099/ijs.0.018952-0")</f>
        <v>http://dx.doi.org/10.1099/ijs.0.018952-0</v>
      </c>
      <c r="BG675" t="s">
        <v>74</v>
      </c>
      <c r="BH675" t="s">
        <v>74</v>
      </c>
      <c r="BI675" t="s">
        <v>74</v>
      </c>
      <c r="BJ675" t="s">
        <v>74</v>
      </c>
      <c r="BK675" t="s">
        <v>74</v>
      </c>
      <c r="BL675" t="s">
        <v>74</v>
      </c>
      <c r="BM675" t="s">
        <v>74</v>
      </c>
      <c r="BN675">
        <v>20061501</v>
      </c>
      <c r="BO675" t="s">
        <v>74</v>
      </c>
      <c r="BP675" t="s">
        <v>74</v>
      </c>
      <c r="BQ675" t="s">
        <v>74</v>
      </c>
      <c r="BR675" t="s">
        <v>74</v>
      </c>
      <c r="BS675" t="s">
        <v>5025</v>
      </c>
      <c r="BT675" t="str">
        <f>HYPERLINK("https%3A%2F%2Fwww.webofscience.com%2Fwos%2Fwoscc%2Ffull-record%2FWOS:000286169100003","View Full Record in Web of Science")</f>
        <v>View Full Record in Web of Science</v>
      </c>
    </row>
    <row r="676" spans="1:72" x14ac:dyDescent="0.2">
      <c r="A676" t="s">
        <v>72</v>
      </c>
      <c r="B676" t="s">
        <v>5026</v>
      </c>
      <c r="C676" t="s">
        <v>74</v>
      </c>
      <c r="D676" t="s">
        <v>74</v>
      </c>
      <c r="E676" t="s">
        <v>74</v>
      </c>
      <c r="F676" t="s">
        <v>5027</v>
      </c>
      <c r="G676" t="s">
        <v>74</v>
      </c>
      <c r="H676" t="s">
        <v>74</v>
      </c>
      <c r="I676" t="s">
        <v>5028</v>
      </c>
      <c r="J676" t="s">
        <v>5029</v>
      </c>
      <c r="K676" t="s">
        <v>74</v>
      </c>
      <c r="L676" t="s">
        <v>74</v>
      </c>
      <c r="M676" t="s">
        <v>74</v>
      </c>
      <c r="N676" t="s">
        <v>74</v>
      </c>
      <c r="O676" t="s">
        <v>74</v>
      </c>
      <c r="P676" t="s">
        <v>74</v>
      </c>
      <c r="Q676" t="s">
        <v>74</v>
      </c>
      <c r="R676" t="s">
        <v>74</v>
      </c>
      <c r="S676" t="s">
        <v>74</v>
      </c>
      <c r="T676" t="s">
        <v>74</v>
      </c>
      <c r="U676" t="s">
        <v>74</v>
      </c>
      <c r="V676" t="s">
        <v>74</v>
      </c>
      <c r="W676" t="s">
        <v>74</v>
      </c>
      <c r="X676" t="s">
        <v>74</v>
      </c>
      <c r="Y676" t="s">
        <v>74</v>
      </c>
      <c r="Z676" t="s">
        <v>74</v>
      </c>
      <c r="AA676" t="s">
        <v>5030</v>
      </c>
      <c r="AB676" t="s">
        <v>5031</v>
      </c>
      <c r="AC676" t="s">
        <v>74</v>
      </c>
      <c r="AD676" t="s">
        <v>74</v>
      </c>
      <c r="AE676" t="s">
        <v>74</v>
      </c>
      <c r="AF676" t="s">
        <v>74</v>
      </c>
      <c r="AG676" t="s">
        <v>74</v>
      </c>
      <c r="AH676" t="s">
        <v>74</v>
      </c>
      <c r="AI676" t="s">
        <v>74</v>
      </c>
      <c r="AJ676" t="s">
        <v>74</v>
      </c>
      <c r="AK676" t="s">
        <v>74</v>
      </c>
      <c r="AL676" t="s">
        <v>74</v>
      </c>
      <c r="AM676" t="s">
        <v>74</v>
      </c>
      <c r="AN676" t="s">
        <v>74</v>
      </c>
      <c r="AO676" t="s">
        <v>5032</v>
      </c>
      <c r="AP676" t="s">
        <v>5033</v>
      </c>
      <c r="AQ676" t="s">
        <v>74</v>
      </c>
      <c r="AR676" t="s">
        <v>74</v>
      </c>
      <c r="AS676" t="s">
        <v>74</v>
      </c>
      <c r="AT676" t="s">
        <v>5034</v>
      </c>
      <c r="AU676">
        <v>2010</v>
      </c>
      <c r="AV676">
        <v>333</v>
      </c>
      <c r="AW676" t="s">
        <v>5035</v>
      </c>
      <c r="AX676" t="s">
        <v>74</v>
      </c>
      <c r="AY676" t="s">
        <v>74</v>
      </c>
      <c r="AZ676" t="s">
        <v>74</v>
      </c>
      <c r="BA676" t="s">
        <v>74</v>
      </c>
      <c r="BB676">
        <v>836</v>
      </c>
      <c r="BC676">
        <v>840</v>
      </c>
      <c r="BD676" t="s">
        <v>74</v>
      </c>
      <c r="BE676" t="s">
        <v>5036</v>
      </c>
      <c r="BF676" t="str">
        <f>HYPERLINK("http://dx.doi.org/10.1016/j.crvi.2010.09.004","http://dx.doi.org/10.1016/j.crvi.2010.09.004")</f>
        <v>http://dx.doi.org/10.1016/j.crvi.2010.09.004</v>
      </c>
      <c r="BG676" t="s">
        <v>74</v>
      </c>
      <c r="BH676" t="s">
        <v>74</v>
      </c>
      <c r="BI676" t="s">
        <v>74</v>
      </c>
      <c r="BJ676" t="s">
        <v>74</v>
      </c>
      <c r="BK676" t="s">
        <v>74</v>
      </c>
      <c r="BL676" t="s">
        <v>74</v>
      </c>
      <c r="BM676" t="s">
        <v>74</v>
      </c>
      <c r="BN676">
        <v>21146140</v>
      </c>
      <c r="BO676" t="s">
        <v>74</v>
      </c>
      <c r="BP676" t="s">
        <v>74</v>
      </c>
      <c r="BQ676" t="s">
        <v>74</v>
      </c>
      <c r="BR676" t="s">
        <v>74</v>
      </c>
      <c r="BS676" t="s">
        <v>5037</v>
      </c>
      <c r="BT676" t="str">
        <f>HYPERLINK("https%3A%2F%2Fwww.webofscience.com%2Fwos%2Fwoscc%2Ffull-record%2FWOS:000286037900010","View Full Record in Web of Science")</f>
        <v>View Full Record in Web of Science</v>
      </c>
    </row>
    <row r="677" spans="1:72" x14ac:dyDescent="0.2">
      <c r="A677" t="s">
        <v>72</v>
      </c>
      <c r="B677" t="s">
        <v>5038</v>
      </c>
      <c r="C677" t="s">
        <v>74</v>
      </c>
      <c r="D677" t="s">
        <v>74</v>
      </c>
      <c r="E677" t="s">
        <v>74</v>
      </c>
      <c r="F677" t="s">
        <v>5039</v>
      </c>
      <c r="G677" t="s">
        <v>74</v>
      </c>
      <c r="H677" t="s">
        <v>74</v>
      </c>
      <c r="I677" t="s">
        <v>5040</v>
      </c>
      <c r="J677" t="s">
        <v>2199</v>
      </c>
      <c r="K677" t="s">
        <v>74</v>
      </c>
      <c r="L677" t="s">
        <v>74</v>
      </c>
      <c r="M677" t="s">
        <v>74</v>
      </c>
      <c r="N677" t="s">
        <v>74</v>
      </c>
      <c r="O677" t="s">
        <v>74</v>
      </c>
      <c r="P677" t="s">
        <v>74</v>
      </c>
      <c r="Q677" t="s">
        <v>74</v>
      </c>
      <c r="R677" t="s">
        <v>74</v>
      </c>
      <c r="S677" t="s">
        <v>74</v>
      </c>
      <c r="T677" t="s">
        <v>74</v>
      </c>
      <c r="U677" t="s">
        <v>74</v>
      </c>
      <c r="V677" t="s">
        <v>74</v>
      </c>
      <c r="W677" t="s">
        <v>74</v>
      </c>
      <c r="X677" t="s">
        <v>74</v>
      </c>
      <c r="Y677" t="s">
        <v>74</v>
      </c>
      <c r="Z677" t="s">
        <v>74</v>
      </c>
      <c r="AA677" t="s">
        <v>1790</v>
      </c>
      <c r="AB677" t="s">
        <v>74</v>
      </c>
      <c r="AC677" t="s">
        <v>74</v>
      </c>
      <c r="AD677" t="s">
        <v>74</v>
      </c>
      <c r="AE677" t="s">
        <v>74</v>
      </c>
      <c r="AF677" t="s">
        <v>74</v>
      </c>
      <c r="AG677" t="s">
        <v>74</v>
      </c>
      <c r="AH677" t="s">
        <v>74</v>
      </c>
      <c r="AI677" t="s">
        <v>74</v>
      </c>
      <c r="AJ677" t="s">
        <v>74</v>
      </c>
      <c r="AK677" t="s">
        <v>74</v>
      </c>
      <c r="AL677" t="s">
        <v>74</v>
      </c>
      <c r="AM677" t="s">
        <v>74</v>
      </c>
      <c r="AN677" t="s">
        <v>74</v>
      </c>
      <c r="AO677" t="s">
        <v>2200</v>
      </c>
      <c r="AP677" t="s">
        <v>2201</v>
      </c>
      <c r="AQ677" t="s">
        <v>74</v>
      </c>
      <c r="AR677" t="s">
        <v>74</v>
      </c>
      <c r="AS677" t="s">
        <v>74</v>
      </c>
      <c r="AT677" t="s">
        <v>335</v>
      </c>
      <c r="AU677">
        <v>2010</v>
      </c>
      <c r="AV677">
        <v>19</v>
      </c>
      <c r="AW677">
        <v>8</v>
      </c>
      <c r="AX677" t="s">
        <v>74</v>
      </c>
      <c r="AY677" t="s">
        <v>74</v>
      </c>
      <c r="AZ677" t="s">
        <v>74</v>
      </c>
      <c r="BA677" t="s">
        <v>74</v>
      </c>
      <c r="BB677">
        <v>1620</v>
      </c>
      <c r="BC677">
        <v>1625</v>
      </c>
      <c r="BD677" t="s">
        <v>74</v>
      </c>
      <c r="BE677" t="s">
        <v>5041</v>
      </c>
      <c r="BF677" t="str">
        <f>HYPERLINK("http://dx.doi.org/10.1007/s10646-010-0547-3","http://dx.doi.org/10.1007/s10646-010-0547-3")</f>
        <v>http://dx.doi.org/10.1007/s10646-010-0547-3</v>
      </c>
      <c r="BG677" t="s">
        <v>74</v>
      </c>
      <c r="BH677" t="s">
        <v>74</v>
      </c>
      <c r="BI677" t="s">
        <v>74</v>
      </c>
      <c r="BJ677" t="s">
        <v>74</v>
      </c>
      <c r="BK677" t="s">
        <v>74</v>
      </c>
      <c r="BL677" t="s">
        <v>74</v>
      </c>
      <c r="BM677" t="s">
        <v>74</v>
      </c>
      <c r="BN677">
        <v>20862541</v>
      </c>
      <c r="BO677" t="s">
        <v>74</v>
      </c>
      <c r="BP677" t="s">
        <v>74</v>
      </c>
      <c r="BQ677" t="s">
        <v>74</v>
      </c>
      <c r="BR677" t="s">
        <v>74</v>
      </c>
      <c r="BS677" t="s">
        <v>5042</v>
      </c>
      <c r="BT677" t="str">
        <f>HYPERLINK("https%3A%2F%2Fwww.webofscience.com%2Fwos%2Fwoscc%2Ffull-record%2FWOS:000284363800025","View Full Record in Web of Science")</f>
        <v>View Full Record in Web of Science</v>
      </c>
    </row>
    <row r="678" spans="1:72" x14ac:dyDescent="0.2">
      <c r="A678" t="s">
        <v>72</v>
      </c>
      <c r="B678" t="s">
        <v>5043</v>
      </c>
      <c r="C678" t="s">
        <v>74</v>
      </c>
      <c r="D678" t="s">
        <v>74</v>
      </c>
      <c r="E678" t="s">
        <v>74</v>
      </c>
      <c r="F678" t="s">
        <v>5044</v>
      </c>
      <c r="G678" t="s">
        <v>74</v>
      </c>
      <c r="H678" t="s">
        <v>74</v>
      </c>
      <c r="I678" t="s">
        <v>5045</v>
      </c>
      <c r="J678" t="s">
        <v>124</v>
      </c>
      <c r="K678" t="s">
        <v>74</v>
      </c>
      <c r="L678" t="s">
        <v>74</v>
      </c>
      <c r="M678" t="s">
        <v>74</v>
      </c>
      <c r="N678" t="s">
        <v>74</v>
      </c>
      <c r="O678" t="s">
        <v>74</v>
      </c>
      <c r="P678" t="s">
        <v>74</v>
      </c>
      <c r="Q678" t="s">
        <v>74</v>
      </c>
      <c r="R678" t="s">
        <v>74</v>
      </c>
      <c r="S678" t="s">
        <v>74</v>
      </c>
      <c r="T678" t="s">
        <v>74</v>
      </c>
      <c r="U678" t="s">
        <v>74</v>
      </c>
      <c r="V678" t="s">
        <v>74</v>
      </c>
      <c r="W678" t="s">
        <v>74</v>
      </c>
      <c r="X678" t="s">
        <v>74</v>
      </c>
      <c r="Y678" t="s">
        <v>74</v>
      </c>
      <c r="Z678" t="s">
        <v>74</v>
      </c>
      <c r="AA678" t="s">
        <v>74</v>
      </c>
      <c r="AB678" t="s">
        <v>74</v>
      </c>
      <c r="AC678" t="s">
        <v>74</v>
      </c>
      <c r="AD678" t="s">
        <v>74</v>
      </c>
      <c r="AE678" t="s">
        <v>74</v>
      </c>
      <c r="AF678" t="s">
        <v>74</v>
      </c>
      <c r="AG678" t="s">
        <v>74</v>
      </c>
      <c r="AH678" t="s">
        <v>74</v>
      </c>
      <c r="AI678" t="s">
        <v>74</v>
      </c>
      <c r="AJ678" t="s">
        <v>74</v>
      </c>
      <c r="AK678" t="s">
        <v>74</v>
      </c>
      <c r="AL678" t="s">
        <v>74</v>
      </c>
      <c r="AM678" t="s">
        <v>74</v>
      </c>
      <c r="AN678" t="s">
        <v>74</v>
      </c>
      <c r="AO678" t="s">
        <v>127</v>
      </c>
      <c r="AP678" t="s">
        <v>128</v>
      </c>
      <c r="AQ678" t="s">
        <v>74</v>
      </c>
      <c r="AR678" t="s">
        <v>74</v>
      </c>
      <c r="AS678" t="s">
        <v>74</v>
      </c>
      <c r="AT678" t="s">
        <v>335</v>
      </c>
      <c r="AU678">
        <v>2010</v>
      </c>
      <c r="AV678">
        <v>655</v>
      </c>
      <c r="AW678">
        <v>1</v>
      </c>
      <c r="AX678" t="s">
        <v>74</v>
      </c>
      <c r="AY678" t="s">
        <v>74</v>
      </c>
      <c r="AZ678" t="s">
        <v>74</v>
      </c>
      <c r="BA678" t="s">
        <v>74</v>
      </c>
      <c r="BB678">
        <v>15</v>
      </c>
      <c r="BC678">
        <v>23</v>
      </c>
      <c r="BD678" t="s">
        <v>74</v>
      </c>
      <c r="BE678" t="s">
        <v>5046</v>
      </c>
      <c r="BF678" t="str">
        <f>HYPERLINK("http://dx.doi.org/10.1007/s10750-010-0399-0","http://dx.doi.org/10.1007/s10750-010-0399-0")</f>
        <v>http://dx.doi.org/10.1007/s10750-010-0399-0</v>
      </c>
      <c r="BG678" t="s">
        <v>74</v>
      </c>
      <c r="BH678" t="s">
        <v>74</v>
      </c>
      <c r="BI678" t="s">
        <v>74</v>
      </c>
      <c r="BJ678" t="s">
        <v>74</v>
      </c>
      <c r="BK678" t="s">
        <v>74</v>
      </c>
      <c r="BL678" t="s">
        <v>74</v>
      </c>
      <c r="BM678" t="s">
        <v>74</v>
      </c>
      <c r="BN678" t="s">
        <v>74</v>
      </c>
      <c r="BO678" t="s">
        <v>74</v>
      </c>
      <c r="BP678" t="s">
        <v>74</v>
      </c>
      <c r="BQ678" t="s">
        <v>74</v>
      </c>
      <c r="BR678" t="s">
        <v>74</v>
      </c>
      <c r="BS678" t="s">
        <v>5047</v>
      </c>
      <c r="BT678" t="str">
        <f>HYPERLINK("https%3A%2F%2Fwww.webofscience.com%2Fwos%2Fwoscc%2Ffull-record%2FWOS:000282179900002","View Full Record in Web of Science")</f>
        <v>View Full Record in Web of Science</v>
      </c>
    </row>
    <row r="679" spans="1:72" x14ac:dyDescent="0.2">
      <c r="A679" t="s">
        <v>72</v>
      </c>
      <c r="B679" t="s">
        <v>5048</v>
      </c>
      <c r="C679" t="s">
        <v>74</v>
      </c>
      <c r="D679" t="s">
        <v>74</v>
      </c>
      <c r="E679" t="s">
        <v>74</v>
      </c>
      <c r="F679" t="s">
        <v>5049</v>
      </c>
      <c r="G679" t="s">
        <v>74</v>
      </c>
      <c r="H679" t="s">
        <v>74</v>
      </c>
      <c r="I679" t="s">
        <v>5050</v>
      </c>
      <c r="J679" t="s">
        <v>124</v>
      </c>
      <c r="K679" t="s">
        <v>74</v>
      </c>
      <c r="L679" t="s">
        <v>74</v>
      </c>
      <c r="M679" t="s">
        <v>74</v>
      </c>
      <c r="N679" t="s">
        <v>74</v>
      </c>
      <c r="O679" t="s">
        <v>74</v>
      </c>
      <c r="P679" t="s">
        <v>74</v>
      </c>
      <c r="Q679" t="s">
        <v>74</v>
      </c>
      <c r="R679" t="s">
        <v>74</v>
      </c>
      <c r="S679" t="s">
        <v>74</v>
      </c>
      <c r="T679" t="s">
        <v>74</v>
      </c>
      <c r="U679" t="s">
        <v>74</v>
      </c>
      <c r="V679" t="s">
        <v>74</v>
      </c>
      <c r="W679" t="s">
        <v>74</v>
      </c>
      <c r="X679" t="s">
        <v>74</v>
      </c>
      <c r="Y679" t="s">
        <v>74</v>
      </c>
      <c r="Z679" t="s">
        <v>74</v>
      </c>
      <c r="AA679" t="s">
        <v>6741</v>
      </c>
      <c r="AB679" t="s">
        <v>7137</v>
      </c>
      <c r="AC679" t="s">
        <v>74</v>
      </c>
      <c r="AD679" t="s">
        <v>74</v>
      </c>
      <c r="AE679" t="s">
        <v>74</v>
      </c>
      <c r="AF679" t="s">
        <v>74</v>
      </c>
      <c r="AG679" t="s">
        <v>74</v>
      </c>
      <c r="AH679" t="s">
        <v>74</v>
      </c>
      <c r="AI679" t="s">
        <v>74</v>
      </c>
      <c r="AJ679" t="s">
        <v>74</v>
      </c>
      <c r="AK679" t="s">
        <v>74</v>
      </c>
      <c r="AL679" t="s">
        <v>74</v>
      </c>
      <c r="AM679" t="s">
        <v>74</v>
      </c>
      <c r="AN679" t="s">
        <v>74</v>
      </c>
      <c r="AO679" t="s">
        <v>127</v>
      </c>
      <c r="AP679" t="s">
        <v>128</v>
      </c>
      <c r="AQ679" t="s">
        <v>74</v>
      </c>
      <c r="AR679" t="s">
        <v>74</v>
      </c>
      <c r="AS679" t="s">
        <v>74</v>
      </c>
      <c r="AT679" t="s">
        <v>406</v>
      </c>
      <c r="AU679">
        <v>2010</v>
      </c>
      <c r="AV679">
        <v>653</v>
      </c>
      <c r="AW679">
        <v>1</v>
      </c>
      <c r="AX679" t="s">
        <v>74</v>
      </c>
      <c r="AY679" t="s">
        <v>74</v>
      </c>
      <c r="AZ679" t="s">
        <v>74</v>
      </c>
      <c r="BA679" t="s">
        <v>74</v>
      </c>
      <c r="BB679">
        <v>15</v>
      </c>
      <c r="BC679">
        <v>28</v>
      </c>
      <c r="BD679" t="s">
        <v>74</v>
      </c>
      <c r="BE679" t="s">
        <v>5051</v>
      </c>
      <c r="BF679" t="str">
        <f>HYPERLINK("http://dx.doi.org/10.1007/s10750-010-0341-5","http://dx.doi.org/10.1007/s10750-010-0341-5")</f>
        <v>http://dx.doi.org/10.1007/s10750-010-0341-5</v>
      </c>
      <c r="BG679" t="s">
        <v>74</v>
      </c>
      <c r="BH679" t="s">
        <v>74</v>
      </c>
      <c r="BI679" t="s">
        <v>74</v>
      </c>
      <c r="BJ679" t="s">
        <v>74</v>
      </c>
      <c r="BK679" t="s">
        <v>74</v>
      </c>
      <c r="BL679" t="s">
        <v>74</v>
      </c>
      <c r="BM679" t="s">
        <v>74</v>
      </c>
      <c r="BN679" t="s">
        <v>74</v>
      </c>
      <c r="BO679" t="s">
        <v>74</v>
      </c>
      <c r="BP679" t="s">
        <v>74</v>
      </c>
      <c r="BQ679" t="s">
        <v>74</v>
      </c>
      <c r="BR679" t="s">
        <v>74</v>
      </c>
      <c r="BS679" t="s">
        <v>5052</v>
      </c>
      <c r="BT679" t="str">
        <f>HYPERLINK("https%3A%2F%2Fwww.webofscience.com%2Fwos%2Fwoscc%2Ffull-record%2FWOS:000280092100003","View Full Record in Web of Science")</f>
        <v>View Full Record in Web of Science</v>
      </c>
    </row>
    <row r="680" spans="1:72" x14ac:dyDescent="0.2">
      <c r="A680" t="s">
        <v>72</v>
      </c>
      <c r="B680" t="s">
        <v>5053</v>
      </c>
      <c r="C680" t="s">
        <v>74</v>
      </c>
      <c r="D680" t="s">
        <v>74</v>
      </c>
      <c r="E680" t="s">
        <v>74</v>
      </c>
      <c r="F680" t="s">
        <v>5054</v>
      </c>
      <c r="G680" t="s">
        <v>74</v>
      </c>
      <c r="H680" t="s">
        <v>74</v>
      </c>
      <c r="I680" t="s">
        <v>5055</v>
      </c>
      <c r="J680" t="s">
        <v>124</v>
      </c>
      <c r="K680" t="s">
        <v>74</v>
      </c>
      <c r="L680" t="s">
        <v>74</v>
      </c>
      <c r="M680" t="s">
        <v>74</v>
      </c>
      <c r="N680" t="s">
        <v>74</v>
      </c>
      <c r="O680" t="s">
        <v>74</v>
      </c>
      <c r="P680" t="s">
        <v>74</v>
      </c>
      <c r="Q680" t="s">
        <v>74</v>
      </c>
      <c r="R680" t="s">
        <v>74</v>
      </c>
      <c r="S680" t="s">
        <v>74</v>
      </c>
      <c r="T680" t="s">
        <v>74</v>
      </c>
      <c r="U680" t="s">
        <v>74</v>
      </c>
      <c r="V680" t="s">
        <v>74</v>
      </c>
      <c r="W680" t="s">
        <v>74</v>
      </c>
      <c r="X680" t="s">
        <v>74</v>
      </c>
      <c r="Y680" t="s">
        <v>74</v>
      </c>
      <c r="Z680" t="s">
        <v>74</v>
      </c>
      <c r="AA680" t="s">
        <v>5056</v>
      </c>
      <c r="AB680" t="s">
        <v>5057</v>
      </c>
      <c r="AC680" t="s">
        <v>74</v>
      </c>
      <c r="AD680" t="s">
        <v>74</v>
      </c>
      <c r="AE680" t="s">
        <v>74</v>
      </c>
      <c r="AF680" t="s">
        <v>74</v>
      </c>
      <c r="AG680" t="s">
        <v>74</v>
      </c>
      <c r="AH680" t="s">
        <v>74</v>
      </c>
      <c r="AI680" t="s">
        <v>74</v>
      </c>
      <c r="AJ680" t="s">
        <v>74</v>
      </c>
      <c r="AK680" t="s">
        <v>74</v>
      </c>
      <c r="AL680" t="s">
        <v>74</v>
      </c>
      <c r="AM680" t="s">
        <v>74</v>
      </c>
      <c r="AN680" t="s">
        <v>74</v>
      </c>
      <c r="AO680" t="s">
        <v>127</v>
      </c>
      <c r="AP680" t="s">
        <v>74</v>
      </c>
      <c r="AQ680" t="s">
        <v>74</v>
      </c>
      <c r="AR680" t="s">
        <v>74</v>
      </c>
      <c r="AS680" t="s">
        <v>74</v>
      </c>
      <c r="AT680" t="s">
        <v>406</v>
      </c>
      <c r="AU680">
        <v>2010</v>
      </c>
      <c r="AV680">
        <v>653</v>
      </c>
      <c r="AW680">
        <v>1</v>
      </c>
      <c r="AX680" t="s">
        <v>74</v>
      </c>
      <c r="AY680" t="s">
        <v>74</v>
      </c>
      <c r="AZ680" t="s">
        <v>74</v>
      </c>
      <c r="BA680" t="s">
        <v>74</v>
      </c>
      <c r="BB680">
        <v>91</v>
      </c>
      <c r="BC680">
        <v>102</v>
      </c>
      <c r="BD680" t="s">
        <v>74</v>
      </c>
      <c r="BE680" t="s">
        <v>5058</v>
      </c>
      <c r="BF680" t="str">
        <f>HYPERLINK("http://dx.doi.org/10.1007/s10750-010-0346-0","http://dx.doi.org/10.1007/s10750-010-0346-0")</f>
        <v>http://dx.doi.org/10.1007/s10750-010-0346-0</v>
      </c>
      <c r="BG680" t="s">
        <v>74</v>
      </c>
      <c r="BH680" t="s">
        <v>74</v>
      </c>
      <c r="BI680" t="s">
        <v>74</v>
      </c>
      <c r="BJ680" t="s">
        <v>74</v>
      </c>
      <c r="BK680" t="s">
        <v>74</v>
      </c>
      <c r="BL680" t="s">
        <v>74</v>
      </c>
      <c r="BM680" t="s">
        <v>74</v>
      </c>
      <c r="BN680" t="s">
        <v>74</v>
      </c>
      <c r="BO680" t="s">
        <v>74</v>
      </c>
      <c r="BP680" t="s">
        <v>74</v>
      </c>
      <c r="BQ680" t="s">
        <v>74</v>
      </c>
      <c r="BR680" t="s">
        <v>74</v>
      </c>
      <c r="BS680" t="s">
        <v>5059</v>
      </c>
      <c r="BT680" t="str">
        <f>HYPERLINK("https%3A%2F%2Fwww.webofscience.com%2Fwos%2Fwoscc%2Ffull-record%2FWOS:000280092100008","View Full Record in Web of Science")</f>
        <v>View Full Record in Web of Science</v>
      </c>
    </row>
    <row r="681" spans="1:72" x14ac:dyDescent="0.2">
      <c r="A681" t="s">
        <v>72</v>
      </c>
      <c r="B681" t="s">
        <v>5060</v>
      </c>
      <c r="C681" t="s">
        <v>74</v>
      </c>
      <c r="D681" t="s">
        <v>74</v>
      </c>
      <c r="E681" t="s">
        <v>74</v>
      </c>
      <c r="F681" t="s">
        <v>5061</v>
      </c>
      <c r="G681" t="s">
        <v>74</v>
      </c>
      <c r="H681" t="s">
        <v>74</v>
      </c>
      <c r="I681" t="s">
        <v>5062</v>
      </c>
      <c r="J681" t="s">
        <v>423</v>
      </c>
      <c r="K681" t="s">
        <v>74</v>
      </c>
      <c r="L681" t="s">
        <v>74</v>
      </c>
      <c r="M681" t="s">
        <v>74</v>
      </c>
      <c r="N681" t="s">
        <v>74</v>
      </c>
      <c r="O681" t="s">
        <v>74</v>
      </c>
      <c r="P681" t="s">
        <v>74</v>
      </c>
      <c r="Q681" t="s">
        <v>74</v>
      </c>
      <c r="R681" t="s">
        <v>74</v>
      </c>
      <c r="S681" t="s">
        <v>74</v>
      </c>
      <c r="T681" t="s">
        <v>74</v>
      </c>
      <c r="U681" t="s">
        <v>74</v>
      </c>
      <c r="V681" t="s">
        <v>74</v>
      </c>
      <c r="W681" t="s">
        <v>74</v>
      </c>
      <c r="X681" t="s">
        <v>74</v>
      </c>
      <c r="Y681" t="s">
        <v>74</v>
      </c>
      <c r="Z681" t="s">
        <v>74</v>
      </c>
      <c r="AA681" t="s">
        <v>74</v>
      </c>
      <c r="AB681" t="s">
        <v>5063</v>
      </c>
      <c r="AC681" t="s">
        <v>74</v>
      </c>
      <c r="AD681" t="s">
        <v>74</v>
      </c>
      <c r="AE681" t="s">
        <v>74</v>
      </c>
      <c r="AF681" t="s">
        <v>74</v>
      </c>
      <c r="AG681" t="s">
        <v>74</v>
      </c>
      <c r="AH681" t="s">
        <v>74</v>
      </c>
      <c r="AI681" t="s">
        <v>74</v>
      </c>
      <c r="AJ681" t="s">
        <v>74</v>
      </c>
      <c r="AK681" t="s">
        <v>74</v>
      </c>
      <c r="AL681" t="s">
        <v>74</v>
      </c>
      <c r="AM681" t="s">
        <v>74</v>
      </c>
      <c r="AN681" t="s">
        <v>74</v>
      </c>
      <c r="AO681" t="s">
        <v>425</v>
      </c>
      <c r="AP681" t="s">
        <v>426</v>
      </c>
      <c r="AQ681" t="s">
        <v>74</v>
      </c>
      <c r="AR681" t="s">
        <v>74</v>
      </c>
      <c r="AS681" t="s">
        <v>74</v>
      </c>
      <c r="AT681" t="s">
        <v>451</v>
      </c>
      <c r="AU681">
        <v>2010</v>
      </c>
      <c r="AV681">
        <v>55</v>
      </c>
      <c r="AW681">
        <v>9</v>
      </c>
      <c r="AX681" t="s">
        <v>74</v>
      </c>
      <c r="AY681" t="s">
        <v>74</v>
      </c>
      <c r="AZ681" t="s">
        <v>74</v>
      </c>
      <c r="BA681" t="s">
        <v>74</v>
      </c>
      <c r="BB681">
        <v>1818</v>
      </c>
      <c r="BC681">
        <v>1830</v>
      </c>
      <c r="BD681" t="s">
        <v>74</v>
      </c>
      <c r="BE681" t="s">
        <v>5064</v>
      </c>
      <c r="BF681" t="str">
        <f>HYPERLINK("http://dx.doi.org/10.1111/j.1365-2427.2010.02416.x","http://dx.doi.org/10.1111/j.1365-2427.2010.02416.x")</f>
        <v>http://dx.doi.org/10.1111/j.1365-2427.2010.02416.x</v>
      </c>
      <c r="BG681" t="s">
        <v>74</v>
      </c>
      <c r="BH681" t="s">
        <v>74</v>
      </c>
      <c r="BI681" t="s">
        <v>74</v>
      </c>
      <c r="BJ681" t="s">
        <v>74</v>
      </c>
      <c r="BK681" t="s">
        <v>74</v>
      </c>
      <c r="BL681" t="s">
        <v>74</v>
      </c>
      <c r="BM681" t="s">
        <v>74</v>
      </c>
      <c r="BN681" t="s">
        <v>74</v>
      </c>
      <c r="BO681" t="s">
        <v>74</v>
      </c>
      <c r="BP681" t="s">
        <v>74</v>
      </c>
      <c r="BQ681" t="s">
        <v>74</v>
      </c>
      <c r="BR681" t="s">
        <v>74</v>
      </c>
      <c r="BS681" t="s">
        <v>5065</v>
      </c>
      <c r="BT681" t="str">
        <f>HYPERLINK("https%3A%2F%2Fwww.webofscience.com%2Fwos%2Fwoscc%2Ffull-record%2FWOS:000280997300002","View Full Record in Web of Science")</f>
        <v>View Full Record in Web of Science</v>
      </c>
    </row>
    <row r="682" spans="1:72" x14ac:dyDescent="0.2">
      <c r="A682" t="s">
        <v>72</v>
      </c>
      <c r="B682" t="s">
        <v>5066</v>
      </c>
      <c r="C682" t="s">
        <v>74</v>
      </c>
      <c r="D682" t="s">
        <v>74</v>
      </c>
      <c r="E682" t="s">
        <v>74</v>
      </c>
      <c r="F682" t="s">
        <v>5067</v>
      </c>
      <c r="G682" t="s">
        <v>74</v>
      </c>
      <c r="H682" t="s">
        <v>74</v>
      </c>
      <c r="I682" t="s">
        <v>5068</v>
      </c>
      <c r="J682" t="s">
        <v>3604</v>
      </c>
      <c r="K682" t="s">
        <v>74</v>
      </c>
      <c r="L682" t="s">
        <v>74</v>
      </c>
      <c r="M682" t="s">
        <v>74</v>
      </c>
      <c r="N682" t="s">
        <v>74</v>
      </c>
      <c r="O682" t="s">
        <v>74</v>
      </c>
      <c r="P682" t="s">
        <v>74</v>
      </c>
      <c r="Q682" t="s">
        <v>74</v>
      </c>
      <c r="R682" t="s">
        <v>74</v>
      </c>
      <c r="S682" t="s">
        <v>74</v>
      </c>
      <c r="T682" t="s">
        <v>74</v>
      </c>
      <c r="U682" t="s">
        <v>74</v>
      </c>
      <c r="V682" t="s">
        <v>74</v>
      </c>
      <c r="W682" t="s">
        <v>74</v>
      </c>
      <c r="X682" t="s">
        <v>74</v>
      </c>
      <c r="Y682" t="s">
        <v>74</v>
      </c>
      <c r="Z682" t="s">
        <v>74</v>
      </c>
      <c r="AA682" t="s">
        <v>5069</v>
      </c>
      <c r="AB682" t="s">
        <v>5070</v>
      </c>
      <c r="AC682" t="s">
        <v>74</v>
      </c>
      <c r="AD682" t="s">
        <v>74</v>
      </c>
      <c r="AE682" t="s">
        <v>74</v>
      </c>
      <c r="AF682" t="s">
        <v>74</v>
      </c>
      <c r="AG682" t="s">
        <v>74</v>
      </c>
      <c r="AH682" t="s">
        <v>74</v>
      </c>
      <c r="AI682" t="s">
        <v>74</v>
      </c>
      <c r="AJ682" t="s">
        <v>74</v>
      </c>
      <c r="AK682" t="s">
        <v>74</v>
      </c>
      <c r="AL682" t="s">
        <v>74</v>
      </c>
      <c r="AM682" t="s">
        <v>74</v>
      </c>
      <c r="AN682" t="s">
        <v>74</v>
      </c>
      <c r="AO682" t="s">
        <v>3605</v>
      </c>
      <c r="AP682" t="s">
        <v>74</v>
      </c>
      <c r="AQ682" t="s">
        <v>74</v>
      </c>
      <c r="AR682" t="s">
        <v>74</v>
      </c>
      <c r="AS682" t="s">
        <v>74</v>
      </c>
      <c r="AT682" t="s">
        <v>451</v>
      </c>
      <c r="AU682">
        <v>2010</v>
      </c>
      <c r="AV682">
        <v>25</v>
      </c>
      <c r="AW682">
        <v>3</v>
      </c>
      <c r="AX682" t="s">
        <v>74</v>
      </c>
      <c r="AY682" t="s">
        <v>74</v>
      </c>
      <c r="AZ682" t="s">
        <v>74</v>
      </c>
      <c r="BA682" t="s">
        <v>74</v>
      </c>
      <c r="BB682">
        <v>427</v>
      </c>
      <c r="BC682">
        <v>435</v>
      </c>
      <c r="BD682" t="s">
        <v>74</v>
      </c>
      <c r="BE682" t="s">
        <v>5071</v>
      </c>
      <c r="BF682" t="str">
        <f>HYPERLINK("http://dx.doi.org/10.1080/02705060.2010.9664386","http://dx.doi.org/10.1080/02705060.2010.9664386")</f>
        <v>http://dx.doi.org/10.1080/02705060.2010.9664386</v>
      </c>
      <c r="BG682" t="s">
        <v>74</v>
      </c>
      <c r="BH682" t="s">
        <v>74</v>
      </c>
      <c r="BI682" t="s">
        <v>74</v>
      </c>
      <c r="BJ682" t="s">
        <v>74</v>
      </c>
      <c r="BK682" t="s">
        <v>74</v>
      </c>
      <c r="BL682" t="s">
        <v>74</v>
      </c>
      <c r="BM682" t="s">
        <v>74</v>
      </c>
      <c r="BN682" t="s">
        <v>74</v>
      </c>
      <c r="BO682" t="s">
        <v>74</v>
      </c>
      <c r="BP682" t="s">
        <v>74</v>
      </c>
      <c r="BQ682" t="s">
        <v>74</v>
      </c>
      <c r="BR682" t="s">
        <v>74</v>
      </c>
      <c r="BS682" t="s">
        <v>5072</v>
      </c>
      <c r="BT682" t="str">
        <f>HYPERLINK("https%3A%2F%2Fwww.webofscience.com%2Fwos%2Fwoscc%2Ffull-record%2FWOS:000281047300013","View Full Record in Web of Science")</f>
        <v>View Full Record in Web of Science</v>
      </c>
    </row>
    <row r="683" spans="1:72" x14ac:dyDescent="0.2">
      <c r="A683" t="s">
        <v>72</v>
      </c>
      <c r="B683" t="s">
        <v>5073</v>
      </c>
      <c r="C683" t="s">
        <v>74</v>
      </c>
      <c r="D683" t="s">
        <v>74</v>
      </c>
      <c r="E683" t="s">
        <v>74</v>
      </c>
      <c r="F683" t="s">
        <v>5074</v>
      </c>
      <c r="G683" t="s">
        <v>74</v>
      </c>
      <c r="H683" t="s">
        <v>74</v>
      </c>
      <c r="I683" t="s">
        <v>5075</v>
      </c>
      <c r="J683" t="s">
        <v>423</v>
      </c>
      <c r="K683" t="s">
        <v>74</v>
      </c>
      <c r="L683" t="s">
        <v>74</v>
      </c>
      <c r="M683" t="s">
        <v>74</v>
      </c>
      <c r="N683" t="s">
        <v>74</v>
      </c>
      <c r="O683" t="s">
        <v>74</v>
      </c>
      <c r="P683" t="s">
        <v>74</v>
      </c>
      <c r="Q683" t="s">
        <v>74</v>
      </c>
      <c r="R683" t="s">
        <v>74</v>
      </c>
      <c r="S683" t="s">
        <v>74</v>
      </c>
      <c r="T683" t="s">
        <v>74</v>
      </c>
      <c r="U683" t="s">
        <v>74</v>
      </c>
      <c r="V683" t="s">
        <v>74</v>
      </c>
      <c r="W683" t="s">
        <v>74</v>
      </c>
      <c r="X683" t="s">
        <v>74</v>
      </c>
      <c r="Y683" t="s">
        <v>74</v>
      </c>
      <c r="Z683" t="s">
        <v>74</v>
      </c>
      <c r="AA683" t="s">
        <v>5076</v>
      </c>
      <c r="AB683" t="s">
        <v>74</v>
      </c>
      <c r="AC683" t="s">
        <v>74</v>
      </c>
      <c r="AD683" t="s">
        <v>74</v>
      </c>
      <c r="AE683" t="s">
        <v>74</v>
      </c>
      <c r="AF683" t="s">
        <v>74</v>
      </c>
      <c r="AG683" t="s">
        <v>74</v>
      </c>
      <c r="AH683" t="s">
        <v>74</v>
      </c>
      <c r="AI683" t="s">
        <v>74</v>
      </c>
      <c r="AJ683" t="s">
        <v>74</v>
      </c>
      <c r="AK683" t="s">
        <v>74</v>
      </c>
      <c r="AL683" t="s">
        <v>74</v>
      </c>
      <c r="AM683" t="s">
        <v>74</v>
      </c>
      <c r="AN683" t="s">
        <v>74</v>
      </c>
      <c r="AO683" t="s">
        <v>425</v>
      </c>
      <c r="AP683" t="s">
        <v>426</v>
      </c>
      <c r="AQ683" t="s">
        <v>74</v>
      </c>
      <c r="AR683" t="s">
        <v>74</v>
      </c>
      <c r="AS683" t="s">
        <v>74</v>
      </c>
      <c r="AT683" t="s">
        <v>451</v>
      </c>
      <c r="AU683">
        <v>2010</v>
      </c>
      <c r="AV683">
        <v>55</v>
      </c>
      <c r="AW683">
        <v>9</v>
      </c>
      <c r="AX683" t="s">
        <v>74</v>
      </c>
      <c r="AY683" t="s">
        <v>74</v>
      </c>
      <c r="AZ683" t="s">
        <v>74</v>
      </c>
      <c r="BA683" t="s">
        <v>74</v>
      </c>
      <c r="BB683">
        <v>1845</v>
      </c>
      <c r="BC683">
        <v>1860</v>
      </c>
      <c r="BD683" t="s">
        <v>74</v>
      </c>
      <c r="BE683" t="s">
        <v>5077</v>
      </c>
      <c r="BF683" t="str">
        <f>HYPERLINK("http://dx.doi.org/10.1111/j.1365-2427.2010.02419.x","http://dx.doi.org/10.1111/j.1365-2427.2010.02419.x")</f>
        <v>http://dx.doi.org/10.1111/j.1365-2427.2010.02419.x</v>
      </c>
      <c r="BG683" t="s">
        <v>74</v>
      </c>
      <c r="BH683" t="s">
        <v>74</v>
      </c>
      <c r="BI683" t="s">
        <v>74</v>
      </c>
      <c r="BJ683" t="s">
        <v>74</v>
      </c>
      <c r="BK683" t="s">
        <v>74</v>
      </c>
      <c r="BL683" t="s">
        <v>74</v>
      </c>
      <c r="BM683" t="s">
        <v>74</v>
      </c>
      <c r="BN683" t="s">
        <v>74</v>
      </c>
      <c r="BO683" t="s">
        <v>74</v>
      </c>
      <c r="BP683" t="s">
        <v>74</v>
      </c>
      <c r="BQ683" t="s">
        <v>74</v>
      </c>
      <c r="BR683" t="s">
        <v>74</v>
      </c>
      <c r="BS683" t="s">
        <v>5078</v>
      </c>
      <c r="BT683" t="str">
        <f>HYPERLINK("https%3A%2F%2Fwww.webofscience.com%2Fwos%2Fwoscc%2Ffull-record%2FWOS:000280997300004","View Full Record in Web of Science")</f>
        <v>View Full Record in Web of Science</v>
      </c>
    </row>
    <row r="684" spans="1:72" x14ac:dyDescent="0.2">
      <c r="A684" t="s">
        <v>72</v>
      </c>
      <c r="B684" t="s">
        <v>5079</v>
      </c>
      <c r="C684" t="s">
        <v>74</v>
      </c>
      <c r="D684" t="s">
        <v>74</v>
      </c>
      <c r="E684" t="s">
        <v>74</v>
      </c>
      <c r="F684" t="s">
        <v>5080</v>
      </c>
      <c r="G684" t="s">
        <v>74</v>
      </c>
      <c r="H684" t="s">
        <v>74</v>
      </c>
      <c r="I684" t="s">
        <v>5081</v>
      </c>
      <c r="J684" t="s">
        <v>5082</v>
      </c>
      <c r="K684" t="s">
        <v>74</v>
      </c>
      <c r="L684" t="s">
        <v>74</v>
      </c>
      <c r="M684" t="s">
        <v>74</v>
      </c>
      <c r="N684" t="s">
        <v>74</v>
      </c>
      <c r="O684" t="s">
        <v>74</v>
      </c>
      <c r="P684" t="s">
        <v>74</v>
      </c>
      <c r="Q684" t="s">
        <v>74</v>
      </c>
      <c r="R684" t="s">
        <v>74</v>
      </c>
      <c r="S684" t="s">
        <v>74</v>
      </c>
      <c r="T684" t="s">
        <v>74</v>
      </c>
      <c r="U684" t="s">
        <v>74</v>
      </c>
      <c r="V684" t="s">
        <v>74</v>
      </c>
      <c r="W684" t="s">
        <v>74</v>
      </c>
      <c r="X684" t="s">
        <v>74</v>
      </c>
      <c r="Y684" t="s">
        <v>74</v>
      </c>
      <c r="Z684" t="s">
        <v>74</v>
      </c>
      <c r="AA684" t="s">
        <v>7138</v>
      </c>
      <c r="AB684" t="s">
        <v>74</v>
      </c>
      <c r="AC684" t="s">
        <v>74</v>
      </c>
      <c r="AD684" t="s">
        <v>74</v>
      </c>
      <c r="AE684" t="s">
        <v>74</v>
      </c>
      <c r="AF684" t="s">
        <v>74</v>
      </c>
      <c r="AG684" t="s">
        <v>74</v>
      </c>
      <c r="AH684" t="s">
        <v>74</v>
      </c>
      <c r="AI684" t="s">
        <v>74</v>
      </c>
      <c r="AJ684" t="s">
        <v>74</v>
      </c>
      <c r="AK684" t="s">
        <v>74</v>
      </c>
      <c r="AL684" t="s">
        <v>74</v>
      </c>
      <c r="AM684" t="s">
        <v>74</v>
      </c>
      <c r="AN684" t="s">
        <v>74</v>
      </c>
      <c r="AO684" t="s">
        <v>5083</v>
      </c>
      <c r="AP684" t="s">
        <v>74</v>
      </c>
      <c r="AQ684" t="s">
        <v>74</v>
      </c>
      <c r="AR684" t="s">
        <v>74</v>
      </c>
      <c r="AS684" t="s">
        <v>74</v>
      </c>
      <c r="AT684" t="s">
        <v>3641</v>
      </c>
      <c r="AU684">
        <v>2010</v>
      </c>
      <c r="AV684">
        <v>58</v>
      </c>
      <c r="AW684">
        <v>2</v>
      </c>
      <c r="AX684" t="s">
        <v>74</v>
      </c>
      <c r="AY684" t="s">
        <v>74</v>
      </c>
      <c r="AZ684" t="s">
        <v>74</v>
      </c>
      <c r="BA684" t="s">
        <v>74</v>
      </c>
      <c r="BB684">
        <v>311</v>
      </c>
      <c r="BC684">
        <v>322</v>
      </c>
      <c r="BD684" t="s">
        <v>74</v>
      </c>
      <c r="BE684" t="s">
        <v>74</v>
      </c>
      <c r="BF684" t="s">
        <v>74</v>
      </c>
      <c r="BG684" t="s">
        <v>74</v>
      </c>
      <c r="BH684" t="s">
        <v>74</v>
      </c>
      <c r="BI684" t="s">
        <v>74</v>
      </c>
      <c r="BJ684" t="s">
        <v>74</v>
      </c>
      <c r="BK684" t="s">
        <v>74</v>
      </c>
      <c r="BL684" t="s">
        <v>74</v>
      </c>
      <c r="BM684" t="s">
        <v>74</v>
      </c>
      <c r="BN684" t="s">
        <v>74</v>
      </c>
      <c r="BO684" t="s">
        <v>74</v>
      </c>
      <c r="BP684" t="s">
        <v>74</v>
      </c>
      <c r="BQ684" t="s">
        <v>74</v>
      </c>
      <c r="BR684" t="s">
        <v>74</v>
      </c>
      <c r="BS684" t="s">
        <v>5084</v>
      </c>
      <c r="BT684" t="str">
        <f>HYPERLINK("https%3A%2F%2Fwww.webofscience.com%2Fwos%2Fwoscc%2Ffull-record%2FWOS:000282419800014","View Full Record in Web of Science")</f>
        <v>View Full Record in Web of Science</v>
      </c>
    </row>
    <row r="685" spans="1:72" x14ac:dyDescent="0.2">
      <c r="A685" t="s">
        <v>72</v>
      </c>
      <c r="B685" t="s">
        <v>5085</v>
      </c>
      <c r="C685" t="s">
        <v>74</v>
      </c>
      <c r="D685" t="s">
        <v>74</v>
      </c>
      <c r="E685" t="s">
        <v>74</v>
      </c>
      <c r="F685" t="s">
        <v>5086</v>
      </c>
      <c r="G685" t="s">
        <v>74</v>
      </c>
      <c r="H685" t="s">
        <v>74</v>
      </c>
      <c r="I685" t="s">
        <v>5087</v>
      </c>
      <c r="J685" t="s">
        <v>4668</v>
      </c>
      <c r="K685" t="s">
        <v>74</v>
      </c>
      <c r="L685" t="s">
        <v>74</v>
      </c>
      <c r="M685" t="s">
        <v>74</v>
      </c>
      <c r="N685" t="s">
        <v>74</v>
      </c>
      <c r="O685" t="s">
        <v>74</v>
      </c>
      <c r="P685" t="s">
        <v>74</v>
      </c>
      <c r="Q685" t="s">
        <v>74</v>
      </c>
      <c r="R685" t="s">
        <v>74</v>
      </c>
      <c r="S685" t="s">
        <v>74</v>
      </c>
      <c r="T685" t="s">
        <v>74</v>
      </c>
      <c r="U685" t="s">
        <v>74</v>
      </c>
      <c r="V685" t="s">
        <v>74</v>
      </c>
      <c r="W685" t="s">
        <v>74</v>
      </c>
      <c r="X685" t="s">
        <v>74</v>
      </c>
      <c r="Y685" t="s">
        <v>74</v>
      </c>
      <c r="Z685" t="s">
        <v>74</v>
      </c>
      <c r="AA685" t="s">
        <v>5088</v>
      </c>
      <c r="AB685" t="s">
        <v>7139</v>
      </c>
      <c r="AC685" t="s">
        <v>74</v>
      </c>
      <c r="AD685" t="s">
        <v>74</v>
      </c>
      <c r="AE685" t="s">
        <v>74</v>
      </c>
      <c r="AF685" t="s">
        <v>74</v>
      </c>
      <c r="AG685" t="s">
        <v>74</v>
      </c>
      <c r="AH685" t="s">
        <v>74</v>
      </c>
      <c r="AI685" t="s">
        <v>74</v>
      </c>
      <c r="AJ685" t="s">
        <v>74</v>
      </c>
      <c r="AK685" t="s">
        <v>74</v>
      </c>
      <c r="AL685" t="s">
        <v>74</v>
      </c>
      <c r="AM685" t="s">
        <v>74</v>
      </c>
      <c r="AN685" t="s">
        <v>74</v>
      </c>
      <c r="AO685" t="s">
        <v>4671</v>
      </c>
      <c r="AP685" t="s">
        <v>4672</v>
      </c>
      <c r="AQ685" t="s">
        <v>74</v>
      </c>
      <c r="AR685" t="s">
        <v>74</v>
      </c>
      <c r="AS685" t="s">
        <v>74</v>
      </c>
      <c r="AT685" t="s">
        <v>489</v>
      </c>
      <c r="AU685">
        <v>2010</v>
      </c>
      <c r="AV685">
        <v>306</v>
      </c>
      <c r="AW685" t="s">
        <v>5089</v>
      </c>
      <c r="AX685" t="s">
        <v>74</v>
      </c>
      <c r="AY685" t="s">
        <v>74</v>
      </c>
      <c r="AZ685" t="s">
        <v>74</v>
      </c>
      <c r="BA685" t="s">
        <v>74</v>
      </c>
      <c r="BB685">
        <v>127</v>
      </c>
      <c r="BC685">
        <v>136</v>
      </c>
      <c r="BD685" t="s">
        <v>74</v>
      </c>
      <c r="BE685" t="s">
        <v>5090</v>
      </c>
      <c r="BF685" t="str">
        <f>HYPERLINK("http://dx.doi.org/10.1016/j.aquaculture.2010.05.035","http://dx.doi.org/10.1016/j.aquaculture.2010.05.035")</f>
        <v>http://dx.doi.org/10.1016/j.aquaculture.2010.05.035</v>
      </c>
      <c r="BG685" t="s">
        <v>74</v>
      </c>
      <c r="BH685" t="s">
        <v>74</v>
      </c>
      <c r="BI685" t="s">
        <v>74</v>
      </c>
      <c r="BJ685" t="s">
        <v>74</v>
      </c>
      <c r="BK685" t="s">
        <v>74</v>
      </c>
      <c r="BL685" t="s">
        <v>74</v>
      </c>
      <c r="BM685" t="s">
        <v>74</v>
      </c>
      <c r="BN685" t="s">
        <v>74</v>
      </c>
      <c r="BO685" t="s">
        <v>74</v>
      </c>
      <c r="BP685" t="s">
        <v>74</v>
      </c>
      <c r="BQ685" t="s">
        <v>74</v>
      </c>
      <c r="BR685" t="s">
        <v>74</v>
      </c>
      <c r="BS685" t="s">
        <v>5091</v>
      </c>
      <c r="BT685" t="str">
        <f>HYPERLINK("https%3A%2F%2Fwww.webofscience.com%2Fwos%2Fwoscc%2Ffull-record%2FWOS:000280735200016","View Full Record in Web of Science")</f>
        <v>View Full Record in Web of Science</v>
      </c>
    </row>
    <row r="686" spans="1:72" x14ac:dyDescent="0.2">
      <c r="A686" t="s">
        <v>72</v>
      </c>
      <c r="B686" t="s">
        <v>5092</v>
      </c>
      <c r="C686" t="s">
        <v>74</v>
      </c>
      <c r="D686" t="s">
        <v>74</v>
      </c>
      <c r="E686" t="s">
        <v>74</v>
      </c>
      <c r="F686" t="s">
        <v>5093</v>
      </c>
      <c r="G686" t="s">
        <v>74</v>
      </c>
      <c r="H686" t="s">
        <v>74</v>
      </c>
      <c r="I686" t="s">
        <v>5094</v>
      </c>
      <c r="J686" t="s">
        <v>227</v>
      </c>
      <c r="K686" t="s">
        <v>74</v>
      </c>
      <c r="L686" t="s">
        <v>74</v>
      </c>
      <c r="M686" t="s">
        <v>74</v>
      </c>
      <c r="N686" t="s">
        <v>74</v>
      </c>
      <c r="O686" t="s">
        <v>74</v>
      </c>
      <c r="P686" t="s">
        <v>74</v>
      </c>
      <c r="Q686" t="s">
        <v>74</v>
      </c>
      <c r="R686" t="s">
        <v>74</v>
      </c>
      <c r="S686" t="s">
        <v>74</v>
      </c>
      <c r="T686" t="s">
        <v>74</v>
      </c>
      <c r="U686" t="s">
        <v>74</v>
      </c>
      <c r="V686" t="s">
        <v>74</v>
      </c>
      <c r="W686" t="s">
        <v>74</v>
      </c>
      <c r="X686" t="s">
        <v>74</v>
      </c>
      <c r="Y686" t="s">
        <v>74</v>
      </c>
      <c r="Z686" t="s">
        <v>74</v>
      </c>
      <c r="AA686" t="s">
        <v>7140</v>
      </c>
      <c r="AB686" t="s">
        <v>7141</v>
      </c>
      <c r="AC686" t="s">
        <v>74</v>
      </c>
      <c r="AD686" t="s">
        <v>74</v>
      </c>
      <c r="AE686" t="s">
        <v>74</v>
      </c>
      <c r="AF686" t="s">
        <v>74</v>
      </c>
      <c r="AG686" t="s">
        <v>74</v>
      </c>
      <c r="AH686" t="s">
        <v>74</v>
      </c>
      <c r="AI686" t="s">
        <v>74</v>
      </c>
      <c r="AJ686" t="s">
        <v>74</v>
      </c>
      <c r="AK686" t="s">
        <v>74</v>
      </c>
      <c r="AL686" t="s">
        <v>74</v>
      </c>
      <c r="AM686" t="s">
        <v>74</v>
      </c>
      <c r="AN686" t="s">
        <v>74</v>
      </c>
      <c r="AO686" t="s">
        <v>230</v>
      </c>
      <c r="AP686" t="s">
        <v>74</v>
      </c>
      <c r="AQ686" t="s">
        <v>74</v>
      </c>
      <c r="AR686" t="s">
        <v>74</v>
      </c>
      <c r="AS686" t="s">
        <v>74</v>
      </c>
      <c r="AT686" t="s">
        <v>624</v>
      </c>
      <c r="AU686">
        <v>2010</v>
      </c>
      <c r="AV686">
        <v>55</v>
      </c>
      <c r="AW686">
        <v>4</v>
      </c>
      <c r="AX686" t="s">
        <v>74</v>
      </c>
      <c r="AY686" t="s">
        <v>74</v>
      </c>
      <c r="AZ686" t="s">
        <v>74</v>
      </c>
      <c r="BA686" t="s">
        <v>74</v>
      </c>
      <c r="BB686">
        <v>1697</v>
      </c>
      <c r="BC686">
        <v>1711</v>
      </c>
      <c r="BD686" t="s">
        <v>74</v>
      </c>
      <c r="BE686" t="s">
        <v>5095</v>
      </c>
      <c r="BF686" t="str">
        <f>HYPERLINK("http://dx.doi.org/10.4319/lo.2010.55.4.1697","http://dx.doi.org/10.4319/lo.2010.55.4.1697")</f>
        <v>http://dx.doi.org/10.4319/lo.2010.55.4.1697</v>
      </c>
      <c r="BG686" t="s">
        <v>74</v>
      </c>
      <c r="BH686" t="s">
        <v>74</v>
      </c>
      <c r="BI686" t="s">
        <v>74</v>
      </c>
      <c r="BJ686" t="s">
        <v>74</v>
      </c>
      <c r="BK686" t="s">
        <v>74</v>
      </c>
      <c r="BL686" t="s">
        <v>74</v>
      </c>
      <c r="BM686" t="s">
        <v>74</v>
      </c>
      <c r="BN686" t="s">
        <v>74</v>
      </c>
      <c r="BO686" t="s">
        <v>74</v>
      </c>
      <c r="BP686" t="s">
        <v>74</v>
      </c>
      <c r="BQ686" t="s">
        <v>74</v>
      </c>
      <c r="BR686" t="s">
        <v>74</v>
      </c>
      <c r="BS686" t="s">
        <v>5096</v>
      </c>
      <c r="BT686" t="str">
        <f>HYPERLINK("https%3A%2F%2Fwww.webofscience.com%2Fwos%2Fwoscc%2Ffull-record%2FWOS:000283657000018","View Full Record in Web of Science")</f>
        <v>View Full Record in Web of Science</v>
      </c>
    </row>
    <row r="687" spans="1:72" x14ac:dyDescent="0.2">
      <c r="A687" t="s">
        <v>72</v>
      </c>
      <c r="B687" t="s">
        <v>5097</v>
      </c>
      <c r="C687" t="s">
        <v>74</v>
      </c>
      <c r="D687" t="s">
        <v>74</v>
      </c>
      <c r="E687" t="s">
        <v>74</v>
      </c>
      <c r="F687" t="s">
        <v>5098</v>
      </c>
      <c r="G687" t="s">
        <v>74</v>
      </c>
      <c r="H687" t="s">
        <v>74</v>
      </c>
      <c r="I687" t="s">
        <v>5099</v>
      </c>
      <c r="J687" t="s">
        <v>97</v>
      </c>
      <c r="K687" t="s">
        <v>74</v>
      </c>
      <c r="L687" t="s">
        <v>74</v>
      </c>
      <c r="M687" t="s">
        <v>74</v>
      </c>
      <c r="N687" t="s">
        <v>74</v>
      </c>
      <c r="O687" t="s">
        <v>74</v>
      </c>
      <c r="P687" t="s">
        <v>74</v>
      </c>
      <c r="Q687" t="s">
        <v>74</v>
      </c>
      <c r="R687" t="s">
        <v>74</v>
      </c>
      <c r="S687" t="s">
        <v>74</v>
      </c>
      <c r="T687" t="s">
        <v>74</v>
      </c>
      <c r="U687" t="s">
        <v>74</v>
      </c>
      <c r="V687" t="s">
        <v>74</v>
      </c>
      <c r="W687" t="s">
        <v>74</v>
      </c>
      <c r="X687" t="s">
        <v>74</v>
      </c>
      <c r="Y687" t="s">
        <v>74</v>
      </c>
      <c r="Z687" t="s">
        <v>74</v>
      </c>
      <c r="AA687" t="s">
        <v>7142</v>
      </c>
      <c r="AB687" t="s">
        <v>7143</v>
      </c>
      <c r="AC687" t="s">
        <v>74</v>
      </c>
      <c r="AD687" t="s">
        <v>74</v>
      </c>
      <c r="AE687" t="s">
        <v>74</v>
      </c>
      <c r="AF687" t="s">
        <v>74</v>
      </c>
      <c r="AG687" t="s">
        <v>74</v>
      </c>
      <c r="AH687" t="s">
        <v>74</v>
      </c>
      <c r="AI687" t="s">
        <v>74</v>
      </c>
      <c r="AJ687" t="s">
        <v>74</v>
      </c>
      <c r="AK687" t="s">
        <v>74</v>
      </c>
      <c r="AL687" t="s">
        <v>74</v>
      </c>
      <c r="AM687" t="s">
        <v>74</v>
      </c>
      <c r="AN687" t="s">
        <v>74</v>
      </c>
      <c r="AO687" t="s">
        <v>98</v>
      </c>
      <c r="AP687" t="s">
        <v>99</v>
      </c>
      <c r="AQ687" t="s">
        <v>74</v>
      </c>
      <c r="AR687" t="s">
        <v>74</v>
      </c>
      <c r="AS687" t="s">
        <v>74</v>
      </c>
      <c r="AT687" t="s">
        <v>569</v>
      </c>
      <c r="AU687">
        <v>2010</v>
      </c>
      <c r="AV687">
        <v>44</v>
      </c>
      <c r="AW687">
        <v>2</v>
      </c>
      <c r="AX687" t="s">
        <v>74</v>
      </c>
      <c r="AY687" t="s">
        <v>74</v>
      </c>
      <c r="AZ687" t="s">
        <v>74</v>
      </c>
      <c r="BA687" t="s">
        <v>74</v>
      </c>
      <c r="BB687">
        <v>421</v>
      </c>
      <c r="BC687">
        <v>430</v>
      </c>
      <c r="BD687" t="s">
        <v>74</v>
      </c>
      <c r="BE687" t="s">
        <v>5100</v>
      </c>
      <c r="BF687" t="str">
        <f>HYPERLINK("http://dx.doi.org/10.1007/s10452-009-9302-3","http://dx.doi.org/10.1007/s10452-009-9302-3")</f>
        <v>http://dx.doi.org/10.1007/s10452-009-9302-3</v>
      </c>
      <c r="BG687" t="s">
        <v>74</v>
      </c>
      <c r="BH687" t="s">
        <v>74</v>
      </c>
      <c r="BI687" t="s">
        <v>74</v>
      </c>
      <c r="BJ687" t="s">
        <v>74</v>
      </c>
      <c r="BK687" t="s">
        <v>74</v>
      </c>
      <c r="BL687" t="s">
        <v>74</v>
      </c>
      <c r="BM687" t="s">
        <v>74</v>
      </c>
      <c r="BN687" t="s">
        <v>74</v>
      </c>
      <c r="BO687" t="s">
        <v>74</v>
      </c>
      <c r="BP687" t="s">
        <v>74</v>
      </c>
      <c r="BQ687" t="s">
        <v>74</v>
      </c>
      <c r="BR687" t="s">
        <v>74</v>
      </c>
      <c r="BS687" t="s">
        <v>5101</v>
      </c>
      <c r="BT687" t="str">
        <f>HYPERLINK("https%3A%2F%2Fwww.webofscience.com%2Fwos%2Fwoscc%2Ffull-record%2FWOS:000277425000009","View Full Record in Web of Science")</f>
        <v>View Full Record in Web of Science</v>
      </c>
    </row>
    <row r="688" spans="1:72" x14ac:dyDescent="0.2">
      <c r="A688" t="s">
        <v>72</v>
      </c>
      <c r="B688" t="s">
        <v>5102</v>
      </c>
      <c r="C688" t="s">
        <v>74</v>
      </c>
      <c r="D688" t="s">
        <v>74</v>
      </c>
      <c r="E688" t="s">
        <v>74</v>
      </c>
      <c r="F688" t="s">
        <v>5103</v>
      </c>
      <c r="G688" t="s">
        <v>74</v>
      </c>
      <c r="H688" t="s">
        <v>74</v>
      </c>
      <c r="I688" t="s">
        <v>5104</v>
      </c>
      <c r="J688" t="s">
        <v>5105</v>
      </c>
      <c r="K688" t="s">
        <v>74</v>
      </c>
      <c r="L688" t="s">
        <v>74</v>
      </c>
      <c r="M688" t="s">
        <v>74</v>
      </c>
      <c r="N688" t="s">
        <v>74</v>
      </c>
      <c r="O688" t="s">
        <v>74</v>
      </c>
      <c r="P688" t="s">
        <v>74</v>
      </c>
      <c r="Q688" t="s">
        <v>74</v>
      </c>
      <c r="R688" t="s">
        <v>74</v>
      </c>
      <c r="S688" t="s">
        <v>74</v>
      </c>
      <c r="T688" t="s">
        <v>74</v>
      </c>
      <c r="U688" t="s">
        <v>74</v>
      </c>
      <c r="V688" t="s">
        <v>74</v>
      </c>
      <c r="W688" t="s">
        <v>74</v>
      </c>
      <c r="X688" t="s">
        <v>74</v>
      </c>
      <c r="Y688" t="s">
        <v>74</v>
      </c>
      <c r="Z688" t="s">
        <v>74</v>
      </c>
      <c r="AA688" t="s">
        <v>5106</v>
      </c>
      <c r="AB688" t="s">
        <v>5107</v>
      </c>
      <c r="AC688" t="s">
        <v>74</v>
      </c>
      <c r="AD688" t="s">
        <v>74</v>
      </c>
      <c r="AE688" t="s">
        <v>74</v>
      </c>
      <c r="AF688" t="s">
        <v>74</v>
      </c>
      <c r="AG688" t="s">
        <v>74</v>
      </c>
      <c r="AH688" t="s">
        <v>74</v>
      </c>
      <c r="AI688" t="s">
        <v>74</v>
      </c>
      <c r="AJ688" t="s">
        <v>74</v>
      </c>
      <c r="AK688" t="s">
        <v>74</v>
      </c>
      <c r="AL688" t="s">
        <v>74</v>
      </c>
      <c r="AM688" t="s">
        <v>74</v>
      </c>
      <c r="AN688" t="s">
        <v>74</v>
      </c>
      <c r="AO688" t="s">
        <v>5108</v>
      </c>
      <c r="AP688" t="s">
        <v>5109</v>
      </c>
      <c r="AQ688" t="s">
        <v>74</v>
      </c>
      <c r="AR688" t="s">
        <v>74</v>
      </c>
      <c r="AS688" t="s">
        <v>74</v>
      </c>
      <c r="AT688" t="s">
        <v>569</v>
      </c>
      <c r="AU688">
        <v>2010</v>
      </c>
      <c r="AV688">
        <v>101</v>
      </c>
      <c r="AW688">
        <v>12</v>
      </c>
      <c r="AX688" t="s">
        <v>74</v>
      </c>
      <c r="AY688" t="s">
        <v>74</v>
      </c>
      <c r="AZ688" t="s">
        <v>74</v>
      </c>
      <c r="BA688" t="s">
        <v>74</v>
      </c>
      <c r="BB688">
        <v>4499</v>
      </c>
      <c r="BC688">
        <v>4507</v>
      </c>
      <c r="BD688" t="s">
        <v>74</v>
      </c>
      <c r="BE688" t="s">
        <v>5110</v>
      </c>
      <c r="BF688" t="str">
        <f>HYPERLINK("http://dx.doi.org/10.1016/j.biortech.2010.01.065","http://dx.doi.org/10.1016/j.biortech.2010.01.065")</f>
        <v>http://dx.doi.org/10.1016/j.biortech.2010.01.065</v>
      </c>
      <c r="BG688" t="s">
        <v>74</v>
      </c>
      <c r="BH688" t="s">
        <v>74</v>
      </c>
      <c r="BI688" t="s">
        <v>74</v>
      </c>
      <c r="BJ688" t="s">
        <v>74</v>
      </c>
      <c r="BK688" t="s">
        <v>74</v>
      </c>
      <c r="BL688" t="s">
        <v>74</v>
      </c>
      <c r="BM688" t="s">
        <v>74</v>
      </c>
      <c r="BN688">
        <v>20153176</v>
      </c>
      <c r="BO688" t="s">
        <v>74</v>
      </c>
      <c r="BP688" t="s">
        <v>74</v>
      </c>
      <c r="BQ688" t="s">
        <v>74</v>
      </c>
      <c r="BR688" t="s">
        <v>74</v>
      </c>
      <c r="BS688" t="s">
        <v>5111</v>
      </c>
      <c r="BT688" t="str">
        <f>HYPERLINK("https%3A%2F%2Fwww.webofscience.com%2Fwos%2Fwoscc%2Ffull-record%2FWOS:000276374500034","View Full Record in Web of Science")</f>
        <v>View Full Record in Web of Science</v>
      </c>
    </row>
    <row r="689" spans="1:72" x14ac:dyDescent="0.2">
      <c r="A689" t="s">
        <v>72</v>
      </c>
      <c r="B689" t="s">
        <v>5112</v>
      </c>
      <c r="C689" t="s">
        <v>74</v>
      </c>
      <c r="D689" t="s">
        <v>74</v>
      </c>
      <c r="E689" t="s">
        <v>74</v>
      </c>
      <c r="F689" t="s">
        <v>5113</v>
      </c>
      <c r="G689" t="s">
        <v>74</v>
      </c>
      <c r="H689" t="s">
        <v>74</v>
      </c>
      <c r="I689" t="s">
        <v>5114</v>
      </c>
      <c r="J689" t="s">
        <v>3271</v>
      </c>
      <c r="K689" t="s">
        <v>74</v>
      </c>
      <c r="L689" t="s">
        <v>74</v>
      </c>
      <c r="M689" t="s">
        <v>74</v>
      </c>
      <c r="N689" t="s">
        <v>74</v>
      </c>
      <c r="O689" t="s">
        <v>74</v>
      </c>
      <c r="P689" t="s">
        <v>74</v>
      </c>
      <c r="Q689" t="s">
        <v>74</v>
      </c>
      <c r="R689" t="s">
        <v>74</v>
      </c>
      <c r="S689" t="s">
        <v>74</v>
      </c>
      <c r="T689" t="s">
        <v>74</v>
      </c>
      <c r="U689" t="s">
        <v>74</v>
      </c>
      <c r="V689" t="s">
        <v>74</v>
      </c>
      <c r="W689" t="s">
        <v>74</v>
      </c>
      <c r="X689" t="s">
        <v>74</v>
      </c>
      <c r="Y689" t="s">
        <v>74</v>
      </c>
      <c r="Z689" t="s">
        <v>74</v>
      </c>
      <c r="AA689" t="s">
        <v>5115</v>
      </c>
      <c r="AB689" t="s">
        <v>5116</v>
      </c>
      <c r="AC689" t="s">
        <v>74</v>
      </c>
      <c r="AD689" t="s">
        <v>74</v>
      </c>
      <c r="AE689" t="s">
        <v>74</v>
      </c>
      <c r="AF689" t="s">
        <v>74</v>
      </c>
      <c r="AG689" t="s">
        <v>74</v>
      </c>
      <c r="AH689" t="s">
        <v>74</v>
      </c>
      <c r="AI689" t="s">
        <v>74</v>
      </c>
      <c r="AJ689" t="s">
        <v>74</v>
      </c>
      <c r="AK689" t="s">
        <v>74</v>
      </c>
      <c r="AL689" t="s">
        <v>74</v>
      </c>
      <c r="AM689" t="s">
        <v>74</v>
      </c>
      <c r="AN689" t="s">
        <v>74</v>
      </c>
      <c r="AO689" t="s">
        <v>3274</v>
      </c>
      <c r="AP689" t="s">
        <v>74</v>
      </c>
      <c r="AQ689" t="s">
        <v>74</v>
      </c>
      <c r="AR689" t="s">
        <v>74</v>
      </c>
      <c r="AS689" t="s">
        <v>74</v>
      </c>
      <c r="AT689" t="s">
        <v>569</v>
      </c>
      <c r="AU689">
        <v>2010</v>
      </c>
      <c r="AV689">
        <v>60</v>
      </c>
      <c r="AW689" t="s">
        <v>74</v>
      </c>
      <c r="AX689">
        <v>6</v>
      </c>
      <c r="AY689" t="s">
        <v>74</v>
      </c>
      <c r="AZ689" t="s">
        <v>74</v>
      </c>
      <c r="BA689" t="s">
        <v>74</v>
      </c>
      <c r="BB689">
        <v>1358</v>
      </c>
      <c r="BC689">
        <v>1365</v>
      </c>
      <c r="BD689" t="s">
        <v>74</v>
      </c>
      <c r="BE689" t="s">
        <v>5117</v>
      </c>
      <c r="BF689" t="str">
        <f>HYPERLINK("http://dx.doi.org/10.1099/ijs.0.013292-0","http://dx.doi.org/10.1099/ijs.0.013292-0")</f>
        <v>http://dx.doi.org/10.1099/ijs.0.013292-0</v>
      </c>
      <c r="BG689" t="s">
        <v>74</v>
      </c>
      <c r="BH689" t="s">
        <v>74</v>
      </c>
      <c r="BI689" t="s">
        <v>74</v>
      </c>
      <c r="BJ689" t="s">
        <v>74</v>
      </c>
      <c r="BK689" t="s">
        <v>74</v>
      </c>
      <c r="BL689" t="s">
        <v>74</v>
      </c>
      <c r="BM689" t="s">
        <v>74</v>
      </c>
      <c r="BN689">
        <v>19671731</v>
      </c>
      <c r="BO689" t="s">
        <v>74</v>
      </c>
      <c r="BP689" t="s">
        <v>74</v>
      </c>
      <c r="BQ689" t="s">
        <v>74</v>
      </c>
      <c r="BR689" t="s">
        <v>74</v>
      </c>
      <c r="BS689" t="s">
        <v>5118</v>
      </c>
      <c r="BT689" t="str">
        <f>HYPERLINK("https%3A%2F%2Fwww.webofscience.com%2Fwos%2Fwoscc%2Ffull-record%2FWOS:000279369100019","View Full Record in Web of Science")</f>
        <v>View Full Record in Web of Science</v>
      </c>
    </row>
    <row r="690" spans="1:72" x14ac:dyDescent="0.2">
      <c r="A690" t="s">
        <v>72</v>
      </c>
      <c r="B690" t="s">
        <v>5119</v>
      </c>
      <c r="C690" t="s">
        <v>74</v>
      </c>
      <c r="D690" t="s">
        <v>74</v>
      </c>
      <c r="E690" t="s">
        <v>74</v>
      </c>
      <c r="F690" t="s">
        <v>5120</v>
      </c>
      <c r="G690" t="s">
        <v>74</v>
      </c>
      <c r="H690" t="s">
        <v>74</v>
      </c>
      <c r="I690" t="s">
        <v>5121</v>
      </c>
      <c r="J690" t="s">
        <v>124</v>
      </c>
      <c r="K690" t="s">
        <v>74</v>
      </c>
      <c r="L690" t="s">
        <v>74</v>
      </c>
      <c r="M690" t="s">
        <v>74</v>
      </c>
      <c r="N690" t="s">
        <v>74</v>
      </c>
      <c r="O690" t="s">
        <v>74</v>
      </c>
      <c r="P690" t="s">
        <v>74</v>
      </c>
      <c r="Q690" t="s">
        <v>74</v>
      </c>
      <c r="R690" t="s">
        <v>74</v>
      </c>
      <c r="S690" t="s">
        <v>74</v>
      </c>
      <c r="T690" t="s">
        <v>74</v>
      </c>
      <c r="U690" t="s">
        <v>74</v>
      </c>
      <c r="V690" t="s">
        <v>74</v>
      </c>
      <c r="W690" t="s">
        <v>74</v>
      </c>
      <c r="X690" t="s">
        <v>74</v>
      </c>
      <c r="Y690" t="s">
        <v>74</v>
      </c>
      <c r="Z690" t="s">
        <v>74</v>
      </c>
      <c r="AA690" t="s">
        <v>5122</v>
      </c>
      <c r="AB690" t="s">
        <v>5123</v>
      </c>
      <c r="AC690" t="s">
        <v>74</v>
      </c>
      <c r="AD690" t="s">
        <v>74</v>
      </c>
      <c r="AE690" t="s">
        <v>74</v>
      </c>
      <c r="AF690" t="s">
        <v>74</v>
      </c>
      <c r="AG690" t="s">
        <v>74</v>
      </c>
      <c r="AH690" t="s">
        <v>74</v>
      </c>
      <c r="AI690" t="s">
        <v>74</v>
      </c>
      <c r="AJ690" t="s">
        <v>74</v>
      </c>
      <c r="AK690" t="s">
        <v>74</v>
      </c>
      <c r="AL690" t="s">
        <v>74</v>
      </c>
      <c r="AM690" t="s">
        <v>74</v>
      </c>
      <c r="AN690" t="s">
        <v>74</v>
      </c>
      <c r="AO690" t="s">
        <v>127</v>
      </c>
      <c r="AP690" t="s">
        <v>128</v>
      </c>
      <c r="AQ690" t="s">
        <v>74</v>
      </c>
      <c r="AR690" t="s">
        <v>74</v>
      </c>
      <c r="AS690" t="s">
        <v>74</v>
      </c>
      <c r="AT690" t="s">
        <v>575</v>
      </c>
      <c r="AU690">
        <v>2010</v>
      </c>
      <c r="AV690">
        <v>644</v>
      </c>
      <c r="AW690">
        <v>1</v>
      </c>
      <c r="AX690" t="s">
        <v>74</v>
      </c>
      <c r="AY690" t="s">
        <v>74</v>
      </c>
      <c r="AZ690" t="s">
        <v>74</v>
      </c>
      <c r="BA690" t="s">
        <v>74</v>
      </c>
      <c r="BB690">
        <v>361</v>
      </c>
      <c r="BC690">
        <v>370</v>
      </c>
      <c r="BD690" t="s">
        <v>74</v>
      </c>
      <c r="BE690" t="s">
        <v>5124</v>
      </c>
      <c r="BF690" t="str">
        <f>HYPERLINK("http://dx.doi.org/10.1007/s10750-010-0203-1","http://dx.doi.org/10.1007/s10750-010-0203-1")</f>
        <v>http://dx.doi.org/10.1007/s10750-010-0203-1</v>
      </c>
      <c r="BG690" t="s">
        <v>74</v>
      </c>
      <c r="BH690" t="s">
        <v>74</v>
      </c>
      <c r="BI690" t="s">
        <v>74</v>
      </c>
      <c r="BJ690" t="s">
        <v>74</v>
      </c>
      <c r="BK690" t="s">
        <v>74</v>
      </c>
      <c r="BL690" t="s">
        <v>74</v>
      </c>
      <c r="BM690" t="s">
        <v>74</v>
      </c>
      <c r="BN690" t="s">
        <v>74</v>
      </c>
      <c r="BO690" t="s">
        <v>74</v>
      </c>
      <c r="BP690" t="s">
        <v>74</v>
      </c>
      <c r="BQ690" t="s">
        <v>74</v>
      </c>
      <c r="BR690" t="s">
        <v>74</v>
      </c>
      <c r="BS690" t="s">
        <v>5125</v>
      </c>
      <c r="BT690" t="str">
        <f>HYPERLINK("https%3A%2F%2Fwww.webofscience.com%2Fwos%2Fwoscc%2Ffull-record%2FWOS:000276071600026","View Full Record in Web of Science")</f>
        <v>View Full Record in Web of Science</v>
      </c>
    </row>
    <row r="691" spans="1:72" x14ac:dyDescent="0.2">
      <c r="A691" t="s">
        <v>72</v>
      </c>
      <c r="B691" t="s">
        <v>5126</v>
      </c>
      <c r="C691" t="s">
        <v>74</v>
      </c>
      <c r="D691" t="s">
        <v>74</v>
      </c>
      <c r="E691" t="s">
        <v>74</v>
      </c>
      <c r="F691" t="s">
        <v>5127</v>
      </c>
      <c r="G691" t="s">
        <v>74</v>
      </c>
      <c r="H691" t="s">
        <v>74</v>
      </c>
      <c r="I691" t="s">
        <v>5128</v>
      </c>
      <c r="J691" t="s">
        <v>3433</v>
      </c>
      <c r="K691" t="s">
        <v>74</v>
      </c>
      <c r="L691" t="s">
        <v>74</v>
      </c>
      <c r="M691" t="s">
        <v>74</v>
      </c>
      <c r="N691" t="s">
        <v>74</v>
      </c>
      <c r="O691" t="s">
        <v>74</v>
      </c>
      <c r="P691" t="s">
        <v>74</v>
      </c>
      <c r="Q691" t="s">
        <v>74</v>
      </c>
      <c r="R691" t="s">
        <v>74</v>
      </c>
      <c r="S691" t="s">
        <v>74</v>
      </c>
      <c r="T691" t="s">
        <v>74</v>
      </c>
      <c r="U691" t="s">
        <v>74</v>
      </c>
      <c r="V691" t="s">
        <v>74</v>
      </c>
      <c r="W691" t="s">
        <v>74</v>
      </c>
      <c r="X691" t="s">
        <v>74</v>
      </c>
      <c r="Y691" t="s">
        <v>74</v>
      </c>
      <c r="Z691" t="s">
        <v>74</v>
      </c>
      <c r="AA691" t="s">
        <v>7144</v>
      </c>
      <c r="AB691" t="s">
        <v>5129</v>
      </c>
      <c r="AC691" t="s">
        <v>74</v>
      </c>
      <c r="AD691" t="s">
        <v>74</v>
      </c>
      <c r="AE691" t="s">
        <v>74</v>
      </c>
      <c r="AF691" t="s">
        <v>74</v>
      </c>
      <c r="AG691" t="s">
        <v>74</v>
      </c>
      <c r="AH691" t="s">
        <v>74</v>
      </c>
      <c r="AI691" t="s">
        <v>74</v>
      </c>
      <c r="AJ691" t="s">
        <v>74</v>
      </c>
      <c r="AK691" t="s">
        <v>74</v>
      </c>
      <c r="AL691" t="s">
        <v>74</v>
      </c>
      <c r="AM691" t="s">
        <v>74</v>
      </c>
      <c r="AN691" t="s">
        <v>74</v>
      </c>
      <c r="AO691" t="s">
        <v>3436</v>
      </c>
      <c r="AP691" t="s">
        <v>3437</v>
      </c>
      <c r="AQ691" t="s">
        <v>74</v>
      </c>
      <c r="AR691" t="s">
        <v>74</v>
      </c>
      <c r="AS691" t="s">
        <v>74</v>
      </c>
      <c r="AT691" t="s">
        <v>5130</v>
      </c>
      <c r="AU691">
        <v>2010</v>
      </c>
      <c r="AV691">
        <v>114</v>
      </c>
      <c r="AW691">
        <v>4</v>
      </c>
      <c r="AX691" t="s">
        <v>74</v>
      </c>
      <c r="AY691" t="s">
        <v>74</v>
      </c>
      <c r="AZ691" t="s">
        <v>74</v>
      </c>
      <c r="BA691" t="s">
        <v>74</v>
      </c>
      <c r="BB691">
        <v>772</v>
      </c>
      <c r="BC691">
        <v>780</v>
      </c>
      <c r="BD691" t="s">
        <v>74</v>
      </c>
      <c r="BE691" t="s">
        <v>5131</v>
      </c>
      <c r="BF691" t="str">
        <f>HYPERLINK("http://dx.doi.org/10.1016/j.rse.2009.11.013","http://dx.doi.org/10.1016/j.rse.2009.11.013")</f>
        <v>http://dx.doi.org/10.1016/j.rse.2009.11.013</v>
      </c>
      <c r="BG691" t="s">
        <v>74</v>
      </c>
      <c r="BH691" t="s">
        <v>74</v>
      </c>
      <c r="BI691" t="s">
        <v>74</v>
      </c>
      <c r="BJ691" t="s">
        <v>74</v>
      </c>
      <c r="BK691" t="s">
        <v>74</v>
      </c>
      <c r="BL691" t="s">
        <v>74</v>
      </c>
      <c r="BM691" t="s">
        <v>74</v>
      </c>
      <c r="BN691" t="s">
        <v>74</v>
      </c>
      <c r="BO691" t="s">
        <v>74</v>
      </c>
      <c r="BP691" t="s">
        <v>74</v>
      </c>
      <c r="BQ691" t="s">
        <v>74</v>
      </c>
      <c r="BR691" t="s">
        <v>74</v>
      </c>
      <c r="BS691" t="s">
        <v>5132</v>
      </c>
      <c r="BT691" t="str">
        <f>HYPERLINK("https%3A%2F%2Fwww.webofscience.com%2Fwos%2Fwoscc%2Ffull-record%2FWOS:000274982700007","View Full Record in Web of Science")</f>
        <v>View Full Record in Web of Science</v>
      </c>
    </row>
    <row r="692" spans="1:72" x14ac:dyDescent="0.2">
      <c r="A692" t="s">
        <v>72</v>
      </c>
      <c r="B692" t="s">
        <v>5133</v>
      </c>
      <c r="C692" t="s">
        <v>74</v>
      </c>
      <c r="D692" t="s">
        <v>74</v>
      </c>
      <c r="E692" t="s">
        <v>74</v>
      </c>
      <c r="F692" t="s">
        <v>5134</v>
      </c>
      <c r="G692" t="s">
        <v>74</v>
      </c>
      <c r="H692" t="s">
        <v>74</v>
      </c>
      <c r="I692" t="s">
        <v>5135</v>
      </c>
      <c r="J692" t="s">
        <v>423</v>
      </c>
      <c r="K692" t="s">
        <v>74</v>
      </c>
      <c r="L692" t="s">
        <v>74</v>
      </c>
      <c r="M692" t="s">
        <v>74</v>
      </c>
      <c r="N692" t="s">
        <v>74</v>
      </c>
      <c r="O692" t="s">
        <v>74</v>
      </c>
      <c r="P692" t="s">
        <v>74</v>
      </c>
      <c r="Q692" t="s">
        <v>74</v>
      </c>
      <c r="R692" t="s">
        <v>74</v>
      </c>
      <c r="S692" t="s">
        <v>74</v>
      </c>
      <c r="T692" t="s">
        <v>74</v>
      </c>
      <c r="U692" t="s">
        <v>74</v>
      </c>
      <c r="V692" t="s">
        <v>74</v>
      </c>
      <c r="W692" t="s">
        <v>74</v>
      </c>
      <c r="X692" t="s">
        <v>74</v>
      </c>
      <c r="Y692" t="s">
        <v>74</v>
      </c>
      <c r="Z692" t="s">
        <v>74</v>
      </c>
      <c r="AA692" t="s">
        <v>5136</v>
      </c>
      <c r="AB692" t="s">
        <v>6742</v>
      </c>
      <c r="AC692" t="s">
        <v>74</v>
      </c>
      <c r="AD692" t="s">
        <v>74</v>
      </c>
      <c r="AE692" t="s">
        <v>74</v>
      </c>
      <c r="AF692" t="s">
        <v>74</v>
      </c>
      <c r="AG692" t="s">
        <v>74</v>
      </c>
      <c r="AH692" t="s">
        <v>74</v>
      </c>
      <c r="AI692" t="s">
        <v>74</v>
      </c>
      <c r="AJ692" t="s">
        <v>74</v>
      </c>
      <c r="AK692" t="s">
        <v>74</v>
      </c>
      <c r="AL692" t="s">
        <v>74</v>
      </c>
      <c r="AM692" t="s">
        <v>74</v>
      </c>
      <c r="AN692" t="s">
        <v>74</v>
      </c>
      <c r="AO692" t="s">
        <v>425</v>
      </c>
      <c r="AP692" t="s">
        <v>426</v>
      </c>
      <c r="AQ692" t="s">
        <v>74</v>
      </c>
      <c r="AR692" t="s">
        <v>74</v>
      </c>
      <c r="AS692" t="s">
        <v>74</v>
      </c>
      <c r="AT692" t="s">
        <v>157</v>
      </c>
      <c r="AU692">
        <v>2010</v>
      </c>
      <c r="AV692">
        <v>55</v>
      </c>
      <c r="AW692">
        <v>3</v>
      </c>
      <c r="AX692" t="s">
        <v>74</v>
      </c>
      <c r="AY692" t="s">
        <v>74</v>
      </c>
      <c r="AZ692" t="s">
        <v>74</v>
      </c>
      <c r="BA692" t="s">
        <v>74</v>
      </c>
      <c r="BB692">
        <v>614</v>
      </c>
      <c r="BC692">
        <v>627</v>
      </c>
      <c r="BD692" t="s">
        <v>74</v>
      </c>
      <c r="BE692" t="s">
        <v>5137</v>
      </c>
      <c r="BF692" t="str">
        <f>HYPERLINK("http://dx.doi.org/10.1111/j.1365-2427.2009.02298.x","http://dx.doi.org/10.1111/j.1365-2427.2009.02298.x")</f>
        <v>http://dx.doi.org/10.1111/j.1365-2427.2009.02298.x</v>
      </c>
      <c r="BG692" t="s">
        <v>74</v>
      </c>
      <c r="BH692" t="s">
        <v>74</v>
      </c>
      <c r="BI692" t="s">
        <v>74</v>
      </c>
      <c r="BJ692" t="s">
        <v>74</v>
      </c>
      <c r="BK692" t="s">
        <v>74</v>
      </c>
      <c r="BL692" t="s">
        <v>74</v>
      </c>
      <c r="BM692" t="s">
        <v>74</v>
      </c>
      <c r="BN692" t="s">
        <v>74</v>
      </c>
      <c r="BO692" t="s">
        <v>74</v>
      </c>
      <c r="BP692" t="s">
        <v>74</v>
      </c>
      <c r="BQ692" t="s">
        <v>74</v>
      </c>
      <c r="BR692" t="s">
        <v>74</v>
      </c>
      <c r="BS692" t="s">
        <v>5138</v>
      </c>
      <c r="BT692" t="str">
        <f>HYPERLINK("https%3A%2F%2Fwww.webofscience.com%2Fwos%2Fwoscc%2Ffull-record%2FWOS:000274814100009","View Full Record in Web of Science")</f>
        <v>View Full Record in Web of Science</v>
      </c>
    </row>
    <row r="693" spans="1:72" x14ac:dyDescent="0.2">
      <c r="A693" t="s">
        <v>72</v>
      </c>
      <c r="B693" t="s">
        <v>5139</v>
      </c>
      <c r="C693" t="s">
        <v>74</v>
      </c>
      <c r="D693" t="s">
        <v>74</v>
      </c>
      <c r="E693" t="s">
        <v>74</v>
      </c>
      <c r="F693" t="s">
        <v>5140</v>
      </c>
      <c r="G693" t="s">
        <v>74</v>
      </c>
      <c r="H693" t="s">
        <v>74</v>
      </c>
      <c r="I693" t="s">
        <v>5141</v>
      </c>
      <c r="J693" t="s">
        <v>5142</v>
      </c>
      <c r="K693" t="s">
        <v>74</v>
      </c>
      <c r="L693" t="s">
        <v>74</v>
      </c>
      <c r="M693" t="s">
        <v>74</v>
      </c>
      <c r="N693" t="s">
        <v>74</v>
      </c>
      <c r="O693" t="s">
        <v>74</v>
      </c>
      <c r="P693" t="s">
        <v>74</v>
      </c>
      <c r="Q693" t="s">
        <v>74</v>
      </c>
      <c r="R693" t="s">
        <v>74</v>
      </c>
      <c r="S693" t="s">
        <v>74</v>
      </c>
      <c r="T693" t="s">
        <v>74</v>
      </c>
      <c r="U693" t="s">
        <v>74</v>
      </c>
      <c r="V693" t="s">
        <v>74</v>
      </c>
      <c r="W693" t="s">
        <v>74</v>
      </c>
      <c r="X693" t="s">
        <v>74</v>
      </c>
      <c r="Y693" t="s">
        <v>74</v>
      </c>
      <c r="Z693" t="s">
        <v>74</v>
      </c>
      <c r="AA693" t="s">
        <v>7145</v>
      </c>
      <c r="AB693" t="s">
        <v>7146</v>
      </c>
      <c r="AC693" t="s">
        <v>74</v>
      </c>
      <c r="AD693" t="s">
        <v>74</v>
      </c>
      <c r="AE693" t="s">
        <v>74</v>
      </c>
      <c r="AF693" t="s">
        <v>74</v>
      </c>
      <c r="AG693" t="s">
        <v>74</v>
      </c>
      <c r="AH693" t="s">
        <v>74</v>
      </c>
      <c r="AI693" t="s">
        <v>74</v>
      </c>
      <c r="AJ693" t="s">
        <v>74</v>
      </c>
      <c r="AK693" t="s">
        <v>74</v>
      </c>
      <c r="AL693" t="s">
        <v>74</v>
      </c>
      <c r="AM693" t="s">
        <v>74</v>
      </c>
      <c r="AN693" t="s">
        <v>74</v>
      </c>
      <c r="AO693" t="s">
        <v>5143</v>
      </c>
      <c r="AP693" t="s">
        <v>5144</v>
      </c>
      <c r="AQ693" t="s">
        <v>74</v>
      </c>
      <c r="AR693" t="s">
        <v>74</v>
      </c>
      <c r="AS693" t="s">
        <v>74</v>
      </c>
      <c r="AT693" t="s">
        <v>5145</v>
      </c>
      <c r="AU693">
        <v>2010</v>
      </c>
      <c r="AV693">
        <v>96</v>
      </c>
      <c r="AW693">
        <v>4</v>
      </c>
      <c r="AX693" t="s">
        <v>74</v>
      </c>
      <c r="AY693" t="s">
        <v>74</v>
      </c>
      <c r="AZ693" t="s">
        <v>74</v>
      </c>
      <c r="BA693" t="s">
        <v>74</v>
      </c>
      <c r="BB693">
        <v>290</v>
      </c>
      <c r="BC693">
        <v>297</v>
      </c>
      <c r="BD693" t="s">
        <v>74</v>
      </c>
      <c r="BE693" t="s">
        <v>5146</v>
      </c>
      <c r="BF693" t="str">
        <f>HYPERLINK("http://dx.doi.org/10.1016/j.aquatox.2009.11.008","http://dx.doi.org/10.1016/j.aquatox.2009.11.008")</f>
        <v>http://dx.doi.org/10.1016/j.aquatox.2009.11.008</v>
      </c>
      <c r="BG693" t="s">
        <v>74</v>
      </c>
      <c r="BH693" t="s">
        <v>74</v>
      </c>
      <c r="BI693" t="s">
        <v>74</v>
      </c>
      <c r="BJ693" t="s">
        <v>74</v>
      </c>
      <c r="BK693" t="s">
        <v>74</v>
      </c>
      <c r="BL693" t="s">
        <v>74</v>
      </c>
      <c r="BM693" t="s">
        <v>74</v>
      </c>
      <c r="BN693">
        <v>20018392</v>
      </c>
      <c r="BO693" t="s">
        <v>74</v>
      </c>
      <c r="BP693" t="s">
        <v>74</v>
      </c>
      <c r="BQ693" t="s">
        <v>74</v>
      </c>
      <c r="BR693" t="s">
        <v>74</v>
      </c>
      <c r="BS693" t="s">
        <v>5147</v>
      </c>
      <c r="BT693" t="str">
        <f>HYPERLINK("https%3A%2F%2Fwww.webofscience.com%2Fwos%2Fwoscc%2Ffull-record%2FWOS:000275763900006","View Full Record in Web of Science")</f>
        <v>View Full Record in Web of Science</v>
      </c>
    </row>
    <row r="694" spans="1:72" x14ac:dyDescent="0.2">
      <c r="A694" t="s">
        <v>72</v>
      </c>
      <c r="B694" t="s">
        <v>5148</v>
      </c>
      <c r="C694" t="s">
        <v>74</v>
      </c>
      <c r="D694" t="s">
        <v>74</v>
      </c>
      <c r="E694" t="s">
        <v>74</v>
      </c>
      <c r="F694" t="s">
        <v>5149</v>
      </c>
      <c r="G694" t="s">
        <v>74</v>
      </c>
      <c r="H694" t="s">
        <v>74</v>
      </c>
      <c r="I694" t="s">
        <v>5150</v>
      </c>
      <c r="J694" t="s">
        <v>1299</v>
      </c>
      <c r="K694" t="s">
        <v>74</v>
      </c>
      <c r="L694" t="s">
        <v>74</v>
      </c>
      <c r="M694" t="s">
        <v>74</v>
      </c>
      <c r="N694" t="s">
        <v>74</v>
      </c>
      <c r="O694" t="s">
        <v>74</v>
      </c>
      <c r="P694" t="s">
        <v>74</v>
      </c>
      <c r="Q694" t="s">
        <v>74</v>
      </c>
      <c r="R694" t="s">
        <v>74</v>
      </c>
      <c r="S694" t="s">
        <v>74</v>
      </c>
      <c r="T694" t="s">
        <v>74</v>
      </c>
      <c r="U694" t="s">
        <v>74</v>
      </c>
      <c r="V694" t="s">
        <v>74</v>
      </c>
      <c r="W694" t="s">
        <v>74</v>
      </c>
      <c r="X694" t="s">
        <v>74</v>
      </c>
      <c r="Y694" t="s">
        <v>74</v>
      </c>
      <c r="Z694" t="s">
        <v>74</v>
      </c>
      <c r="AA694" t="s">
        <v>7147</v>
      </c>
      <c r="AB694" t="s">
        <v>5151</v>
      </c>
      <c r="AC694" t="s">
        <v>74</v>
      </c>
      <c r="AD694" t="s">
        <v>74</v>
      </c>
      <c r="AE694" t="s">
        <v>74</v>
      </c>
      <c r="AF694" t="s">
        <v>74</v>
      </c>
      <c r="AG694" t="s">
        <v>74</v>
      </c>
      <c r="AH694" t="s">
        <v>74</v>
      </c>
      <c r="AI694" t="s">
        <v>74</v>
      </c>
      <c r="AJ694" t="s">
        <v>74</v>
      </c>
      <c r="AK694" t="s">
        <v>74</v>
      </c>
      <c r="AL694" t="s">
        <v>74</v>
      </c>
      <c r="AM694" t="s">
        <v>74</v>
      </c>
      <c r="AN694" t="s">
        <v>74</v>
      </c>
      <c r="AO694" t="s">
        <v>1302</v>
      </c>
      <c r="AP694" t="s">
        <v>1303</v>
      </c>
      <c r="AQ694" t="s">
        <v>74</v>
      </c>
      <c r="AR694" t="s">
        <v>74</v>
      </c>
      <c r="AS694" t="s">
        <v>74</v>
      </c>
      <c r="AT694" t="s">
        <v>416</v>
      </c>
      <c r="AU694">
        <v>2010</v>
      </c>
      <c r="AV694">
        <v>162</v>
      </c>
      <c r="AW694">
        <v>2</v>
      </c>
      <c r="AX694" t="s">
        <v>74</v>
      </c>
      <c r="AY694" t="s">
        <v>74</v>
      </c>
      <c r="AZ694" t="s">
        <v>74</v>
      </c>
      <c r="BA694" t="s">
        <v>74</v>
      </c>
      <c r="BB694">
        <v>349</v>
      </c>
      <c r="BC694">
        <v>357</v>
      </c>
      <c r="BD694" t="s">
        <v>74</v>
      </c>
      <c r="BE694" t="s">
        <v>5152</v>
      </c>
      <c r="BF694" t="str">
        <f>HYPERLINK("http://dx.doi.org/10.1007/s00442-009-1452-4","http://dx.doi.org/10.1007/s00442-009-1452-4")</f>
        <v>http://dx.doi.org/10.1007/s00442-009-1452-4</v>
      </c>
      <c r="BG694" t="s">
        <v>74</v>
      </c>
      <c r="BH694" t="s">
        <v>74</v>
      </c>
      <c r="BI694" t="s">
        <v>74</v>
      </c>
      <c r="BJ694" t="s">
        <v>74</v>
      </c>
      <c r="BK694" t="s">
        <v>74</v>
      </c>
      <c r="BL694" t="s">
        <v>74</v>
      </c>
      <c r="BM694" t="s">
        <v>74</v>
      </c>
      <c r="BN694">
        <v>19768470</v>
      </c>
      <c r="BO694" t="s">
        <v>74</v>
      </c>
      <c r="BP694" t="s">
        <v>74</v>
      </c>
      <c r="BQ694" t="s">
        <v>74</v>
      </c>
      <c r="BR694" t="s">
        <v>74</v>
      </c>
      <c r="BS694" t="s">
        <v>5153</v>
      </c>
      <c r="BT694" t="str">
        <f>HYPERLINK("https%3A%2F%2Fwww.webofscience.com%2Fwos%2Fwoscc%2Ffull-record%2FWOS:000273795200009","View Full Record in Web of Science")</f>
        <v>View Full Record in Web of Science</v>
      </c>
    </row>
    <row r="695" spans="1:72" x14ac:dyDescent="0.2">
      <c r="A695" t="s">
        <v>72</v>
      </c>
      <c r="B695" t="s">
        <v>5154</v>
      </c>
      <c r="C695" t="s">
        <v>74</v>
      </c>
      <c r="D695" t="s">
        <v>74</v>
      </c>
      <c r="E695" t="s">
        <v>74</v>
      </c>
      <c r="F695" t="s">
        <v>5155</v>
      </c>
      <c r="G695" t="s">
        <v>74</v>
      </c>
      <c r="H695" t="s">
        <v>74</v>
      </c>
      <c r="I695" t="s">
        <v>5156</v>
      </c>
      <c r="J695" t="s">
        <v>282</v>
      </c>
      <c r="K695" t="s">
        <v>74</v>
      </c>
      <c r="L695" t="s">
        <v>74</v>
      </c>
      <c r="M695" t="s">
        <v>74</v>
      </c>
      <c r="N695" t="s">
        <v>74</v>
      </c>
      <c r="O695" t="s">
        <v>74</v>
      </c>
      <c r="P695" t="s">
        <v>74</v>
      </c>
      <c r="Q695" t="s">
        <v>74</v>
      </c>
      <c r="R695" t="s">
        <v>74</v>
      </c>
      <c r="S695" t="s">
        <v>74</v>
      </c>
      <c r="T695" t="s">
        <v>74</v>
      </c>
      <c r="U695" t="s">
        <v>74</v>
      </c>
      <c r="V695" t="s">
        <v>74</v>
      </c>
      <c r="W695" t="s">
        <v>74</v>
      </c>
      <c r="X695" t="s">
        <v>74</v>
      </c>
      <c r="Y695" t="s">
        <v>74</v>
      </c>
      <c r="Z695" t="s">
        <v>74</v>
      </c>
      <c r="AA695" t="s">
        <v>5157</v>
      </c>
      <c r="AB695" t="s">
        <v>74</v>
      </c>
      <c r="AC695" t="s">
        <v>74</v>
      </c>
      <c r="AD695" t="s">
        <v>74</v>
      </c>
      <c r="AE695" t="s">
        <v>74</v>
      </c>
      <c r="AF695" t="s">
        <v>74</v>
      </c>
      <c r="AG695" t="s">
        <v>74</v>
      </c>
      <c r="AH695" t="s">
        <v>74</v>
      </c>
      <c r="AI695" t="s">
        <v>74</v>
      </c>
      <c r="AJ695" t="s">
        <v>74</v>
      </c>
      <c r="AK695" t="s">
        <v>74</v>
      </c>
      <c r="AL695" t="s">
        <v>74</v>
      </c>
      <c r="AM695" t="s">
        <v>74</v>
      </c>
      <c r="AN695" t="s">
        <v>74</v>
      </c>
      <c r="AO695" t="s">
        <v>284</v>
      </c>
      <c r="AP695" t="s">
        <v>285</v>
      </c>
      <c r="AQ695" t="s">
        <v>74</v>
      </c>
      <c r="AR695" t="s">
        <v>74</v>
      </c>
      <c r="AS695" t="s">
        <v>74</v>
      </c>
      <c r="AT695" t="s">
        <v>74</v>
      </c>
      <c r="AU695">
        <v>2010</v>
      </c>
      <c r="AV695">
        <v>45</v>
      </c>
      <c r="AW695">
        <v>4</v>
      </c>
      <c r="AX695" t="s">
        <v>74</v>
      </c>
      <c r="AY695" t="s">
        <v>74</v>
      </c>
      <c r="AZ695" t="s">
        <v>74</v>
      </c>
      <c r="BA695" t="s">
        <v>74</v>
      </c>
      <c r="BB695">
        <v>354</v>
      </c>
      <c r="BC695">
        <v>364</v>
      </c>
      <c r="BD695" t="s">
        <v>74</v>
      </c>
      <c r="BE695" t="s">
        <v>5158</v>
      </c>
      <c r="BF695" t="str">
        <f>HYPERLINK("http://dx.doi.org/10.1080/09670262.2010.492915","http://dx.doi.org/10.1080/09670262.2010.492915")</f>
        <v>http://dx.doi.org/10.1080/09670262.2010.492915</v>
      </c>
      <c r="BG695" t="s">
        <v>74</v>
      </c>
      <c r="BH695" t="s">
        <v>74</v>
      </c>
      <c r="BI695" t="s">
        <v>74</v>
      </c>
      <c r="BJ695" t="s">
        <v>74</v>
      </c>
      <c r="BK695" t="s">
        <v>74</v>
      </c>
      <c r="BL695" t="s">
        <v>74</v>
      </c>
      <c r="BM695" t="s">
        <v>74</v>
      </c>
      <c r="BN695" t="s">
        <v>74</v>
      </c>
      <c r="BO695" t="s">
        <v>74</v>
      </c>
      <c r="BP695" t="s">
        <v>74</v>
      </c>
      <c r="BQ695" t="s">
        <v>74</v>
      </c>
      <c r="BR695" t="s">
        <v>74</v>
      </c>
      <c r="BS695" t="s">
        <v>5159</v>
      </c>
      <c r="BT695" t="str">
        <f>HYPERLINK("https%3A%2F%2Fwww.webofscience.com%2Fwos%2Fwoscc%2Ffull-record%2FWOS:000288374100002","View Full Record in Web of Science")</f>
        <v>View Full Record in Web of Science</v>
      </c>
    </row>
    <row r="696" spans="1:72" x14ac:dyDescent="0.2">
      <c r="A696" t="s">
        <v>72</v>
      </c>
      <c r="B696" t="s">
        <v>5160</v>
      </c>
      <c r="C696" t="s">
        <v>74</v>
      </c>
      <c r="D696" t="s">
        <v>74</v>
      </c>
      <c r="E696" t="s">
        <v>74</v>
      </c>
      <c r="F696" t="s">
        <v>5161</v>
      </c>
      <c r="G696" t="s">
        <v>74</v>
      </c>
      <c r="H696" t="s">
        <v>74</v>
      </c>
      <c r="I696" t="s">
        <v>5162</v>
      </c>
      <c r="J696" t="s">
        <v>5163</v>
      </c>
      <c r="K696" t="s">
        <v>74</v>
      </c>
      <c r="L696" t="s">
        <v>74</v>
      </c>
      <c r="M696" t="s">
        <v>74</v>
      </c>
      <c r="N696" t="s">
        <v>74</v>
      </c>
      <c r="O696" t="s">
        <v>5164</v>
      </c>
      <c r="P696" t="s">
        <v>5165</v>
      </c>
      <c r="Q696" t="s">
        <v>5166</v>
      </c>
      <c r="R696" t="s">
        <v>74</v>
      </c>
      <c r="S696" t="s">
        <v>5167</v>
      </c>
      <c r="T696" t="s">
        <v>74</v>
      </c>
      <c r="U696" t="s">
        <v>74</v>
      </c>
      <c r="V696" t="s">
        <v>74</v>
      </c>
      <c r="W696" t="s">
        <v>74</v>
      </c>
      <c r="X696" t="s">
        <v>74</v>
      </c>
      <c r="Y696" t="s">
        <v>74</v>
      </c>
      <c r="Z696" t="s">
        <v>74</v>
      </c>
      <c r="AA696" t="s">
        <v>5168</v>
      </c>
      <c r="AB696" t="s">
        <v>5169</v>
      </c>
      <c r="AC696" t="s">
        <v>74</v>
      </c>
      <c r="AD696" t="s">
        <v>74</v>
      </c>
      <c r="AE696" t="s">
        <v>74</v>
      </c>
      <c r="AF696" t="s">
        <v>74</v>
      </c>
      <c r="AG696" t="s">
        <v>74</v>
      </c>
      <c r="AH696" t="s">
        <v>74</v>
      </c>
      <c r="AI696" t="s">
        <v>74</v>
      </c>
      <c r="AJ696" t="s">
        <v>74</v>
      </c>
      <c r="AK696" t="s">
        <v>74</v>
      </c>
      <c r="AL696" t="s">
        <v>74</v>
      </c>
      <c r="AM696" t="s">
        <v>74</v>
      </c>
      <c r="AN696" t="s">
        <v>74</v>
      </c>
      <c r="AO696" t="s">
        <v>5170</v>
      </c>
      <c r="AP696" t="s">
        <v>5171</v>
      </c>
      <c r="AQ696" t="s">
        <v>74</v>
      </c>
      <c r="AR696" t="s">
        <v>74</v>
      </c>
      <c r="AS696" t="s">
        <v>74</v>
      </c>
      <c r="AT696" t="s">
        <v>74</v>
      </c>
      <c r="AU696">
        <v>2010</v>
      </c>
      <c r="AV696" t="s">
        <v>74</v>
      </c>
      <c r="AW696" t="s">
        <v>74</v>
      </c>
      <c r="AX696" t="s">
        <v>74</v>
      </c>
      <c r="AY696">
        <v>136</v>
      </c>
      <c r="AZ696" t="s">
        <v>74</v>
      </c>
      <c r="BA696" t="s">
        <v>74</v>
      </c>
      <c r="BB696">
        <v>55</v>
      </c>
      <c r="BC696">
        <v>69</v>
      </c>
      <c r="BD696" t="s">
        <v>74</v>
      </c>
      <c r="BE696" t="s">
        <v>5172</v>
      </c>
      <c r="BF696" t="str">
        <f>HYPERLINK("http://dx.doi.org/10.1127/1438-9134/2010/0136-0055","http://dx.doi.org/10.1127/1438-9134/2010/0136-0055")</f>
        <v>http://dx.doi.org/10.1127/1438-9134/2010/0136-0055</v>
      </c>
      <c r="BG696" t="s">
        <v>74</v>
      </c>
      <c r="BH696" t="s">
        <v>74</v>
      </c>
      <c r="BI696" t="s">
        <v>74</v>
      </c>
      <c r="BJ696" t="s">
        <v>74</v>
      </c>
      <c r="BK696" t="s">
        <v>74</v>
      </c>
      <c r="BL696" t="s">
        <v>74</v>
      </c>
      <c r="BM696" t="s">
        <v>74</v>
      </c>
      <c r="BN696" t="s">
        <v>74</v>
      </c>
      <c r="BO696" t="s">
        <v>74</v>
      </c>
      <c r="BP696" t="s">
        <v>74</v>
      </c>
      <c r="BQ696" t="s">
        <v>74</v>
      </c>
      <c r="BR696" t="s">
        <v>74</v>
      </c>
      <c r="BS696" t="s">
        <v>5173</v>
      </c>
      <c r="BT696" t="str">
        <f>HYPERLINK("https%3A%2F%2Fwww.webofscience.com%2Fwos%2Fwoscc%2Ffull-record%2FWOS:000279419900006","View Full Record in Web of Science")</f>
        <v>View Full Record in Web of Science</v>
      </c>
    </row>
    <row r="697" spans="1:72" x14ac:dyDescent="0.2">
      <c r="A697" t="s">
        <v>72</v>
      </c>
      <c r="B697" t="s">
        <v>5174</v>
      </c>
      <c r="C697" t="s">
        <v>74</v>
      </c>
      <c r="D697" t="s">
        <v>74</v>
      </c>
      <c r="E697" t="s">
        <v>74</v>
      </c>
      <c r="F697" t="s">
        <v>5175</v>
      </c>
      <c r="G697" t="s">
        <v>74</v>
      </c>
      <c r="H697" t="s">
        <v>74</v>
      </c>
      <c r="I697" t="s">
        <v>5176</v>
      </c>
      <c r="J697" t="s">
        <v>5016</v>
      </c>
      <c r="K697" t="s">
        <v>74</v>
      </c>
      <c r="L697" t="s">
        <v>74</v>
      </c>
      <c r="M697" t="s">
        <v>74</v>
      </c>
      <c r="N697" t="s">
        <v>74</v>
      </c>
      <c r="O697" t="s">
        <v>74</v>
      </c>
      <c r="P697" t="s">
        <v>74</v>
      </c>
      <c r="Q697" t="s">
        <v>74</v>
      </c>
      <c r="R697" t="s">
        <v>74</v>
      </c>
      <c r="S697" t="s">
        <v>74</v>
      </c>
      <c r="T697" t="s">
        <v>74</v>
      </c>
      <c r="U697" t="s">
        <v>74</v>
      </c>
      <c r="V697" t="s">
        <v>74</v>
      </c>
      <c r="W697" t="s">
        <v>74</v>
      </c>
      <c r="X697" t="s">
        <v>74</v>
      </c>
      <c r="Y697" t="s">
        <v>74</v>
      </c>
      <c r="Z697" t="s">
        <v>74</v>
      </c>
      <c r="AA697" t="s">
        <v>74</v>
      </c>
      <c r="AB697" t="s">
        <v>74</v>
      </c>
      <c r="AC697" t="s">
        <v>74</v>
      </c>
      <c r="AD697" t="s">
        <v>74</v>
      </c>
      <c r="AE697" t="s">
        <v>74</v>
      </c>
      <c r="AF697" t="s">
        <v>74</v>
      </c>
      <c r="AG697" t="s">
        <v>74</v>
      </c>
      <c r="AH697" t="s">
        <v>74</v>
      </c>
      <c r="AI697" t="s">
        <v>74</v>
      </c>
      <c r="AJ697" t="s">
        <v>74</v>
      </c>
      <c r="AK697" t="s">
        <v>74</v>
      </c>
      <c r="AL697" t="s">
        <v>74</v>
      </c>
      <c r="AM697" t="s">
        <v>74</v>
      </c>
      <c r="AN697" t="s">
        <v>74</v>
      </c>
      <c r="AO697" t="s">
        <v>5017</v>
      </c>
      <c r="AP697" t="s">
        <v>5018</v>
      </c>
      <c r="AQ697" t="s">
        <v>74</v>
      </c>
      <c r="AR697" t="s">
        <v>74</v>
      </c>
      <c r="AS697" t="s">
        <v>74</v>
      </c>
      <c r="AT697" t="s">
        <v>74</v>
      </c>
      <c r="AU697">
        <v>2010</v>
      </c>
      <c r="AV697">
        <v>69</v>
      </c>
      <c r="AW697">
        <v>2</v>
      </c>
      <c r="AX697" t="s">
        <v>74</v>
      </c>
      <c r="AY697" t="s">
        <v>74</v>
      </c>
      <c r="AZ697" t="s">
        <v>74</v>
      </c>
      <c r="BA697" t="s">
        <v>74</v>
      </c>
      <c r="BB697">
        <v>353</v>
      </c>
      <c r="BC697">
        <v>357</v>
      </c>
      <c r="BD697" t="s">
        <v>74</v>
      </c>
      <c r="BE697" t="s">
        <v>5177</v>
      </c>
      <c r="BF697" t="str">
        <f>HYPERLINK("http://dx.doi.org/10.4081/jlimnol.2010.353","http://dx.doi.org/10.4081/jlimnol.2010.353")</f>
        <v>http://dx.doi.org/10.4081/jlimnol.2010.353</v>
      </c>
      <c r="BG697" t="s">
        <v>74</v>
      </c>
      <c r="BH697" t="s">
        <v>74</v>
      </c>
      <c r="BI697" t="s">
        <v>74</v>
      </c>
      <c r="BJ697" t="s">
        <v>74</v>
      </c>
      <c r="BK697" t="s">
        <v>74</v>
      </c>
      <c r="BL697" t="s">
        <v>74</v>
      </c>
      <c r="BM697" t="s">
        <v>74</v>
      </c>
      <c r="BN697" t="s">
        <v>74</v>
      </c>
      <c r="BO697" t="s">
        <v>74</v>
      </c>
      <c r="BP697" t="s">
        <v>74</v>
      </c>
      <c r="BQ697" t="s">
        <v>74</v>
      </c>
      <c r="BR697" t="s">
        <v>74</v>
      </c>
      <c r="BS697" t="s">
        <v>5178</v>
      </c>
      <c r="BT697" t="str">
        <f>HYPERLINK("https%3A%2F%2Fwww.webofscience.com%2Fwos%2Fwoscc%2Ffull-record%2FWOS:000282859700017","View Full Record in Web of Science")</f>
        <v>View Full Record in Web of Science</v>
      </c>
    </row>
    <row r="698" spans="1:72" x14ac:dyDescent="0.2">
      <c r="A698" t="s">
        <v>72</v>
      </c>
      <c r="B698" t="s">
        <v>5179</v>
      </c>
      <c r="C698" t="s">
        <v>74</v>
      </c>
      <c r="D698" t="s">
        <v>74</v>
      </c>
      <c r="E698" t="s">
        <v>74</v>
      </c>
      <c r="F698" t="s">
        <v>5180</v>
      </c>
      <c r="G698" t="s">
        <v>74</v>
      </c>
      <c r="H698" t="s">
        <v>74</v>
      </c>
      <c r="I698" t="s">
        <v>5181</v>
      </c>
      <c r="J698" t="s">
        <v>5182</v>
      </c>
      <c r="K698" t="s">
        <v>74</v>
      </c>
      <c r="L698" t="s">
        <v>74</v>
      </c>
      <c r="M698" t="s">
        <v>74</v>
      </c>
      <c r="N698" t="s">
        <v>74</v>
      </c>
      <c r="O698" t="s">
        <v>74</v>
      </c>
      <c r="P698" t="s">
        <v>74</v>
      </c>
      <c r="Q698" t="s">
        <v>74</v>
      </c>
      <c r="R698" t="s">
        <v>74</v>
      </c>
      <c r="S698" t="s">
        <v>74</v>
      </c>
      <c r="T698" t="s">
        <v>74</v>
      </c>
      <c r="U698" t="s">
        <v>74</v>
      </c>
      <c r="V698" t="s">
        <v>74</v>
      </c>
      <c r="W698" t="s">
        <v>74</v>
      </c>
      <c r="X698" t="s">
        <v>74</v>
      </c>
      <c r="Y698" t="s">
        <v>74</v>
      </c>
      <c r="Z698" t="s">
        <v>74</v>
      </c>
      <c r="AA698" t="s">
        <v>74</v>
      </c>
      <c r="AB698" t="s">
        <v>5183</v>
      </c>
      <c r="AC698" t="s">
        <v>74</v>
      </c>
      <c r="AD698" t="s">
        <v>74</v>
      </c>
      <c r="AE698" t="s">
        <v>74</v>
      </c>
      <c r="AF698" t="s">
        <v>74</v>
      </c>
      <c r="AG698" t="s">
        <v>74</v>
      </c>
      <c r="AH698" t="s">
        <v>74</v>
      </c>
      <c r="AI698" t="s">
        <v>74</v>
      </c>
      <c r="AJ698" t="s">
        <v>74</v>
      </c>
      <c r="AK698" t="s">
        <v>74</v>
      </c>
      <c r="AL698" t="s">
        <v>74</v>
      </c>
      <c r="AM698" t="s">
        <v>74</v>
      </c>
      <c r="AN698" t="s">
        <v>74</v>
      </c>
      <c r="AO698" t="s">
        <v>5184</v>
      </c>
      <c r="AP698" t="s">
        <v>74</v>
      </c>
      <c r="AQ698" t="s">
        <v>74</v>
      </c>
      <c r="AR698" t="s">
        <v>74</v>
      </c>
      <c r="AS698" t="s">
        <v>74</v>
      </c>
      <c r="AT698" t="s">
        <v>1935</v>
      </c>
      <c r="AU698">
        <v>2009</v>
      </c>
      <c r="AV698">
        <v>56</v>
      </c>
      <c r="AW698">
        <v>26</v>
      </c>
      <c r="AX698" t="s">
        <v>74</v>
      </c>
      <c r="AY698" t="s">
        <v>74</v>
      </c>
      <c r="AZ698" t="s">
        <v>74</v>
      </c>
      <c r="BA698" t="s">
        <v>74</v>
      </c>
      <c r="BB698">
        <v>2745</v>
      </c>
      <c r="BC698">
        <v>2754</v>
      </c>
      <c r="BD698" t="s">
        <v>74</v>
      </c>
      <c r="BE698" t="s">
        <v>5185</v>
      </c>
      <c r="BF698" t="str">
        <f>HYPERLINK("http://dx.doi.org/10.1016/j.dsr2.2009.06.002","http://dx.doi.org/10.1016/j.dsr2.2009.06.002")</f>
        <v>http://dx.doi.org/10.1016/j.dsr2.2009.06.002</v>
      </c>
      <c r="BG698" t="s">
        <v>74</v>
      </c>
      <c r="BH698" t="s">
        <v>74</v>
      </c>
      <c r="BI698" t="s">
        <v>74</v>
      </c>
      <c r="BJ698" t="s">
        <v>74</v>
      </c>
      <c r="BK698" t="s">
        <v>74</v>
      </c>
      <c r="BL698" t="s">
        <v>74</v>
      </c>
      <c r="BM698" t="s">
        <v>74</v>
      </c>
      <c r="BN698" t="s">
        <v>74</v>
      </c>
      <c r="BO698" t="s">
        <v>74</v>
      </c>
      <c r="BP698" t="s">
        <v>74</v>
      </c>
      <c r="BQ698" t="s">
        <v>74</v>
      </c>
      <c r="BR698" t="s">
        <v>74</v>
      </c>
      <c r="BS698" t="s">
        <v>5186</v>
      </c>
      <c r="BT698" t="str">
        <f>HYPERLINK("https%3A%2F%2Fwww.webofscience.com%2Fwos%2Fwoscc%2Ffull-record%2FWOS:000273147300003","View Full Record in Web of Science")</f>
        <v>View Full Record in Web of Science</v>
      </c>
    </row>
    <row r="699" spans="1:72" x14ac:dyDescent="0.2">
      <c r="A699" t="s">
        <v>72</v>
      </c>
      <c r="B699" t="s">
        <v>5187</v>
      </c>
      <c r="C699" t="s">
        <v>74</v>
      </c>
      <c r="D699" t="s">
        <v>74</v>
      </c>
      <c r="E699" t="s">
        <v>74</v>
      </c>
      <c r="F699" t="s">
        <v>5188</v>
      </c>
      <c r="G699" t="s">
        <v>74</v>
      </c>
      <c r="H699" t="s">
        <v>74</v>
      </c>
      <c r="I699" t="s">
        <v>5189</v>
      </c>
      <c r="J699" t="s">
        <v>5190</v>
      </c>
      <c r="K699" t="s">
        <v>74</v>
      </c>
      <c r="L699" t="s">
        <v>74</v>
      </c>
      <c r="M699" t="s">
        <v>74</v>
      </c>
      <c r="N699" t="s">
        <v>74</v>
      </c>
      <c r="O699" t="s">
        <v>74</v>
      </c>
      <c r="P699" t="s">
        <v>74</v>
      </c>
      <c r="Q699" t="s">
        <v>74</v>
      </c>
      <c r="R699" t="s">
        <v>74</v>
      </c>
      <c r="S699" t="s">
        <v>74</v>
      </c>
      <c r="T699" t="s">
        <v>74</v>
      </c>
      <c r="U699" t="s">
        <v>74</v>
      </c>
      <c r="V699" t="s">
        <v>74</v>
      </c>
      <c r="W699" t="s">
        <v>74</v>
      </c>
      <c r="X699" t="s">
        <v>74</v>
      </c>
      <c r="Y699" t="s">
        <v>74</v>
      </c>
      <c r="Z699" t="s">
        <v>74</v>
      </c>
      <c r="AA699" t="s">
        <v>74</v>
      </c>
      <c r="AB699" t="s">
        <v>74</v>
      </c>
      <c r="AC699" t="s">
        <v>74</v>
      </c>
      <c r="AD699" t="s">
        <v>74</v>
      </c>
      <c r="AE699" t="s">
        <v>74</v>
      </c>
      <c r="AF699" t="s">
        <v>74</v>
      </c>
      <c r="AG699" t="s">
        <v>74</v>
      </c>
      <c r="AH699" t="s">
        <v>74</v>
      </c>
      <c r="AI699" t="s">
        <v>74</v>
      </c>
      <c r="AJ699" t="s">
        <v>74</v>
      </c>
      <c r="AK699" t="s">
        <v>74</v>
      </c>
      <c r="AL699" t="s">
        <v>74</v>
      </c>
      <c r="AM699" t="s">
        <v>74</v>
      </c>
      <c r="AN699" t="s">
        <v>74</v>
      </c>
      <c r="AO699" t="s">
        <v>5191</v>
      </c>
      <c r="AP699" t="s">
        <v>74</v>
      </c>
      <c r="AQ699" t="s">
        <v>74</v>
      </c>
      <c r="AR699" t="s">
        <v>74</v>
      </c>
      <c r="AS699" t="s">
        <v>74</v>
      </c>
      <c r="AT699" t="s">
        <v>82</v>
      </c>
      <c r="AU699">
        <v>2009</v>
      </c>
      <c r="AV699">
        <v>29</v>
      </c>
      <c r="AW699">
        <v>6</v>
      </c>
      <c r="AX699" t="s">
        <v>74</v>
      </c>
      <c r="AY699" t="s">
        <v>74</v>
      </c>
      <c r="AZ699" t="s">
        <v>74</v>
      </c>
      <c r="BA699" t="s">
        <v>74</v>
      </c>
      <c r="BB699">
        <v>431</v>
      </c>
      <c r="BC699">
        <v>440</v>
      </c>
      <c r="BD699" t="s">
        <v>74</v>
      </c>
      <c r="BE699" t="s">
        <v>5192</v>
      </c>
      <c r="BF699" t="str">
        <f>HYPERLINK("http://dx.doi.org/10.1007/s00367-009-0157-3","http://dx.doi.org/10.1007/s00367-009-0157-3")</f>
        <v>http://dx.doi.org/10.1007/s00367-009-0157-3</v>
      </c>
      <c r="BG699" t="s">
        <v>74</v>
      </c>
      <c r="BH699" t="s">
        <v>74</v>
      </c>
      <c r="BI699" t="s">
        <v>74</v>
      </c>
      <c r="BJ699" t="s">
        <v>74</v>
      </c>
      <c r="BK699" t="s">
        <v>74</v>
      </c>
      <c r="BL699" t="s">
        <v>74</v>
      </c>
      <c r="BM699" t="s">
        <v>74</v>
      </c>
      <c r="BN699" t="s">
        <v>74</v>
      </c>
      <c r="BO699" t="s">
        <v>74</v>
      </c>
      <c r="BP699" t="s">
        <v>74</v>
      </c>
      <c r="BQ699" t="s">
        <v>74</v>
      </c>
      <c r="BR699" t="s">
        <v>74</v>
      </c>
      <c r="BS699" t="s">
        <v>5193</v>
      </c>
      <c r="BT699" t="str">
        <f>HYPERLINK("https%3A%2F%2Fwww.webofscience.com%2Fwos%2Fwoscc%2Ffull-record%2FWOS:000271949800008","View Full Record in Web of Science")</f>
        <v>View Full Record in Web of Science</v>
      </c>
    </row>
    <row r="700" spans="1:72" x14ac:dyDescent="0.2">
      <c r="A700" t="s">
        <v>72</v>
      </c>
      <c r="B700" t="s">
        <v>5194</v>
      </c>
      <c r="C700" t="s">
        <v>74</v>
      </c>
      <c r="D700" t="s">
        <v>74</v>
      </c>
      <c r="E700" t="s">
        <v>74</v>
      </c>
      <c r="F700" t="s">
        <v>5195</v>
      </c>
      <c r="G700" t="s">
        <v>74</v>
      </c>
      <c r="H700" t="s">
        <v>74</v>
      </c>
      <c r="I700" t="s">
        <v>5196</v>
      </c>
      <c r="J700" t="s">
        <v>934</v>
      </c>
      <c r="K700" t="s">
        <v>74</v>
      </c>
      <c r="L700" t="s">
        <v>74</v>
      </c>
      <c r="M700" t="s">
        <v>74</v>
      </c>
      <c r="N700" t="s">
        <v>74</v>
      </c>
      <c r="O700" t="s">
        <v>74</v>
      </c>
      <c r="P700" t="s">
        <v>74</v>
      </c>
      <c r="Q700" t="s">
        <v>74</v>
      </c>
      <c r="R700" t="s">
        <v>74</v>
      </c>
      <c r="S700" t="s">
        <v>74</v>
      </c>
      <c r="T700" t="s">
        <v>74</v>
      </c>
      <c r="U700" t="s">
        <v>74</v>
      </c>
      <c r="V700" t="s">
        <v>74</v>
      </c>
      <c r="W700" t="s">
        <v>74</v>
      </c>
      <c r="X700" t="s">
        <v>74</v>
      </c>
      <c r="Y700" t="s">
        <v>74</v>
      </c>
      <c r="Z700" t="s">
        <v>74</v>
      </c>
      <c r="AA700" t="s">
        <v>74</v>
      </c>
      <c r="AB700" t="s">
        <v>5197</v>
      </c>
      <c r="AC700" t="s">
        <v>74</v>
      </c>
      <c r="AD700" t="s">
        <v>74</v>
      </c>
      <c r="AE700" t="s">
        <v>74</v>
      </c>
      <c r="AF700" t="s">
        <v>74</v>
      </c>
      <c r="AG700" t="s">
        <v>74</v>
      </c>
      <c r="AH700" t="s">
        <v>74</v>
      </c>
      <c r="AI700" t="s">
        <v>74</v>
      </c>
      <c r="AJ700" t="s">
        <v>74</v>
      </c>
      <c r="AK700" t="s">
        <v>74</v>
      </c>
      <c r="AL700" t="s">
        <v>74</v>
      </c>
      <c r="AM700" t="s">
        <v>74</v>
      </c>
      <c r="AN700" t="s">
        <v>74</v>
      </c>
      <c r="AO700" t="s">
        <v>936</v>
      </c>
      <c r="AP700" t="s">
        <v>937</v>
      </c>
      <c r="AQ700" t="s">
        <v>74</v>
      </c>
      <c r="AR700" t="s">
        <v>74</v>
      </c>
      <c r="AS700" t="s">
        <v>74</v>
      </c>
      <c r="AT700" t="s">
        <v>406</v>
      </c>
      <c r="AU700">
        <v>2009</v>
      </c>
      <c r="AV700">
        <v>75</v>
      </c>
      <c r="AW700">
        <v>5</v>
      </c>
      <c r="AX700" t="s">
        <v>74</v>
      </c>
      <c r="AY700" t="s">
        <v>74</v>
      </c>
      <c r="AZ700" t="s">
        <v>74</v>
      </c>
      <c r="BA700" t="s">
        <v>74</v>
      </c>
      <c r="BB700">
        <v>960</v>
      </c>
      <c r="BC700">
        <v>996</v>
      </c>
      <c r="BD700" t="s">
        <v>74</v>
      </c>
      <c r="BE700" t="s">
        <v>5198</v>
      </c>
      <c r="BF700" t="str">
        <f>HYPERLINK("http://dx.doi.org/10.1111/j.1095-8649.2009.02358.x","http://dx.doi.org/10.1111/j.1095-8649.2009.02358.x")</f>
        <v>http://dx.doi.org/10.1111/j.1095-8649.2009.02358.x</v>
      </c>
      <c r="BG700" t="s">
        <v>74</v>
      </c>
      <c r="BH700" t="s">
        <v>74</v>
      </c>
      <c r="BI700" t="s">
        <v>74</v>
      </c>
      <c r="BJ700" t="s">
        <v>74</v>
      </c>
      <c r="BK700" t="s">
        <v>74</v>
      </c>
      <c r="BL700" t="s">
        <v>74</v>
      </c>
      <c r="BM700" t="s">
        <v>74</v>
      </c>
      <c r="BN700">
        <v>20738594</v>
      </c>
      <c r="BO700" t="s">
        <v>74</v>
      </c>
      <c r="BP700" t="s">
        <v>74</v>
      </c>
      <c r="BQ700" t="s">
        <v>74</v>
      </c>
      <c r="BR700" t="s">
        <v>74</v>
      </c>
      <c r="BS700" t="s">
        <v>5199</v>
      </c>
      <c r="BT700" t="str">
        <f>HYPERLINK("https%3A%2F%2Fwww.webofscience.com%2Fwos%2Fwoscc%2Ffull-record%2FWOS:000271496400002","View Full Record in Web of Science")</f>
        <v>View Full Record in Web of Science</v>
      </c>
    </row>
    <row r="701" spans="1:72" x14ac:dyDescent="0.2">
      <c r="A701" t="s">
        <v>72</v>
      </c>
      <c r="B701" t="s">
        <v>5200</v>
      </c>
      <c r="C701" t="s">
        <v>74</v>
      </c>
      <c r="D701" t="s">
        <v>74</v>
      </c>
      <c r="E701" t="s">
        <v>74</v>
      </c>
      <c r="F701" t="s">
        <v>5201</v>
      </c>
      <c r="G701" t="s">
        <v>74</v>
      </c>
      <c r="H701" t="s">
        <v>74</v>
      </c>
      <c r="I701" t="s">
        <v>5202</v>
      </c>
      <c r="J701" t="s">
        <v>836</v>
      </c>
      <c r="K701" t="s">
        <v>74</v>
      </c>
      <c r="L701" t="s">
        <v>74</v>
      </c>
      <c r="M701" t="s">
        <v>74</v>
      </c>
      <c r="N701" t="s">
        <v>74</v>
      </c>
      <c r="O701" t="s">
        <v>74</v>
      </c>
      <c r="P701" t="s">
        <v>74</v>
      </c>
      <c r="Q701" t="s">
        <v>74</v>
      </c>
      <c r="R701" t="s">
        <v>74</v>
      </c>
      <c r="S701" t="s">
        <v>74</v>
      </c>
      <c r="T701" t="s">
        <v>74</v>
      </c>
      <c r="U701" t="s">
        <v>74</v>
      </c>
      <c r="V701" t="s">
        <v>74</v>
      </c>
      <c r="W701" t="s">
        <v>74</v>
      </c>
      <c r="X701" t="s">
        <v>74</v>
      </c>
      <c r="Y701" t="s">
        <v>74</v>
      </c>
      <c r="Z701" t="s">
        <v>74</v>
      </c>
      <c r="AA701" t="s">
        <v>7148</v>
      </c>
      <c r="AB701" t="s">
        <v>7149</v>
      </c>
      <c r="AC701" t="s">
        <v>74</v>
      </c>
      <c r="AD701" t="s">
        <v>74</v>
      </c>
      <c r="AE701" t="s">
        <v>74</v>
      </c>
      <c r="AF701" t="s">
        <v>74</v>
      </c>
      <c r="AG701" t="s">
        <v>74</v>
      </c>
      <c r="AH701" t="s">
        <v>74</v>
      </c>
      <c r="AI701" t="s">
        <v>74</v>
      </c>
      <c r="AJ701" t="s">
        <v>74</v>
      </c>
      <c r="AK701" t="s">
        <v>74</v>
      </c>
      <c r="AL701" t="s">
        <v>74</v>
      </c>
      <c r="AM701" t="s">
        <v>74</v>
      </c>
      <c r="AN701" t="s">
        <v>74</v>
      </c>
      <c r="AO701" t="s">
        <v>837</v>
      </c>
      <c r="AP701" t="s">
        <v>74</v>
      </c>
      <c r="AQ701" t="s">
        <v>74</v>
      </c>
      <c r="AR701" t="s">
        <v>74</v>
      </c>
      <c r="AS701" t="s">
        <v>74</v>
      </c>
      <c r="AT701" t="s">
        <v>451</v>
      </c>
      <c r="AU701">
        <v>2009</v>
      </c>
      <c r="AV701">
        <v>8</v>
      </c>
      <c r="AW701">
        <v>6</v>
      </c>
      <c r="AX701" t="s">
        <v>74</v>
      </c>
      <c r="AY701" t="s">
        <v>74</v>
      </c>
      <c r="AZ701" t="s">
        <v>74</v>
      </c>
      <c r="BA701" t="s">
        <v>74</v>
      </c>
      <c r="BB701">
        <v>843</v>
      </c>
      <c r="BC701">
        <v>856</v>
      </c>
      <c r="BD701" t="s">
        <v>74</v>
      </c>
      <c r="BE701" t="s">
        <v>5203</v>
      </c>
      <c r="BF701" t="str">
        <f>HYPERLINK("http://dx.doi.org/10.1016/j.hal.2009.04.001","http://dx.doi.org/10.1016/j.hal.2009.04.001")</f>
        <v>http://dx.doi.org/10.1016/j.hal.2009.04.001</v>
      </c>
      <c r="BG701" t="s">
        <v>74</v>
      </c>
      <c r="BH701" t="s">
        <v>74</v>
      </c>
      <c r="BI701" t="s">
        <v>74</v>
      </c>
      <c r="BJ701" t="s">
        <v>74</v>
      </c>
      <c r="BK701" t="s">
        <v>74</v>
      </c>
      <c r="BL701" t="s">
        <v>74</v>
      </c>
      <c r="BM701" t="s">
        <v>74</v>
      </c>
      <c r="BN701" t="s">
        <v>74</v>
      </c>
      <c r="BO701" t="s">
        <v>74</v>
      </c>
      <c r="BP701" t="s">
        <v>74</v>
      </c>
      <c r="BQ701" t="s">
        <v>74</v>
      </c>
      <c r="BR701" t="s">
        <v>74</v>
      </c>
      <c r="BS701" t="s">
        <v>5204</v>
      </c>
      <c r="BT701" t="str">
        <f>HYPERLINK("https%3A%2F%2Fwww.webofscience.com%2Fwos%2Fwoscc%2Ffull-record%2FWOS:000270494600004","View Full Record in Web of Science")</f>
        <v>View Full Record in Web of Science</v>
      </c>
    </row>
    <row r="702" spans="1:72" x14ac:dyDescent="0.2">
      <c r="A702" t="s">
        <v>72</v>
      </c>
      <c r="B702" t="s">
        <v>5205</v>
      </c>
      <c r="C702" t="s">
        <v>74</v>
      </c>
      <c r="D702" t="s">
        <v>74</v>
      </c>
      <c r="E702" t="s">
        <v>74</v>
      </c>
      <c r="F702" t="s">
        <v>5206</v>
      </c>
      <c r="G702" t="s">
        <v>74</v>
      </c>
      <c r="H702" t="s">
        <v>74</v>
      </c>
      <c r="I702" t="s">
        <v>5207</v>
      </c>
      <c r="J702" t="s">
        <v>1165</v>
      </c>
      <c r="K702" t="s">
        <v>74</v>
      </c>
      <c r="L702" t="s">
        <v>74</v>
      </c>
      <c r="M702" t="s">
        <v>74</v>
      </c>
      <c r="N702" t="s">
        <v>74</v>
      </c>
      <c r="O702" t="s">
        <v>74</v>
      </c>
      <c r="P702" t="s">
        <v>74</v>
      </c>
      <c r="Q702" t="s">
        <v>74</v>
      </c>
      <c r="R702" t="s">
        <v>74</v>
      </c>
      <c r="S702" t="s">
        <v>74</v>
      </c>
      <c r="T702" t="s">
        <v>74</v>
      </c>
      <c r="U702" t="s">
        <v>74</v>
      </c>
      <c r="V702" t="s">
        <v>74</v>
      </c>
      <c r="W702" t="s">
        <v>74</v>
      </c>
      <c r="X702" t="s">
        <v>74</v>
      </c>
      <c r="Y702" t="s">
        <v>74</v>
      </c>
      <c r="Z702" t="s">
        <v>74</v>
      </c>
      <c r="AA702" t="s">
        <v>7150</v>
      </c>
      <c r="AB702" t="s">
        <v>7151</v>
      </c>
      <c r="AC702" t="s">
        <v>74</v>
      </c>
      <c r="AD702" t="s">
        <v>74</v>
      </c>
      <c r="AE702" t="s">
        <v>74</v>
      </c>
      <c r="AF702" t="s">
        <v>74</v>
      </c>
      <c r="AG702" t="s">
        <v>74</v>
      </c>
      <c r="AH702" t="s">
        <v>74</v>
      </c>
      <c r="AI702" t="s">
        <v>74</v>
      </c>
      <c r="AJ702" t="s">
        <v>74</v>
      </c>
      <c r="AK702" t="s">
        <v>74</v>
      </c>
      <c r="AL702" t="s">
        <v>74</v>
      </c>
      <c r="AM702" t="s">
        <v>74</v>
      </c>
      <c r="AN702" t="s">
        <v>74</v>
      </c>
      <c r="AO702" t="s">
        <v>1166</v>
      </c>
      <c r="AP702" t="s">
        <v>1167</v>
      </c>
      <c r="AQ702" t="s">
        <v>74</v>
      </c>
      <c r="AR702" t="s">
        <v>74</v>
      </c>
      <c r="AS702" t="s">
        <v>74</v>
      </c>
      <c r="AT702" t="s">
        <v>520</v>
      </c>
      <c r="AU702">
        <v>2009</v>
      </c>
      <c r="AV702">
        <v>3</v>
      </c>
      <c r="AW702">
        <v>8</v>
      </c>
      <c r="AX702" t="s">
        <v>74</v>
      </c>
      <c r="AY702" t="s">
        <v>74</v>
      </c>
      <c r="AZ702" t="s">
        <v>74</v>
      </c>
      <c r="BA702" t="s">
        <v>74</v>
      </c>
      <c r="BB702">
        <v>889</v>
      </c>
      <c r="BC702">
        <v>902</v>
      </c>
      <c r="BD702" t="s">
        <v>74</v>
      </c>
      <c r="BE702" t="s">
        <v>5208</v>
      </c>
      <c r="BF702" t="str">
        <f>HYPERLINK("http://dx.doi.org/10.1038/ismej.2009.46","http://dx.doi.org/10.1038/ismej.2009.46")</f>
        <v>http://dx.doi.org/10.1038/ismej.2009.46</v>
      </c>
      <c r="BG702" t="s">
        <v>74</v>
      </c>
      <c r="BH702" t="s">
        <v>74</v>
      </c>
      <c r="BI702" t="s">
        <v>74</v>
      </c>
      <c r="BJ702" t="s">
        <v>74</v>
      </c>
      <c r="BK702" t="s">
        <v>74</v>
      </c>
      <c r="BL702" t="s">
        <v>74</v>
      </c>
      <c r="BM702" t="s">
        <v>74</v>
      </c>
      <c r="BN702">
        <v>19421234</v>
      </c>
      <c r="BO702" t="s">
        <v>74</v>
      </c>
      <c r="BP702" t="s">
        <v>74</v>
      </c>
      <c r="BQ702" t="s">
        <v>74</v>
      </c>
      <c r="BR702" t="s">
        <v>74</v>
      </c>
      <c r="BS702" t="s">
        <v>5209</v>
      </c>
      <c r="BT702" t="str">
        <f>HYPERLINK("https%3A%2F%2Fwww.webofscience.com%2Fwos%2Fwoscc%2Ffull-record%2FWOS:000268741300003","View Full Record in Web of Science")</f>
        <v>View Full Record in Web of Science</v>
      </c>
    </row>
    <row r="703" spans="1:72" x14ac:dyDescent="0.2">
      <c r="A703" t="s">
        <v>72</v>
      </c>
      <c r="B703" t="s">
        <v>5210</v>
      </c>
      <c r="C703" t="s">
        <v>74</v>
      </c>
      <c r="D703" t="s">
        <v>74</v>
      </c>
      <c r="E703" t="s">
        <v>74</v>
      </c>
      <c r="F703" t="s">
        <v>5211</v>
      </c>
      <c r="G703" t="s">
        <v>74</v>
      </c>
      <c r="H703" t="s">
        <v>74</v>
      </c>
      <c r="I703" t="s">
        <v>5212</v>
      </c>
      <c r="J703" t="s">
        <v>423</v>
      </c>
      <c r="K703" t="s">
        <v>74</v>
      </c>
      <c r="L703" t="s">
        <v>74</v>
      </c>
      <c r="M703" t="s">
        <v>74</v>
      </c>
      <c r="N703" t="s">
        <v>74</v>
      </c>
      <c r="O703" t="s">
        <v>74</v>
      </c>
      <c r="P703" t="s">
        <v>74</v>
      </c>
      <c r="Q703" t="s">
        <v>74</v>
      </c>
      <c r="R703" t="s">
        <v>74</v>
      </c>
      <c r="S703" t="s">
        <v>74</v>
      </c>
      <c r="T703" t="s">
        <v>74</v>
      </c>
      <c r="U703" t="s">
        <v>74</v>
      </c>
      <c r="V703" t="s">
        <v>74</v>
      </c>
      <c r="W703" t="s">
        <v>74</v>
      </c>
      <c r="X703" t="s">
        <v>74</v>
      </c>
      <c r="Y703" t="s">
        <v>74</v>
      </c>
      <c r="Z703" t="s">
        <v>74</v>
      </c>
      <c r="AA703" t="s">
        <v>74</v>
      </c>
      <c r="AB703" t="s">
        <v>74</v>
      </c>
      <c r="AC703" t="s">
        <v>74</v>
      </c>
      <c r="AD703" t="s">
        <v>74</v>
      </c>
      <c r="AE703" t="s">
        <v>74</v>
      </c>
      <c r="AF703" t="s">
        <v>74</v>
      </c>
      <c r="AG703" t="s">
        <v>74</v>
      </c>
      <c r="AH703" t="s">
        <v>74</v>
      </c>
      <c r="AI703" t="s">
        <v>74</v>
      </c>
      <c r="AJ703" t="s">
        <v>74</v>
      </c>
      <c r="AK703" t="s">
        <v>74</v>
      </c>
      <c r="AL703" t="s">
        <v>74</v>
      </c>
      <c r="AM703" t="s">
        <v>74</v>
      </c>
      <c r="AN703" t="s">
        <v>74</v>
      </c>
      <c r="AO703" t="s">
        <v>425</v>
      </c>
      <c r="AP703" t="s">
        <v>426</v>
      </c>
      <c r="AQ703" t="s">
        <v>74</v>
      </c>
      <c r="AR703" t="s">
        <v>74</v>
      </c>
      <c r="AS703" t="s">
        <v>74</v>
      </c>
      <c r="AT703" t="s">
        <v>624</v>
      </c>
      <c r="AU703">
        <v>2009</v>
      </c>
      <c r="AV703">
        <v>54</v>
      </c>
      <c r="AW703">
        <v>7</v>
      </c>
      <c r="AX703" t="s">
        <v>74</v>
      </c>
      <c r="AY703" t="s">
        <v>74</v>
      </c>
      <c r="AZ703" t="s">
        <v>74</v>
      </c>
      <c r="BA703" t="s">
        <v>74</v>
      </c>
      <c r="BB703">
        <v>1406</v>
      </c>
      <c r="BC703">
        <v>1426</v>
      </c>
      <c r="BD703" t="s">
        <v>74</v>
      </c>
      <c r="BE703" t="s">
        <v>5213</v>
      </c>
      <c r="BF703" t="str">
        <f>HYPERLINK("http://dx.doi.org/10.1111/j.1365-2427.2009.02193.x","http://dx.doi.org/10.1111/j.1365-2427.2009.02193.x")</f>
        <v>http://dx.doi.org/10.1111/j.1365-2427.2009.02193.x</v>
      </c>
      <c r="BG703" t="s">
        <v>74</v>
      </c>
      <c r="BH703" t="s">
        <v>74</v>
      </c>
      <c r="BI703" t="s">
        <v>74</v>
      </c>
      <c r="BJ703" t="s">
        <v>74</v>
      </c>
      <c r="BK703" t="s">
        <v>74</v>
      </c>
      <c r="BL703" t="s">
        <v>74</v>
      </c>
      <c r="BM703" t="s">
        <v>74</v>
      </c>
      <c r="BN703" t="s">
        <v>74</v>
      </c>
      <c r="BO703" t="s">
        <v>74</v>
      </c>
      <c r="BP703" t="s">
        <v>74</v>
      </c>
      <c r="BQ703" t="s">
        <v>74</v>
      </c>
      <c r="BR703" t="s">
        <v>74</v>
      </c>
      <c r="BS703" t="s">
        <v>5214</v>
      </c>
      <c r="BT703" t="str">
        <f>HYPERLINK("https%3A%2F%2Fwww.webofscience.com%2Fwos%2Fwoscc%2Ffull-record%2FWOS:000266637400003","View Full Record in Web of Science")</f>
        <v>View Full Record in Web of Science</v>
      </c>
    </row>
    <row r="704" spans="1:72" x14ac:dyDescent="0.2">
      <c r="A704" t="s">
        <v>72</v>
      </c>
      <c r="B704" t="s">
        <v>5215</v>
      </c>
      <c r="C704" t="s">
        <v>74</v>
      </c>
      <c r="D704" t="s">
        <v>74</v>
      </c>
      <c r="E704" t="s">
        <v>74</v>
      </c>
      <c r="F704" t="s">
        <v>5216</v>
      </c>
      <c r="G704" t="s">
        <v>74</v>
      </c>
      <c r="H704" t="s">
        <v>74</v>
      </c>
      <c r="I704" t="s">
        <v>5217</v>
      </c>
      <c r="J704" t="s">
        <v>5218</v>
      </c>
      <c r="K704" t="s">
        <v>74</v>
      </c>
      <c r="L704" t="s">
        <v>74</v>
      </c>
      <c r="M704" t="s">
        <v>74</v>
      </c>
      <c r="N704" t="s">
        <v>74</v>
      </c>
      <c r="O704" t="s">
        <v>74</v>
      </c>
      <c r="P704" t="s">
        <v>74</v>
      </c>
      <c r="Q704" t="s">
        <v>74</v>
      </c>
      <c r="R704" t="s">
        <v>74</v>
      </c>
      <c r="S704" t="s">
        <v>74</v>
      </c>
      <c r="T704" t="s">
        <v>74</v>
      </c>
      <c r="U704" t="s">
        <v>74</v>
      </c>
      <c r="V704" t="s">
        <v>74</v>
      </c>
      <c r="W704" t="s">
        <v>74</v>
      </c>
      <c r="X704" t="s">
        <v>74</v>
      </c>
      <c r="Y704" t="s">
        <v>74</v>
      </c>
      <c r="Z704" t="s">
        <v>74</v>
      </c>
      <c r="AA704" t="s">
        <v>74</v>
      </c>
      <c r="AB704" t="s">
        <v>74</v>
      </c>
      <c r="AC704" t="s">
        <v>74</v>
      </c>
      <c r="AD704" t="s">
        <v>74</v>
      </c>
      <c r="AE704" t="s">
        <v>74</v>
      </c>
      <c r="AF704" t="s">
        <v>74</v>
      </c>
      <c r="AG704" t="s">
        <v>74</v>
      </c>
      <c r="AH704" t="s">
        <v>74</v>
      </c>
      <c r="AI704" t="s">
        <v>74</v>
      </c>
      <c r="AJ704" t="s">
        <v>74</v>
      </c>
      <c r="AK704" t="s">
        <v>74</v>
      </c>
      <c r="AL704" t="s">
        <v>74</v>
      </c>
      <c r="AM704" t="s">
        <v>74</v>
      </c>
      <c r="AN704" t="s">
        <v>74</v>
      </c>
      <c r="AO704" t="s">
        <v>5219</v>
      </c>
      <c r="AP704" t="s">
        <v>5220</v>
      </c>
      <c r="AQ704" t="s">
        <v>74</v>
      </c>
      <c r="AR704" t="s">
        <v>74</v>
      </c>
      <c r="AS704" t="s">
        <v>74</v>
      </c>
      <c r="AT704" t="s">
        <v>624</v>
      </c>
      <c r="AU704">
        <v>2009</v>
      </c>
      <c r="AV704">
        <v>57</v>
      </c>
      <c r="AW704">
        <v>1</v>
      </c>
      <c r="AX704" t="s">
        <v>74</v>
      </c>
      <c r="AY704" t="s">
        <v>74</v>
      </c>
      <c r="AZ704" t="s">
        <v>74</v>
      </c>
      <c r="BA704" t="s">
        <v>74</v>
      </c>
      <c r="BB704">
        <v>68</v>
      </c>
      <c r="BC704">
        <v>76</v>
      </c>
      <c r="BD704" t="s">
        <v>74</v>
      </c>
      <c r="BE704" t="s">
        <v>5221</v>
      </c>
      <c r="BF704" t="str">
        <f>HYPERLINK("http://dx.doi.org/10.1007/s00244-008-9247-x","http://dx.doi.org/10.1007/s00244-008-9247-x")</f>
        <v>http://dx.doi.org/10.1007/s00244-008-9247-x</v>
      </c>
      <c r="BG704" t="s">
        <v>74</v>
      </c>
      <c r="BH704" t="s">
        <v>74</v>
      </c>
      <c r="BI704" t="s">
        <v>74</v>
      </c>
      <c r="BJ704" t="s">
        <v>74</v>
      </c>
      <c r="BK704" t="s">
        <v>74</v>
      </c>
      <c r="BL704" t="s">
        <v>74</v>
      </c>
      <c r="BM704" t="s">
        <v>74</v>
      </c>
      <c r="BN704">
        <v>18853083</v>
      </c>
      <c r="BO704" t="s">
        <v>74</v>
      </c>
      <c r="BP704" t="s">
        <v>74</v>
      </c>
      <c r="BQ704" t="s">
        <v>74</v>
      </c>
      <c r="BR704" t="s">
        <v>74</v>
      </c>
      <c r="BS704" t="s">
        <v>5222</v>
      </c>
      <c r="BT704" t="str">
        <f>HYPERLINK("https%3A%2F%2Fwww.webofscience.com%2Fwos%2Fwoscc%2Ffull-record%2FWOS:000266266200008","View Full Record in Web of Science")</f>
        <v>View Full Record in Web of Science</v>
      </c>
    </row>
    <row r="705" spans="1:72" x14ac:dyDescent="0.2">
      <c r="A705" t="s">
        <v>72</v>
      </c>
      <c r="B705" t="s">
        <v>5223</v>
      </c>
      <c r="C705" t="s">
        <v>74</v>
      </c>
      <c r="D705" t="s">
        <v>74</v>
      </c>
      <c r="E705" t="s">
        <v>74</v>
      </c>
      <c r="F705" t="s">
        <v>5224</v>
      </c>
      <c r="G705" t="s">
        <v>74</v>
      </c>
      <c r="H705" t="s">
        <v>74</v>
      </c>
      <c r="I705" t="s">
        <v>5225</v>
      </c>
      <c r="J705" t="s">
        <v>5226</v>
      </c>
      <c r="K705" t="s">
        <v>74</v>
      </c>
      <c r="L705" t="s">
        <v>74</v>
      </c>
      <c r="M705" t="s">
        <v>74</v>
      </c>
      <c r="N705" t="s">
        <v>74</v>
      </c>
      <c r="O705" t="s">
        <v>74</v>
      </c>
      <c r="P705" t="s">
        <v>74</v>
      </c>
      <c r="Q705" t="s">
        <v>74</v>
      </c>
      <c r="R705" t="s">
        <v>74</v>
      </c>
      <c r="S705" t="s">
        <v>74</v>
      </c>
      <c r="T705" t="s">
        <v>74</v>
      </c>
      <c r="U705" t="s">
        <v>74</v>
      </c>
      <c r="V705" t="s">
        <v>74</v>
      </c>
      <c r="W705" t="s">
        <v>74</v>
      </c>
      <c r="X705" t="s">
        <v>74</v>
      </c>
      <c r="Y705" t="s">
        <v>74</v>
      </c>
      <c r="Z705" t="s">
        <v>74</v>
      </c>
      <c r="AA705" t="s">
        <v>5227</v>
      </c>
      <c r="AB705" t="s">
        <v>5228</v>
      </c>
      <c r="AC705" t="s">
        <v>74</v>
      </c>
      <c r="AD705" t="s">
        <v>74</v>
      </c>
      <c r="AE705" t="s">
        <v>74</v>
      </c>
      <c r="AF705" t="s">
        <v>74</v>
      </c>
      <c r="AG705" t="s">
        <v>74</v>
      </c>
      <c r="AH705" t="s">
        <v>74</v>
      </c>
      <c r="AI705" t="s">
        <v>74</v>
      </c>
      <c r="AJ705" t="s">
        <v>74</v>
      </c>
      <c r="AK705" t="s">
        <v>74</v>
      </c>
      <c r="AL705" t="s">
        <v>74</v>
      </c>
      <c r="AM705" t="s">
        <v>74</v>
      </c>
      <c r="AN705" t="s">
        <v>74</v>
      </c>
      <c r="AO705" t="s">
        <v>5229</v>
      </c>
      <c r="AP705" t="s">
        <v>5230</v>
      </c>
      <c r="AQ705" t="s">
        <v>74</v>
      </c>
      <c r="AR705" t="s">
        <v>74</v>
      </c>
      <c r="AS705" t="s">
        <v>74</v>
      </c>
      <c r="AT705" t="s">
        <v>5231</v>
      </c>
      <c r="AU705">
        <v>2009</v>
      </c>
      <c r="AV705">
        <v>364</v>
      </c>
      <c r="AW705">
        <v>1523</v>
      </c>
      <c r="AX705" t="s">
        <v>74</v>
      </c>
      <c r="AY705" t="s">
        <v>74</v>
      </c>
      <c r="AZ705" t="s">
        <v>74</v>
      </c>
      <c r="BA705" t="s">
        <v>74</v>
      </c>
      <c r="BB705">
        <v>1579</v>
      </c>
      <c r="BC705">
        <v>1591</v>
      </c>
      <c r="BD705" t="s">
        <v>74</v>
      </c>
      <c r="BE705" t="s">
        <v>5232</v>
      </c>
      <c r="BF705" t="str">
        <f>HYPERLINK("http://dx.doi.org/10.1098/rstb.2009.0004","http://dx.doi.org/10.1098/rstb.2009.0004")</f>
        <v>http://dx.doi.org/10.1098/rstb.2009.0004</v>
      </c>
      <c r="BG705" t="s">
        <v>74</v>
      </c>
      <c r="BH705" t="s">
        <v>74</v>
      </c>
      <c r="BI705" t="s">
        <v>74</v>
      </c>
      <c r="BJ705" t="s">
        <v>74</v>
      </c>
      <c r="BK705" t="s">
        <v>74</v>
      </c>
      <c r="BL705" t="s">
        <v>74</v>
      </c>
      <c r="BM705" t="s">
        <v>74</v>
      </c>
      <c r="BN705">
        <v>19414472</v>
      </c>
      <c r="BO705" t="s">
        <v>74</v>
      </c>
      <c r="BP705" t="s">
        <v>74</v>
      </c>
      <c r="BQ705" t="s">
        <v>74</v>
      </c>
      <c r="BR705" t="s">
        <v>74</v>
      </c>
      <c r="BS705" t="s">
        <v>5233</v>
      </c>
      <c r="BT705" t="str">
        <f>HYPERLINK("https%3A%2F%2Fwww.webofscience.com%2Fwos%2Fwoscc%2Ffull-record%2FWOS:000265732200010","View Full Record in Web of Science")</f>
        <v>View Full Record in Web of Science</v>
      </c>
    </row>
    <row r="706" spans="1:72" x14ac:dyDescent="0.2">
      <c r="A706" t="s">
        <v>72</v>
      </c>
      <c r="B706" t="s">
        <v>5234</v>
      </c>
      <c r="C706" t="s">
        <v>74</v>
      </c>
      <c r="D706" t="s">
        <v>74</v>
      </c>
      <c r="E706" t="s">
        <v>74</v>
      </c>
      <c r="F706" t="s">
        <v>5235</v>
      </c>
      <c r="G706" t="s">
        <v>74</v>
      </c>
      <c r="H706" t="s">
        <v>74</v>
      </c>
      <c r="I706" t="s">
        <v>5236</v>
      </c>
      <c r="J706" t="s">
        <v>97</v>
      </c>
      <c r="K706" t="s">
        <v>74</v>
      </c>
      <c r="L706" t="s">
        <v>74</v>
      </c>
      <c r="M706" t="s">
        <v>74</v>
      </c>
      <c r="N706" t="s">
        <v>74</v>
      </c>
      <c r="O706" t="s">
        <v>74</v>
      </c>
      <c r="P706" t="s">
        <v>74</v>
      </c>
      <c r="Q706" t="s">
        <v>74</v>
      </c>
      <c r="R706" t="s">
        <v>74</v>
      </c>
      <c r="S706" t="s">
        <v>74</v>
      </c>
      <c r="T706" t="s">
        <v>74</v>
      </c>
      <c r="U706" t="s">
        <v>74</v>
      </c>
      <c r="V706" t="s">
        <v>74</v>
      </c>
      <c r="W706" t="s">
        <v>74</v>
      </c>
      <c r="X706" t="s">
        <v>74</v>
      </c>
      <c r="Y706" t="s">
        <v>74</v>
      </c>
      <c r="Z706" t="s">
        <v>74</v>
      </c>
      <c r="AA706" t="s">
        <v>5237</v>
      </c>
      <c r="AB706" t="s">
        <v>5238</v>
      </c>
      <c r="AC706" t="s">
        <v>74</v>
      </c>
      <c r="AD706" t="s">
        <v>74</v>
      </c>
      <c r="AE706" t="s">
        <v>74</v>
      </c>
      <c r="AF706" t="s">
        <v>74</v>
      </c>
      <c r="AG706" t="s">
        <v>74</v>
      </c>
      <c r="AH706" t="s">
        <v>74</v>
      </c>
      <c r="AI706" t="s">
        <v>74</v>
      </c>
      <c r="AJ706" t="s">
        <v>74</v>
      </c>
      <c r="AK706" t="s">
        <v>74</v>
      </c>
      <c r="AL706" t="s">
        <v>74</v>
      </c>
      <c r="AM706" t="s">
        <v>74</v>
      </c>
      <c r="AN706" t="s">
        <v>74</v>
      </c>
      <c r="AO706" t="s">
        <v>98</v>
      </c>
      <c r="AP706" t="s">
        <v>99</v>
      </c>
      <c r="AQ706" t="s">
        <v>74</v>
      </c>
      <c r="AR706" t="s">
        <v>74</v>
      </c>
      <c r="AS706" t="s">
        <v>74</v>
      </c>
      <c r="AT706" t="s">
        <v>569</v>
      </c>
      <c r="AU706">
        <v>2009</v>
      </c>
      <c r="AV706">
        <v>43</v>
      </c>
      <c r="AW706">
        <v>2</v>
      </c>
      <c r="AX706" t="s">
        <v>74</v>
      </c>
      <c r="AY706" t="s">
        <v>74</v>
      </c>
      <c r="AZ706" t="s">
        <v>74</v>
      </c>
      <c r="BA706" t="s">
        <v>74</v>
      </c>
      <c r="BB706">
        <v>423</v>
      </c>
      <c r="BC706">
        <v>435</v>
      </c>
      <c r="BD706" t="s">
        <v>74</v>
      </c>
      <c r="BE706" t="s">
        <v>5239</v>
      </c>
      <c r="BF706" t="str">
        <f>HYPERLINK("http://dx.doi.org/10.1007/s10452-008-9172-0","http://dx.doi.org/10.1007/s10452-008-9172-0")</f>
        <v>http://dx.doi.org/10.1007/s10452-008-9172-0</v>
      </c>
      <c r="BG706" t="s">
        <v>74</v>
      </c>
      <c r="BH706" t="s">
        <v>74</v>
      </c>
      <c r="BI706" t="s">
        <v>74</v>
      </c>
      <c r="BJ706" t="s">
        <v>74</v>
      </c>
      <c r="BK706" t="s">
        <v>74</v>
      </c>
      <c r="BL706" t="s">
        <v>74</v>
      </c>
      <c r="BM706" t="s">
        <v>74</v>
      </c>
      <c r="BN706" t="s">
        <v>74</v>
      </c>
      <c r="BO706" t="s">
        <v>74</v>
      </c>
      <c r="BP706" t="s">
        <v>74</v>
      </c>
      <c r="BQ706" t="s">
        <v>74</v>
      </c>
      <c r="BR706" t="s">
        <v>74</v>
      </c>
      <c r="BS706" t="s">
        <v>5240</v>
      </c>
      <c r="BT706" t="str">
        <f>HYPERLINK("https%3A%2F%2Fwww.webofscience.com%2Fwos%2Fwoscc%2Ffull-record%2FWOS:000265439800020","View Full Record in Web of Science")</f>
        <v>View Full Record in Web of Science</v>
      </c>
    </row>
    <row r="707" spans="1:72" x14ac:dyDescent="0.2">
      <c r="A707" t="s">
        <v>72</v>
      </c>
      <c r="B707" t="s">
        <v>5241</v>
      </c>
      <c r="C707" t="s">
        <v>74</v>
      </c>
      <c r="D707" t="s">
        <v>74</v>
      </c>
      <c r="E707" t="s">
        <v>74</v>
      </c>
      <c r="F707" t="s">
        <v>5242</v>
      </c>
      <c r="G707" t="s">
        <v>74</v>
      </c>
      <c r="H707" t="s">
        <v>74</v>
      </c>
      <c r="I707" t="s">
        <v>5243</v>
      </c>
      <c r="J707" t="s">
        <v>227</v>
      </c>
      <c r="K707" t="s">
        <v>74</v>
      </c>
      <c r="L707" t="s">
        <v>74</v>
      </c>
      <c r="M707" t="s">
        <v>74</v>
      </c>
      <c r="N707" t="s">
        <v>74</v>
      </c>
      <c r="O707" t="s">
        <v>74</v>
      </c>
      <c r="P707" t="s">
        <v>74</v>
      </c>
      <c r="Q707" t="s">
        <v>74</v>
      </c>
      <c r="R707" t="s">
        <v>74</v>
      </c>
      <c r="S707" t="s">
        <v>74</v>
      </c>
      <c r="T707" t="s">
        <v>74</v>
      </c>
      <c r="U707" t="s">
        <v>74</v>
      </c>
      <c r="V707" t="s">
        <v>74</v>
      </c>
      <c r="W707" t="s">
        <v>74</v>
      </c>
      <c r="X707" t="s">
        <v>74</v>
      </c>
      <c r="Y707" t="s">
        <v>74</v>
      </c>
      <c r="Z707" t="s">
        <v>74</v>
      </c>
      <c r="AA707" t="s">
        <v>5244</v>
      </c>
      <c r="AB707" t="s">
        <v>5245</v>
      </c>
      <c r="AC707" t="s">
        <v>74</v>
      </c>
      <c r="AD707" t="s">
        <v>74</v>
      </c>
      <c r="AE707" t="s">
        <v>74</v>
      </c>
      <c r="AF707" t="s">
        <v>74</v>
      </c>
      <c r="AG707" t="s">
        <v>74</v>
      </c>
      <c r="AH707" t="s">
        <v>74</v>
      </c>
      <c r="AI707" t="s">
        <v>74</v>
      </c>
      <c r="AJ707" t="s">
        <v>74</v>
      </c>
      <c r="AK707" t="s">
        <v>74</v>
      </c>
      <c r="AL707" t="s">
        <v>74</v>
      </c>
      <c r="AM707" t="s">
        <v>74</v>
      </c>
      <c r="AN707" t="s">
        <v>74</v>
      </c>
      <c r="AO707" t="s">
        <v>230</v>
      </c>
      <c r="AP707" t="s">
        <v>74</v>
      </c>
      <c r="AQ707" t="s">
        <v>74</v>
      </c>
      <c r="AR707" t="s">
        <v>74</v>
      </c>
      <c r="AS707" t="s">
        <v>74</v>
      </c>
      <c r="AT707" t="s">
        <v>575</v>
      </c>
      <c r="AU707">
        <v>2009</v>
      </c>
      <c r="AV707">
        <v>54</v>
      </c>
      <c r="AW707">
        <v>3</v>
      </c>
      <c r="AX707" t="s">
        <v>74</v>
      </c>
      <c r="AY707" t="s">
        <v>74</v>
      </c>
      <c r="AZ707" t="s">
        <v>74</v>
      </c>
      <c r="BA707" t="s">
        <v>74</v>
      </c>
      <c r="BB707">
        <v>925</v>
      </c>
      <c r="BC707">
        <v>929</v>
      </c>
      <c r="BD707" t="s">
        <v>74</v>
      </c>
      <c r="BE707" t="s">
        <v>5246</v>
      </c>
      <c r="BF707" t="str">
        <f>HYPERLINK("http://dx.doi.org/10.4319/lo.2009.54.3.0925","http://dx.doi.org/10.4319/lo.2009.54.3.0925")</f>
        <v>http://dx.doi.org/10.4319/lo.2009.54.3.0925</v>
      </c>
      <c r="BG707" t="s">
        <v>74</v>
      </c>
      <c r="BH707" t="s">
        <v>74</v>
      </c>
      <c r="BI707" t="s">
        <v>74</v>
      </c>
      <c r="BJ707" t="s">
        <v>74</v>
      </c>
      <c r="BK707" t="s">
        <v>74</v>
      </c>
      <c r="BL707" t="s">
        <v>74</v>
      </c>
      <c r="BM707" t="s">
        <v>74</v>
      </c>
      <c r="BN707" t="s">
        <v>74</v>
      </c>
      <c r="BO707" t="s">
        <v>74</v>
      </c>
      <c r="BP707" t="s">
        <v>74</v>
      </c>
      <c r="BQ707" t="s">
        <v>74</v>
      </c>
      <c r="BR707" t="s">
        <v>74</v>
      </c>
      <c r="BS707" t="s">
        <v>5247</v>
      </c>
      <c r="BT707" t="str">
        <f>HYPERLINK("https%3A%2F%2Fwww.webofscience.com%2Fwos%2Fwoscc%2Ffull-record%2FWOS:000268325000024","View Full Record in Web of Science")</f>
        <v>View Full Record in Web of Science</v>
      </c>
    </row>
    <row r="708" spans="1:72" x14ac:dyDescent="0.2">
      <c r="A708" t="s">
        <v>72</v>
      </c>
      <c r="B708" t="s">
        <v>5248</v>
      </c>
      <c r="C708" t="s">
        <v>74</v>
      </c>
      <c r="D708" t="s">
        <v>74</v>
      </c>
      <c r="E708" t="s">
        <v>74</v>
      </c>
      <c r="F708" t="s">
        <v>5249</v>
      </c>
      <c r="G708" t="s">
        <v>74</v>
      </c>
      <c r="H708" t="s">
        <v>74</v>
      </c>
      <c r="I708" t="s">
        <v>5250</v>
      </c>
      <c r="J708" t="s">
        <v>3604</v>
      </c>
      <c r="K708" t="s">
        <v>74</v>
      </c>
      <c r="L708" t="s">
        <v>74</v>
      </c>
      <c r="M708" t="s">
        <v>74</v>
      </c>
      <c r="N708" t="s">
        <v>74</v>
      </c>
      <c r="O708" t="s">
        <v>74</v>
      </c>
      <c r="P708" t="s">
        <v>74</v>
      </c>
      <c r="Q708" t="s">
        <v>74</v>
      </c>
      <c r="R708" t="s">
        <v>74</v>
      </c>
      <c r="S708" t="s">
        <v>74</v>
      </c>
      <c r="T708" t="s">
        <v>74</v>
      </c>
      <c r="U708" t="s">
        <v>74</v>
      </c>
      <c r="V708" t="s">
        <v>74</v>
      </c>
      <c r="W708" t="s">
        <v>74</v>
      </c>
      <c r="X708" t="s">
        <v>74</v>
      </c>
      <c r="Y708" t="s">
        <v>74</v>
      </c>
      <c r="Z708" t="s">
        <v>74</v>
      </c>
      <c r="AA708" t="s">
        <v>74</v>
      </c>
      <c r="AB708" t="s">
        <v>5251</v>
      </c>
      <c r="AC708" t="s">
        <v>74</v>
      </c>
      <c r="AD708" t="s">
        <v>74</v>
      </c>
      <c r="AE708" t="s">
        <v>74</v>
      </c>
      <c r="AF708" t="s">
        <v>74</v>
      </c>
      <c r="AG708" t="s">
        <v>74</v>
      </c>
      <c r="AH708" t="s">
        <v>74</v>
      </c>
      <c r="AI708" t="s">
        <v>74</v>
      </c>
      <c r="AJ708" t="s">
        <v>74</v>
      </c>
      <c r="AK708" t="s">
        <v>74</v>
      </c>
      <c r="AL708" t="s">
        <v>74</v>
      </c>
      <c r="AM708" t="s">
        <v>74</v>
      </c>
      <c r="AN708" t="s">
        <v>74</v>
      </c>
      <c r="AO708" t="s">
        <v>3605</v>
      </c>
      <c r="AP708" t="s">
        <v>3606</v>
      </c>
      <c r="AQ708" t="s">
        <v>74</v>
      </c>
      <c r="AR708" t="s">
        <v>74</v>
      </c>
      <c r="AS708" t="s">
        <v>74</v>
      </c>
      <c r="AT708" t="s">
        <v>157</v>
      </c>
      <c r="AU708">
        <v>2009</v>
      </c>
      <c r="AV708">
        <v>24</v>
      </c>
      <c r="AW708">
        <v>1</v>
      </c>
      <c r="AX708" t="s">
        <v>74</v>
      </c>
      <c r="AY708" t="s">
        <v>74</v>
      </c>
      <c r="AZ708" t="s">
        <v>74</v>
      </c>
      <c r="BA708" t="s">
        <v>74</v>
      </c>
      <c r="BB708">
        <v>159</v>
      </c>
      <c r="BC708">
        <v>167</v>
      </c>
      <c r="BD708" t="s">
        <v>74</v>
      </c>
      <c r="BE708" t="s">
        <v>5252</v>
      </c>
      <c r="BF708" t="str">
        <f>HYPERLINK("http://dx.doi.org/10.1080/02705060.2009.9664276","http://dx.doi.org/10.1080/02705060.2009.9664276")</f>
        <v>http://dx.doi.org/10.1080/02705060.2009.9664276</v>
      </c>
      <c r="BG708" t="s">
        <v>74</v>
      </c>
      <c r="BH708" t="s">
        <v>74</v>
      </c>
      <c r="BI708" t="s">
        <v>74</v>
      </c>
      <c r="BJ708" t="s">
        <v>74</v>
      </c>
      <c r="BK708" t="s">
        <v>74</v>
      </c>
      <c r="BL708" t="s">
        <v>74</v>
      </c>
      <c r="BM708" t="s">
        <v>74</v>
      </c>
      <c r="BN708" t="s">
        <v>74</v>
      </c>
      <c r="BO708" t="s">
        <v>74</v>
      </c>
      <c r="BP708" t="s">
        <v>74</v>
      </c>
      <c r="BQ708" t="s">
        <v>74</v>
      </c>
      <c r="BR708" t="s">
        <v>74</v>
      </c>
      <c r="BS708" t="s">
        <v>5253</v>
      </c>
      <c r="BT708" t="str">
        <f>HYPERLINK("https%3A%2F%2Fwww.webofscience.com%2Fwos%2Fwoscc%2Ffull-record%2FWOS:000263434300018","View Full Record in Web of Science")</f>
        <v>View Full Record in Web of Science</v>
      </c>
    </row>
    <row r="709" spans="1:72" x14ac:dyDescent="0.2">
      <c r="A709" t="s">
        <v>72</v>
      </c>
      <c r="B709" t="s">
        <v>5254</v>
      </c>
      <c r="C709" t="s">
        <v>74</v>
      </c>
      <c r="D709" t="s">
        <v>74</v>
      </c>
      <c r="E709" t="s">
        <v>74</v>
      </c>
      <c r="F709" t="s">
        <v>5255</v>
      </c>
      <c r="G709" t="s">
        <v>74</v>
      </c>
      <c r="H709" t="s">
        <v>74</v>
      </c>
      <c r="I709" t="s">
        <v>5256</v>
      </c>
      <c r="J709" t="s">
        <v>1760</v>
      </c>
      <c r="K709" t="s">
        <v>74</v>
      </c>
      <c r="L709" t="s">
        <v>74</v>
      </c>
      <c r="M709" t="s">
        <v>74</v>
      </c>
      <c r="N709" t="s">
        <v>74</v>
      </c>
      <c r="O709" t="s">
        <v>74</v>
      </c>
      <c r="P709" t="s">
        <v>74</v>
      </c>
      <c r="Q709" t="s">
        <v>74</v>
      </c>
      <c r="R709" t="s">
        <v>74</v>
      </c>
      <c r="S709" t="s">
        <v>74</v>
      </c>
      <c r="T709" t="s">
        <v>74</v>
      </c>
      <c r="U709" t="s">
        <v>74</v>
      </c>
      <c r="V709" t="s">
        <v>74</v>
      </c>
      <c r="W709" t="s">
        <v>74</v>
      </c>
      <c r="X709" t="s">
        <v>74</v>
      </c>
      <c r="Y709" t="s">
        <v>74</v>
      </c>
      <c r="Z709" t="s">
        <v>74</v>
      </c>
      <c r="AA709" t="s">
        <v>5257</v>
      </c>
      <c r="AB709" t="s">
        <v>5258</v>
      </c>
      <c r="AC709" t="s">
        <v>74</v>
      </c>
      <c r="AD709" t="s">
        <v>74</v>
      </c>
      <c r="AE709" t="s">
        <v>74</v>
      </c>
      <c r="AF709" t="s">
        <v>74</v>
      </c>
      <c r="AG709" t="s">
        <v>74</v>
      </c>
      <c r="AH709" t="s">
        <v>74</v>
      </c>
      <c r="AI709" t="s">
        <v>74</v>
      </c>
      <c r="AJ709" t="s">
        <v>74</v>
      </c>
      <c r="AK709" t="s">
        <v>74</v>
      </c>
      <c r="AL709" t="s">
        <v>74</v>
      </c>
      <c r="AM709" t="s">
        <v>74</v>
      </c>
      <c r="AN709" t="s">
        <v>74</v>
      </c>
      <c r="AO709" t="s">
        <v>1762</v>
      </c>
      <c r="AP709" t="s">
        <v>1763</v>
      </c>
      <c r="AQ709" t="s">
        <v>74</v>
      </c>
      <c r="AR709" t="s">
        <v>74</v>
      </c>
      <c r="AS709" t="s">
        <v>74</v>
      </c>
      <c r="AT709" t="s">
        <v>416</v>
      </c>
      <c r="AU709">
        <v>2009</v>
      </c>
      <c r="AV709">
        <v>32</v>
      </c>
      <c r="AW709">
        <v>2</v>
      </c>
      <c r="AX709" t="s">
        <v>74</v>
      </c>
      <c r="AY709" t="s">
        <v>74</v>
      </c>
      <c r="AZ709" t="s">
        <v>74</v>
      </c>
      <c r="BA709" t="s">
        <v>74</v>
      </c>
      <c r="BB709">
        <v>147</v>
      </c>
      <c r="BC709">
        <v>159</v>
      </c>
      <c r="BD709" t="s">
        <v>74</v>
      </c>
      <c r="BE709" t="s">
        <v>5259</v>
      </c>
      <c r="BF709" t="str">
        <f>HYPERLINK("http://dx.doi.org/10.1007/s00300-008-0514-0","http://dx.doi.org/10.1007/s00300-008-0514-0")</f>
        <v>http://dx.doi.org/10.1007/s00300-008-0514-0</v>
      </c>
      <c r="BG709" t="s">
        <v>74</v>
      </c>
      <c r="BH709" t="s">
        <v>74</v>
      </c>
      <c r="BI709" t="s">
        <v>74</v>
      </c>
      <c r="BJ709" t="s">
        <v>74</v>
      </c>
      <c r="BK709" t="s">
        <v>74</v>
      </c>
      <c r="BL709" t="s">
        <v>74</v>
      </c>
      <c r="BM709" t="s">
        <v>74</v>
      </c>
      <c r="BN709" t="s">
        <v>74</v>
      </c>
      <c r="BO709" t="s">
        <v>74</v>
      </c>
      <c r="BP709" t="s">
        <v>74</v>
      </c>
      <c r="BQ709" t="s">
        <v>74</v>
      </c>
      <c r="BR709" t="s">
        <v>74</v>
      </c>
      <c r="BS709" t="s">
        <v>5260</v>
      </c>
      <c r="BT709" t="str">
        <f>HYPERLINK("https%3A%2F%2Fwww.webofscience.com%2Fwos%2Fwoscc%2Ffull-record%2FWOS:000262439300002","View Full Record in Web of Science")</f>
        <v>View Full Record in Web of Science</v>
      </c>
    </row>
    <row r="710" spans="1:72" x14ac:dyDescent="0.2">
      <c r="A710" t="s">
        <v>72</v>
      </c>
      <c r="B710" t="s">
        <v>5261</v>
      </c>
      <c r="C710" t="s">
        <v>74</v>
      </c>
      <c r="D710" t="s">
        <v>74</v>
      </c>
      <c r="E710" t="s">
        <v>74</v>
      </c>
      <c r="F710" t="s">
        <v>5262</v>
      </c>
      <c r="G710" t="s">
        <v>74</v>
      </c>
      <c r="H710" t="s">
        <v>74</v>
      </c>
      <c r="I710" t="s">
        <v>5263</v>
      </c>
      <c r="J710" t="s">
        <v>1523</v>
      </c>
      <c r="K710" t="s">
        <v>74</v>
      </c>
      <c r="L710" t="s">
        <v>74</v>
      </c>
      <c r="M710" t="s">
        <v>74</v>
      </c>
      <c r="N710" t="s">
        <v>74</v>
      </c>
      <c r="O710" t="s">
        <v>74</v>
      </c>
      <c r="P710" t="s">
        <v>74</v>
      </c>
      <c r="Q710" t="s">
        <v>74</v>
      </c>
      <c r="R710" t="s">
        <v>74</v>
      </c>
      <c r="S710" t="s">
        <v>74</v>
      </c>
      <c r="T710" t="s">
        <v>74</v>
      </c>
      <c r="U710" t="s">
        <v>74</v>
      </c>
      <c r="V710" t="s">
        <v>74</v>
      </c>
      <c r="W710" t="s">
        <v>74</v>
      </c>
      <c r="X710" t="s">
        <v>74</v>
      </c>
      <c r="Y710" t="s">
        <v>74</v>
      </c>
      <c r="Z710" t="s">
        <v>74</v>
      </c>
      <c r="AA710" t="s">
        <v>4817</v>
      </c>
      <c r="AB710" t="s">
        <v>4818</v>
      </c>
      <c r="AC710" t="s">
        <v>74</v>
      </c>
      <c r="AD710" t="s">
        <v>74</v>
      </c>
      <c r="AE710" t="s">
        <v>74</v>
      </c>
      <c r="AF710" t="s">
        <v>74</v>
      </c>
      <c r="AG710" t="s">
        <v>74</v>
      </c>
      <c r="AH710" t="s">
        <v>74</v>
      </c>
      <c r="AI710" t="s">
        <v>74</v>
      </c>
      <c r="AJ710" t="s">
        <v>74</v>
      </c>
      <c r="AK710" t="s">
        <v>74</v>
      </c>
      <c r="AL710" t="s">
        <v>74</v>
      </c>
      <c r="AM710" t="s">
        <v>74</v>
      </c>
      <c r="AN710" t="s">
        <v>74</v>
      </c>
      <c r="AO710" t="s">
        <v>1524</v>
      </c>
      <c r="AP710" t="s">
        <v>74</v>
      </c>
      <c r="AQ710" t="s">
        <v>74</v>
      </c>
      <c r="AR710" t="s">
        <v>74</v>
      </c>
      <c r="AS710" t="s">
        <v>74</v>
      </c>
      <c r="AT710" t="s">
        <v>416</v>
      </c>
      <c r="AU710">
        <v>2009</v>
      </c>
      <c r="AV710">
        <v>90</v>
      </c>
      <c r="AW710">
        <v>2</v>
      </c>
      <c r="AX710" t="s">
        <v>74</v>
      </c>
      <c r="AY710" t="s">
        <v>74</v>
      </c>
      <c r="AZ710" t="s">
        <v>74</v>
      </c>
      <c r="BA710" t="s">
        <v>74</v>
      </c>
      <c r="BB710">
        <v>300</v>
      </c>
      <c r="BC710">
        <v>305</v>
      </c>
      <c r="BD710" t="s">
        <v>74</v>
      </c>
      <c r="BE710" t="s">
        <v>5264</v>
      </c>
      <c r="BF710" t="str">
        <f>HYPERLINK("http://dx.doi.org/10.1890/08-1673.1","http://dx.doi.org/10.1890/08-1673.1")</f>
        <v>http://dx.doi.org/10.1890/08-1673.1</v>
      </c>
      <c r="BG710" t="s">
        <v>74</v>
      </c>
      <c r="BH710" t="s">
        <v>74</v>
      </c>
      <c r="BI710" t="s">
        <v>74</v>
      </c>
      <c r="BJ710" t="s">
        <v>74</v>
      </c>
      <c r="BK710" t="s">
        <v>74</v>
      </c>
      <c r="BL710" t="s">
        <v>74</v>
      </c>
      <c r="BM710" t="s">
        <v>74</v>
      </c>
      <c r="BN710">
        <v>19323211</v>
      </c>
      <c r="BO710" t="s">
        <v>74</v>
      </c>
      <c r="BP710" t="s">
        <v>74</v>
      </c>
      <c r="BQ710" t="s">
        <v>74</v>
      </c>
      <c r="BR710" t="s">
        <v>74</v>
      </c>
      <c r="BS710" t="s">
        <v>5265</v>
      </c>
      <c r="BT710" t="str">
        <f>HYPERLINK("https%3A%2F%2Fwww.webofscience.com%2Fwos%2Fwoscc%2Ffull-record%2FWOS:000263570800002","View Full Record in Web of Science")</f>
        <v>View Full Record in Web of Science</v>
      </c>
    </row>
    <row r="711" spans="1:72" x14ac:dyDescent="0.2">
      <c r="A711" t="s">
        <v>72</v>
      </c>
      <c r="B711" t="s">
        <v>5266</v>
      </c>
      <c r="C711" t="s">
        <v>74</v>
      </c>
      <c r="D711" t="s">
        <v>74</v>
      </c>
      <c r="E711" t="s">
        <v>74</v>
      </c>
      <c r="F711" t="s">
        <v>5267</v>
      </c>
      <c r="G711" t="s">
        <v>74</v>
      </c>
      <c r="H711" t="s">
        <v>74</v>
      </c>
      <c r="I711" t="s">
        <v>5268</v>
      </c>
      <c r="J711" t="s">
        <v>1299</v>
      </c>
      <c r="K711" t="s">
        <v>74</v>
      </c>
      <c r="L711" t="s">
        <v>74</v>
      </c>
      <c r="M711" t="s">
        <v>74</v>
      </c>
      <c r="N711" t="s">
        <v>74</v>
      </c>
      <c r="O711" t="s">
        <v>74</v>
      </c>
      <c r="P711" t="s">
        <v>74</v>
      </c>
      <c r="Q711" t="s">
        <v>74</v>
      </c>
      <c r="R711" t="s">
        <v>74</v>
      </c>
      <c r="S711" t="s">
        <v>74</v>
      </c>
      <c r="T711" t="s">
        <v>74</v>
      </c>
      <c r="U711" t="s">
        <v>74</v>
      </c>
      <c r="V711" t="s">
        <v>74</v>
      </c>
      <c r="W711" t="s">
        <v>74</v>
      </c>
      <c r="X711" t="s">
        <v>74</v>
      </c>
      <c r="Y711" t="s">
        <v>74</v>
      </c>
      <c r="Z711" t="s">
        <v>74</v>
      </c>
      <c r="AA711" t="s">
        <v>5747</v>
      </c>
      <c r="AB711" t="s">
        <v>7152</v>
      </c>
      <c r="AC711" t="s">
        <v>74</v>
      </c>
      <c r="AD711" t="s">
        <v>74</v>
      </c>
      <c r="AE711" t="s">
        <v>74</v>
      </c>
      <c r="AF711" t="s">
        <v>74</v>
      </c>
      <c r="AG711" t="s">
        <v>74</v>
      </c>
      <c r="AH711" t="s">
        <v>74</v>
      </c>
      <c r="AI711" t="s">
        <v>74</v>
      </c>
      <c r="AJ711" t="s">
        <v>74</v>
      </c>
      <c r="AK711" t="s">
        <v>74</v>
      </c>
      <c r="AL711" t="s">
        <v>74</v>
      </c>
      <c r="AM711" t="s">
        <v>74</v>
      </c>
      <c r="AN711" t="s">
        <v>74</v>
      </c>
      <c r="AO711" t="s">
        <v>1302</v>
      </c>
      <c r="AP711" t="s">
        <v>1303</v>
      </c>
      <c r="AQ711" t="s">
        <v>74</v>
      </c>
      <c r="AR711" t="s">
        <v>74</v>
      </c>
      <c r="AS711" t="s">
        <v>74</v>
      </c>
      <c r="AT711" t="s">
        <v>416</v>
      </c>
      <c r="AU711">
        <v>2009</v>
      </c>
      <c r="AV711">
        <v>159</v>
      </c>
      <c r="AW711">
        <v>1</v>
      </c>
      <c r="AX711" t="s">
        <v>74</v>
      </c>
      <c r="AY711" t="s">
        <v>74</v>
      </c>
      <c r="AZ711" t="s">
        <v>74</v>
      </c>
      <c r="BA711" t="s">
        <v>74</v>
      </c>
      <c r="BB711">
        <v>151</v>
      </c>
      <c r="BC711">
        <v>159</v>
      </c>
      <c r="BD711" t="s">
        <v>74</v>
      </c>
      <c r="BE711" t="s">
        <v>5269</v>
      </c>
      <c r="BF711" t="str">
        <f>HYPERLINK("http://dx.doi.org/10.1007/s00442-008-1174-z","http://dx.doi.org/10.1007/s00442-008-1174-z")</f>
        <v>http://dx.doi.org/10.1007/s00442-008-1174-z</v>
      </c>
      <c r="BG711" t="s">
        <v>74</v>
      </c>
      <c r="BH711" t="s">
        <v>74</v>
      </c>
      <c r="BI711" t="s">
        <v>74</v>
      </c>
      <c r="BJ711" t="s">
        <v>74</v>
      </c>
      <c r="BK711" t="s">
        <v>74</v>
      </c>
      <c r="BL711" t="s">
        <v>74</v>
      </c>
      <c r="BM711" t="s">
        <v>74</v>
      </c>
      <c r="BN711">
        <v>18941791</v>
      </c>
      <c r="BO711" t="s">
        <v>74</v>
      </c>
      <c r="BP711" t="s">
        <v>74</v>
      </c>
      <c r="BQ711" t="s">
        <v>74</v>
      </c>
      <c r="BR711" t="s">
        <v>74</v>
      </c>
      <c r="BS711" t="s">
        <v>5270</v>
      </c>
      <c r="BT711" t="str">
        <f>HYPERLINK("https%3A%2F%2Fwww.webofscience.com%2Fwos%2Fwoscc%2Ffull-record%2FWOS:000262576700014","View Full Record in Web of Science")</f>
        <v>View Full Record in Web of Science</v>
      </c>
    </row>
    <row r="712" spans="1:72" x14ac:dyDescent="0.2">
      <c r="A712" t="s">
        <v>2716</v>
      </c>
      <c r="B712" t="s">
        <v>5271</v>
      </c>
      <c r="C712" t="s">
        <v>74</v>
      </c>
      <c r="D712" t="s">
        <v>5272</v>
      </c>
      <c r="E712" t="s">
        <v>74</v>
      </c>
      <c r="F712" t="s">
        <v>5273</v>
      </c>
      <c r="G712" t="s">
        <v>74</v>
      </c>
      <c r="H712" t="s">
        <v>74</v>
      </c>
      <c r="I712" t="s">
        <v>5274</v>
      </c>
      <c r="J712" t="s">
        <v>5275</v>
      </c>
      <c r="K712" t="s">
        <v>74</v>
      </c>
      <c r="L712" t="s">
        <v>74</v>
      </c>
      <c r="M712" t="s">
        <v>74</v>
      </c>
      <c r="N712" t="s">
        <v>74</v>
      </c>
      <c r="O712" t="s">
        <v>74</v>
      </c>
      <c r="P712" t="s">
        <v>74</v>
      </c>
      <c r="Q712" t="s">
        <v>74</v>
      </c>
      <c r="R712" t="s">
        <v>74</v>
      </c>
      <c r="S712" t="s">
        <v>74</v>
      </c>
      <c r="T712" t="s">
        <v>74</v>
      </c>
      <c r="U712" t="s">
        <v>74</v>
      </c>
      <c r="V712" t="s">
        <v>74</v>
      </c>
      <c r="W712" t="s">
        <v>74</v>
      </c>
      <c r="X712" t="s">
        <v>74</v>
      </c>
      <c r="Y712" t="s">
        <v>74</v>
      </c>
      <c r="Z712" t="s">
        <v>74</v>
      </c>
      <c r="AA712" t="s">
        <v>5276</v>
      </c>
      <c r="AB712" t="s">
        <v>5277</v>
      </c>
      <c r="AC712" t="s">
        <v>74</v>
      </c>
      <c r="AD712" t="s">
        <v>74</v>
      </c>
      <c r="AE712" t="s">
        <v>74</v>
      </c>
      <c r="AF712" t="s">
        <v>74</v>
      </c>
      <c r="AG712" t="s">
        <v>74</v>
      </c>
      <c r="AH712" t="s">
        <v>74</v>
      </c>
      <c r="AI712" t="s">
        <v>74</v>
      </c>
      <c r="AJ712" t="s">
        <v>74</v>
      </c>
      <c r="AK712" t="s">
        <v>74</v>
      </c>
      <c r="AL712" t="s">
        <v>74</v>
      </c>
      <c r="AM712" t="s">
        <v>74</v>
      </c>
      <c r="AN712" t="s">
        <v>74</v>
      </c>
      <c r="AO712" t="s">
        <v>74</v>
      </c>
      <c r="AP712" t="s">
        <v>74</v>
      </c>
      <c r="AQ712" t="s">
        <v>5278</v>
      </c>
      <c r="AR712" t="s">
        <v>74</v>
      </c>
      <c r="AS712" t="s">
        <v>74</v>
      </c>
      <c r="AT712" t="s">
        <v>74</v>
      </c>
      <c r="AU712">
        <v>2009</v>
      </c>
      <c r="AV712" t="s">
        <v>74</v>
      </c>
      <c r="AW712" t="s">
        <v>74</v>
      </c>
      <c r="AX712" t="s">
        <v>74</v>
      </c>
      <c r="AY712" t="s">
        <v>74</v>
      </c>
      <c r="AZ712" t="s">
        <v>74</v>
      </c>
      <c r="BA712" t="s">
        <v>74</v>
      </c>
      <c r="BB712">
        <v>147</v>
      </c>
      <c r="BC712">
        <v>178</v>
      </c>
      <c r="BD712" t="s">
        <v>74</v>
      </c>
      <c r="BE712" t="s">
        <v>5279</v>
      </c>
      <c r="BF712" t="str">
        <f>HYPERLINK("http://dx.doi.org/10.1007/978-0-387-89366-2_7","http://dx.doi.org/10.1007/978-0-387-89366-2_7")</f>
        <v>http://dx.doi.org/10.1007/978-0-387-89366-2_7</v>
      </c>
      <c r="BG712" t="s">
        <v>5280</v>
      </c>
      <c r="BH712" t="s">
        <v>74</v>
      </c>
      <c r="BI712" t="s">
        <v>74</v>
      </c>
      <c r="BJ712" t="s">
        <v>74</v>
      </c>
      <c r="BK712" t="s">
        <v>74</v>
      </c>
      <c r="BL712" t="s">
        <v>74</v>
      </c>
      <c r="BM712" t="s">
        <v>74</v>
      </c>
      <c r="BN712" t="s">
        <v>74</v>
      </c>
      <c r="BO712" t="s">
        <v>74</v>
      </c>
      <c r="BP712" t="s">
        <v>74</v>
      </c>
      <c r="BQ712" t="s">
        <v>74</v>
      </c>
      <c r="BR712" t="s">
        <v>74</v>
      </c>
      <c r="BS712" t="s">
        <v>5281</v>
      </c>
      <c r="BT712" t="str">
        <f>HYPERLINK("https%3A%2F%2Fwww.webofscience.com%2Fwos%2Fwoscc%2Ffull-record%2FWOS:000268354200008","View Full Record in Web of Science")</f>
        <v>View Full Record in Web of Science</v>
      </c>
    </row>
    <row r="713" spans="1:72" x14ac:dyDescent="0.2">
      <c r="A713" t="s">
        <v>72</v>
      </c>
      <c r="B713" t="s">
        <v>5282</v>
      </c>
      <c r="C713" t="s">
        <v>74</v>
      </c>
      <c r="D713" t="s">
        <v>74</v>
      </c>
      <c r="E713" t="s">
        <v>74</v>
      </c>
      <c r="F713" t="s">
        <v>5283</v>
      </c>
      <c r="G713" t="s">
        <v>74</v>
      </c>
      <c r="H713" t="s">
        <v>74</v>
      </c>
      <c r="I713" t="s">
        <v>5284</v>
      </c>
      <c r="J713" t="s">
        <v>3075</v>
      </c>
      <c r="K713" t="s">
        <v>74</v>
      </c>
      <c r="L713" t="s">
        <v>74</v>
      </c>
      <c r="M713" t="s">
        <v>74</v>
      </c>
      <c r="N713" t="s">
        <v>74</v>
      </c>
      <c r="O713" t="s">
        <v>5285</v>
      </c>
      <c r="P713" t="s">
        <v>5286</v>
      </c>
      <c r="Q713" t="s">
        <v>5287</v>
      </c>
      <c r="R713" t="s">
        <v>74</v>
      </c>
      <c r="S713" t="s">
        <v>74</v>
      </c>
      <c r="T713" t="s">
        <v>74</v>
      </c>
      <c r="U713" t="s">
        <v>74</v>
      </c>
      <c r="V713" t="s">
        <v>74</v>
      </c>
      <c r="W713" t="s">
        <v>74</v>
      </c>
      <c r="X713" t="s">
        <v>74</v>
      </c>
      <c r="Y713" t="s">
        <v>74</v>
      </c>
      <c r="Z713" t="s">
        <v>74</v>
      </c>
      <c r="AA713" t="s">
        <v>74</v>
      </c>
      <c r="AB713" t="s">
        <v>5288</v>
      </c>
      <c r="AC713" t="s">
        <v>74</v>
      </c>
      <c r="AD713" t="s">
        <v>74</v>
      </c>
      <c r="AE713" t="s">
        <v>74</v>
      </c>
      <c r="AF713" t="s">
        <v>74</v>
      </c>
      <c r="AG713" t="s">
        <v>74</v>
      </c>
      <c r="AH713" t="s">
        <v>74</v>
      </c>
      <c r="AI713" t="s">
        <v>74</v>
      </c>
      <c r="AJ713" t="s">
        <v>74</v>
      </c>
      <c r="AK713" t="s">
        <v>74</v>
      </c>
      <c r="AL713" t="s">
        <v>74</v>
      </c>
      <c r="AM713" t="s">
        <v>74</v>
      </c>
      <c r="AN713" t="s">
        <v>74</v>
      </c>
      <c r="AO713" t="s">
        <v>3078</v>
      </c>
      <c r="AP713" t="s">
        <v>3079</v>
      </c>
      <c r="AQ713" t="s">
        <v>74</v>
      </c>
      <c r="AR713" t="s">
        <v>74</v>
      </c>
      <c r="AS713" t="s">
        <v>74</v>
      </c>
      <c r="AT713" t="s">
        <v>315</v>
      </c>
      <c r="AU713">
        <v>2009</v>
      </c>
      <c r="AV713">
        <v>61</v>
      </c>
      <c r="AW713" t="s">
        <v>5289</v>
      </c>
      <c r="AX713" t="s">
        <v>74</v>
      </c>
      <c r="AY713" t="s">
        <v>74</v>
      </c>
      <c r="AZ713" t="s">
        <v>74</v>
      </c>
      <c r="BA713" t="s">
        <v>74</v>
      </c>
      <c r="BB713">
        <v>50</v>
      </c>
      <c r="BC713">
        <v>59</v>
      </c>
      <c r="BD713" t="s">
        <v>74</v>
      </c>
      <c r="BE713" t="s">
        <v>5290</v>
      </c>
      <c r="BF713" t="str">
        <f>HYPERLINK("http://dx.doi.org/10.1016/j.seares.2008.10.007","http://dx.doi.org/10.1016/j.seares.2008.10.007")</f>
        <v>http://dx.doi.org/10.1016/j.seares.2008.10.007</v>
      </c>
      <c r="BG713" t="s">
        <v>74</v>
      </c>
      <c r="BH713" t="s">
        <v>74</v>
      </c>
      <c r="BI713" t="s">
        <v>74</v>
      </c>
      <c r="BJ713" t="s">
        <v>74</v>
      </c>
      <c r="BK713" t="s">
        <v>74</v>
      </c>
      <c r="BL713" t="s">
        <v>74</v>
      </c>
      <c r="BM713" t="s">
        <v>74</v>
      </c>
      <c r="BN713" t="s">
        <v>74</v>
      </c>
      <c r="BO713" t="s">
        <v>74</v>
      </c>
      <c r="BP713" t="s">
        <v>74</v>
      </c>
      <c r="BQ713" t="s">
        <v>74</v>
      </c>
      <c r="BR713" t="s">
        <v>74</v>
      </c>
      <c r="BS713" t="s">
        <v>5291</v>
      </c>
      <c r="BT713" t="str">
        <f>HYPERLINK("https%3A%2F%2Fwww.webofscience.com%2Fwos%2Fwoscc%2Ffull-record%2FWOS:000263197000007","View Full Record in Web of Science")</f>
        <v>View Full Record in Web of Science</v>
      </c>
    </row>
    <row r="714" spans="1:72" x14ac:dyDescent="0.2">
      <c r="A714" t="s">
        <v>72</v>
      </c>
      <c r="B714" t="s">
        <v>5292</v>
      </c>
      <c r="C714" t="s">
        <v>74</v>
      </c>
      <c r="D714" t="s">
        <v>74</v>
      </c>
      <c r="E714" t="s">
        <v>74</v>
      </c>
      <c r="F714" t="s">
        <v>5293</v>
      </c>
      <c r="G714" t="s">
        <v>74</v>
      </c>
      <c r="H714" t="s">
        <v>74</v>
      </c>
      <c r="I714" t="s">
        <v>5294</v>
      </c>
      <c r="J714" t="s">
        <v>5295</v>
      </c>
      <c r="K714" t="s">
        <v>74</v>
      </c>
      <c r="L714" t="s">
        <v>74</v>
      </c>
      <c r="M714" t="s">
        <v>74</v>
      </c>
      <c r="N714" t="s">
        <v>74</v>
      </c>
      <c r="O714" t="s">
        <v>74</v>
      </c>
      <c r="P714" t="s">
        <v>74</v>
      </c>
      <c r="Q714" t="s">
        <v>74</v>
      </c>
      <c r="R714" t="s">
        <v>74</v>
      </c>
      <c r="S714" t="s">
        <v>74</v>
      </c>
      <c r="T714" t="s">
        <v>74</v>
      </c>
      <c r="U714" t="s">
        <v>74</v>
      </c>
      <c r="V714" t="s">
        <v>74</v>
      </c>
      <c r="W714" t="s">
        <v>74</v>
      </c>
      <c r="X714" t="s">
        <v>74</v>
      </c>
      <c r="Y714" t="s">
        <v>74</v>
      </c>
      <c r="Z714" t="s">
        <v>74</v>
      </c>
      <c r="AA714" t="s">
        <v>5296</v>
      </c>
      <c r="AB714" t="s">
        <v>5297</v>
      </c>
      <c r="AC714" t="s">
        <v>74</v>
      </c>
      <c r="AD714" t="s">
        <v>74</v>
      </c>
      <c r="AE714" t="s">
        <v>74</v>
      </c>
      <c r="AF714" t="s">
        <v>74</v>
      </c>
      <c r="AG714" t="s">
        <v>74</v>
      </c>
      <c r="AH714" t="s">
        <v>74</v>
      </c>
      <c r="AI714" t="s">
        <v>74</v>
      </c>
      <c r="AJ714" t="s">
        <v>74</v>
      </c>
      <c r="AK714" t="s">
        <v>74</v>
      </c>
      <c r="AL714" t="s">
        <v>74</v>
      </c>
      <c r="AM714" t="s">
        <v>74</v>
      </c>
      <c r="AN714" t="s">
        <v>74</v>
      </c>
      <c r="AO714" t="s">
        <v>5298</v>
      </c>
      <c r="AP714" t="s">
        <v>5299</v>
      </c>
      <c r="AQ714" t="s">
        <v>74</v>
      </c>
      <c r="AR714" t="s">
        <v>74</v>
      </c>
      <c r="AS714" t="s">
        <v>74</v>
      </c>
      <c r="AT714" t="s">
        <v>74</v>
      </c>
      <c r="AU714">
        <v>2009</v>
      </c>
      <c r="AV714">
        <v>8</v>
      </c>
      <c r="AW714">
        <v>9</v>
      </c>
      <c r="AX714" t="s">
        <v>74</v>
      </c>
      <c r="AY714" t="s">
        <v>74</v>
      </c>
      <c r="AZ714" t="s">
        <v>74</v>
      </c>
      <c r="BA714" t="s">
        <v>74</v>
      </c>
      <c r="BB714">
        <v>1218</v>
      </c>
      <c r="BC714">
        <v>1232</v>
      </c>
      <c r="BD714" t="s">
        <v>74</v>
      </c>
      <c r="BE714" t="s">
        <v>5300</v>
      </c>
      <c r="BF714" t="str">
        <f>HYPERLINK("http://dx.doi.org/10.1039/b902604e","http://dx.doi.org/10.1039/b902604e")</f>
        <v>http://dx.doi.org/10.1039/b902604e</v>
      </c>
      <c r="BG714" t="s">
        <v>74</v>
      </c>
      <c r="BH714" t="s">
        <v>74</v>
      </c>
      <c r="BI714" t="s">
        <v>74</v>
      </c>
      <c r="BJ714" t="s">
        <v>74</v>
      </c>
      <c r="BK714" t="s">
        <v>74</v>
      </c>
      <c r="BL714" t="s">
        <v>74</v>
      </c>
      <c r="BM714" t="s">
        <v>74</v>
      </c>
      <c r="BN714">
        <v>19707611</v>
      </c>
      <c r="BO714" t="s">
        <v>74</v>
      </c>
      <c r="BP714" t="s">
        <v>74</v>
      </c>
      <c r="BQ714" t="s">
        <v>74</v>
      </c>
      <c r="BR714" t="s">
        <v>74</v>
      </c>
      <c r="BS714" t="s">
        <v>5301</v>
      </c>
      <c r="BT714" t="str">
        <f>HYPERLINK("https%3A%2F%2Fwww.webofscience.com%2Fwos%2Fwoscc%2Ffull-record%2FWOS:000269327900002","View Full Record in Web of Science")</f>
        <v>View Full Record in Web of Science</v>
      </c>
    </row>
    <row r="715" spans="1:72" x14ac:dyDescent="0.2">
      <c r="A715" t="s">
        <v>72</v>
      </c>
      <c r="B715" t="s">
        <v>5302</v>
      </c>
      <c r="C715" t="s">
        <v>74</v>
      </c>
      <c r="D715" t="s">
        <v>74</v>
      </c>
      <c r="E715" t="s">
        <v>74</v>
      </c>
      <c r="F715" t="s">
        <v>5303</v>
      </c>
      <c r="G715" t="s">
        <v>74</v>
      </c>
      <c r="H715" t="s">
        <v>74</v>
      </c>
      <c r="I715" t="s">
        <v>5304</v>
      </c>
      <c r="J715" t="s">
        <v>4926</v>
      </c>
      <c r="K715" t="s">
        <v>74</v>
      </c>
      <c r="L715" t="s">
        <v>74</v>
      </c>
      <c r="M715" t="s">
        <v>74</v>
      </c>
      <c r="N715" t="s">
        <v>74</v>
      </c>
      <c r="O715" t="s">
        <v>74</v>
      </c>
      <c r="P715" t="s">
        <v>74</v>
      </c>
      <c r="Q715" t="s">
        <v>74</v>
      </c>
      <c r="R715" t="s">
        <v>74</v>
      </c>
      <c r="S715" t="s">
        <v>74</v>
      </c>
      <c r="T715" t="s">
        <v>74</v>
      </c>
      <c r="U715" t="s">
        <v>74</v>
      </c>
      <c r="V715" t="s">
        <v>74</v>
      </c>
      <c r="W715" t="s">
        <v>74</v>
      </c>
      <c r="X715" t="s">
        <v>74</v>
      </c>
      <c r="Y715" t="s">
        <v>74</v>
      </c>
      <c r="Z715" t="s">
        <v>74</v>
      </c>
      <c r="AA715" t="s">
        <v>5305</v>
      </c>
      <c r="AB715" t="s">
        <v>5306</v>
      </c>
      <c r="AC715" t="s">
        <v>74</v>
      </c>
      <c r="AD715" t="s">
        <v>74</v>
      </c>
      <c r="AE715" t="s">
        <v>74</v>
      </c>
      <c r="AF715" t="s">
        <v>74</v>
      </c>
      <c r="AG715" t="s">
        <v>74</v>
      </c>
      <c r="AH715" t="s">
        <v>74</v>
      </c>
      <c r="AI715" t="s">
        <v>74</v>
      </c>
      <c r="AJ715" t="s">
        <v>74</v>
      </c>
      <c r="AK715" t="s">
        <v>74</v>
      </c>
      <c r="AL715" t="s">
        <v>74</v>
      </c>
      <c r="AM715" t="s">
        <v>74</v>
      </c>
      <c r="AN715" t="s">
        <v>74</v>
      </c>
      <c r="AO715" t="s">
        <v>4928</v>
      </c>
      <c r="AP715" t="s">
        <v>74</v>
      </c>
      <c r="AQ715" t="s">
        <v>74</v>
      </c>
      <c r="AR715" t="s">
        <v>74</v>
      </c>
      <c r="AS715" t="s">
        <v>74</v>
      </c>
      <c r="AT715" t="s">
        <v>3834</v>
      </c>
      <c r="AU715">
        <v>2009</v>
      </c>
      <c r="AV715">
        <v>52</v>
      </c>
      <c r="AW715">
        <v>1</v>
      </c>
      <c r="AX715" t="s">
        <v>74</v>
      </c>
      <c r="AY715" t="s">
        <v>74</v>
      </c>
      <c r="AZ715" t="s">
        <v>74</v>
      </c>
      <c r="BA715" t="s">
        <v>74</v>
      </c>
      <c r="BB715">
        <v>135</v>
      </c>
      <c r="BC715">
        <v>144</v>
      </c>
      <c r="BD715" t="s">
        <v>74</v>
      </c>
      <c r="BE715" t="s">
        <v>5307</v>
      </c>
      <c r="BF715" t="str">
        <f>HYPERLINK("http://dx.doi.org/10.1590/S1516-89132009000100018","http://dx.doi.org/10.1590/S1516-89132009000100018")</f>
        <v>http://dx.doi.org/10.1590/S1516-89132009000100018</v>
      </c>
      <c r="BG715" t="s">
        <v>74</v>
      </c>
      <c r="BH715" t="s">
        <v>74</v>
      </c>
      <c r="BI715" t="s">
        <v>74</v>
      </c>
      <c r="BJ715" t="s">
        <v>74</v>
      </c>
      <c r="BK715" t="s">
        <v>74</v>
      </c>
      <c r="BL715" t="s">
        <v>74</v>
      </c>
      <c r="BM715" t="s">
        <v>74</v>
      </c>
      <c r="BN715" t="s">
        <v>74</v>
      </c>
      <c r="BO715" t="s">
        <v>74</v>
      </c>
      <c r="BP715" t="s">
        <v>74</v>
      </c>
      <c r="BQ715" t="s">
        <v>74</v>
      </c>
      <c r="BR715" t="s">
        <v>74</v>
      </c>
      <c r="BS715" t="s">
        <v>5308</v>
      </c>
      <c r="BT715" t="str">
        <f>HYPERLINK("https%3A%2F%2Fwww.webofscience.com%2Fwos%2Fwoscc%2Ffull-record%2FWOS:000264779400017","View Full Record in Web of Science")</f>
        <v>View Full Record in Web of Science</v>
      </c>
    </row>
    <row r="716" spans="1:72" x14ac:dyDescent="0.2">
      <c r="A716" t="s">
        <v>2388</v>
      </c>
      <c r="B716" t="s">
        <v>5309</v>
      </c>
      <c r="C716" t="s">
        <v>74</v>
      </c>
      <c r="D716" t="s">
        <v>5310</v>
      </c>
      <c r="E716" t="s">
        <v>74</v>
      </c>
      <c r="F716" t="s">
        <v>5311</v>
      </c>
      <c r="G716" t="s">
        <v>74</v>
      </c>
      <c r="H716" t="s">
        <v>74</v>
      </c>
      <c r="I716" t="s">
        <v>5312</v>
      </c>
      <c r="J716" t="s">
        <v>5313</v>
      </c>
      <c r="K716" t="s">
        <v>5314</v>
      </c>
      <c r="L716" t="s">
        <v>74</v>
      </c>
      <c r="M716" t="s">
        <v>74</v>
      </c>
      <c r="N716" t="s">
        <v>74</v>
      </c>
      <c r="O716" t="s">
        <v>5315</v>
      </c>
      <c r="P716" t="s">
        <v>5316</v>
      </c>
      <c r="Q716" t="s">
        <v>5317</v>
      </c>
      <c r="R716" t="s">
        <v>5318</v>
      </c>
      <c r="S716" t="s">
        <v>74</v>
      </c>
      <c r="T716" t="s">
        <v>74</v>
      </c>
      <c r="U716" t="s">
        <v>74</v>
      </c>
      <c r="V716" t="s">
        <v>74</v>
      </c>
      <c r="W716" t="s">
        <v>74</v>
      </c>
      <c r="X716" t="s">
        <v>74</v>
      </c>
      <c r="Y716" t="s">
        <v>74</v>
      </c>
      <c r="Z716" t="s">
        <v>74</v>
      </c>
      <c r="AA716" t="s">
        <v>74</v>
      </c>
      <c r="AB716" t="s">
        <v>74</v>
      </c>
      <c r="AC716" t="s">
        <v>74</v>
      </c>
      <c r="AD716" t="s">
        <v>74</v>
      </c>
      <c r="AE716" t="s">
        <v>74</v>
      </c>
      <c r="AF716" t="s">
        <v>74</v>
      </c>
      <c r="AG716" t="s">
        <v>74</v>
      </c>
      <c r="AH716" t="s">
        <v>74</v>
      </c>
      <c r="AI716" t="s">
        <v>74</v>
      </c>
      <c r="AJ716" t="s">
        <v>74</v>
      </c>
      <c r="AK716" t="s">
        <v>74</v>
      </c>
      <c r="AL716" t="s">
        <v>74</v>
      </c>
      <c r="AM716" t="s">
        <v>74</v>
      </c>
      <c r="AN716" t="s">
        <v>74</v>
      </c>
      <c r="AO716" t="s">
        <v>5319</v>
      </c>
      <c r="AP716" t="s">
        <v>74</v>
      </c>
      <c r="AQ716" t="s">
        <v>5320</v>
      </c>
      <c r="AR716" t="s">
        <v>74</v>
      </c>
      <c r="AS716" t="s">
        <v>74</v>
      </c>
      <c r="AT716" t="s">
        <v>74</v>
      </c>
      <c r="AU716">
        <v>2009</v>
      </c>
      <c r="AV716">
        <v>69</v>
      </c>
      <c r="AW716" t="s">
        <v>74</v>
      </c>
      <c r="AX716" t="s">
        <v>74</v>
      </c>
      <c r="AY716" t="s">
        <v>74</v>
      </c>
      <c r="AZ716" t="s">
        <v>74</v>
      </c>
      <c r="BA716" t="s">
        <v>74</v>
      </c>
      <c r="BB716">
        <v>793</v>
      </c>
      <c r="BC716">
        <v>811</v>
      </c>
      <c r="BD716" t="s">
        <v>74</v>
      </c>
      <c r="BE716" t="s">
        <v>74</v>
      </c>
      <c r="BF716" t="s">
        <v>74</v>
      </c>
      <c r="BG716" t="s">
        <v>74</v>
      </c>
      <c r="BH716" t="s">
        <v>74</v>
      </c>
      <c r="BI716" t="s">
        <v>74</v>
      </c>
      <c r="BJ716" t="s">
        <v>74</v>
      </c>
      <c r="BK716" t="s">
        <v>74</v>
      </c>
      <c r="BL716" t="s">
        <v>74</v>
      </c>
      <c r="BM716" t="s">
        <v>74</v>
      </c>
      <c r="BN716" t="s">
        <v>74</v>
      </c>
      <c r="BO716" t="s">
        <v>74</v>
      </c>
      <c r="BP716" t="s">
        <v>74</v>
      </c>
      <c r="BQ716" t="s">
        <v>74</v>
      </c>
      <c r="BR716" t="s">
        <v>74</v>
      </c>
      <c r="BS716" t="s">
        <v>5321</v>
      </c>
      <c r="BT716" t="str">
        <f>HYPERLINK("https%3A%2F%2Fwww.webofscience.com%2Fwos%2Fwoscc%2Ffull-record%2FWOS:000270598800050","View Full Record in Web of Science")</f>
        <v>View Full Record in Web of Science</v>
      </c>
    </row>
    <row r="717" spans="1:72" x14ac:dyDescent="0.2">
      <c r="A717" t="s">
        <v>72</v>
      </c>
      <c r="B717" t="s">
        <v>5322</v>
      </c>
      <c r="C717" t="s">
        <v>74</v>
      </c>
      <c r="D717" t="s">
        <v>74</v>
      </c>
      <c r="E717" t="s">
        <v>74</v>
      </c>
      <c r="F717" t="s">
        <v>5323</v>
      </c>
      <c r="G717" t="s">
        <v>74</v>
      </c>
      <c r="H717" t="s">
        <v>74</v>
      </c>
      <c r="I717" t="s">
        <v>5324</v>
      </c>
      <c r="J717" t="s">
        <v>5325</v>
      </c>
      <c r="K717" t="s">
        <v>74</v>
      </c>
      <c r="L717" t="s">
        <v>74</v>
      </c>
      <c r="M717" t="s">
        <v>74</v>
      </c>
      <c r="N717" t="s">
        <v>74</v>
      </c>
      <c r="O717" t="s">
        <v>74</v>
      </c>
      <c r="P717" t="s">
        <v>74</v>
      </c>
      <c r="Q717" t="s">
        <v>74</v>
      </c>
      <c r="R717" t="s">
        <v>74</v>
      </c>
      <c r="S717" t="s">
        <v>74</v>
      </c>
      <c r="T717" t="s">
        <v>74</v>
      </c>
      <c r="U717" t="s">
        <v>74</v>
      </c>
      <c r="V717" t="s">
        <v>74</v>
      </c>
      <c r="W717" t="s">
        <v>74</v>
      </c>
      <c r="X717" t="s">
        <v>74</v>
      </c>
      <c r="Y717" t="s">
        <v>74</v>
      </c>
      <c r="Z717" t="s">
        <v>74</v>
      </c>
      <c r="AA717" t="s">
        <v>7153</v>
      </c>
      <c r="AB717" t="s">
        <v>7154</v>
      </c>
      <c r="AC717" t="s">
        <v>74</v>
      </c>
      <c r="AD717" t="s">
        <v>74</v>
      </c>
      <c r="AE717" t="s">
        <v>74</v>
      </c>
      <c r="AF717" t="s">
        <v>74</v>
      </c>
      <c r="AG717" t="s">
        <v>74</v>
      </c>
      <c r="AH717" t="s">
        <v>74</v>
      </c>
      <c r="AI717" t="s">
        <v>74</v>
      </c>
      <c r="AJ717" t="s">
        <v>74</v>
      </c>
      <c r="AK717" t="s">
        <v>74</v>
      </c>
      <c r="AL717" t="s">
        <v>74</v>
      </c>
      <c r="AM717" t="s">
        <v>74</v>
      </c>
      <c r="AN717" t="s">
        <v>74</v>
      </c>
      <c r="AO717" t="s">
        <v>5326</v>
      </c>
      <c r="AP717" t="s">
        <v>5327</v>
      </c>
      <c r="AQ717" t="s">
        <v>74</v>
      </c>
      <c r="AR717" t="s">
        <v>74</v>
      </c>
      <c r="AS717" t="s">
        <v>74</v>
      </c>
      <c r="AT717" t="s">
        <v>74</v>
      </c>
      <c r="AU717">
        <v>2009</v>
      </c>
      <c r="AV717">
        <v>15</v>
      </c>
      <c r="AW717">
        <v>6</v>
      </c>
      <c r="AX717" t="s">
        <v>74</v>
      </c>
      <c r="AY717" t="s">
        <v>74</v>
      </c>
      <c r="AZ717" t="s">
        <v>74</v>
      </c>
      <c r="BA717" t="s">
        <v>74</v>
      </c>
      <c r="BB717">
        <v>1335</v>
      </c>
      <c r="BC717">
        <v>1345</v>
      </c>
      <c r="BD717" t="s">
        <v>74</v>
      </c>
      <c r="BE717" t="s">
        <v>5328</v>
      </c>
      <c r="BF717" t="str">
        <f>HYPERLINK("http://dx.doi.org/10.1080/10807030903307115","http://dx.doi.org/10.1080/10807030903307115")</f>
        <v>http://dx.doi.org/10.1080/10807030903307115</v>
      </c>
      <c r="BG717" t="s">
        <v>74</v>
      </c>
      <c r="BH717" t="s">
        <v>74</v>
      </c>
      <c r="BI717" t="s">
        <v>74</v>
      </c>
      <c r="BJ717" t="s">
        <v>74</v>
      </c>
      <c r="BK717" t="s">
        <v>74</v>
      </c>
      <c r="BL717" t="s">
        <v>74</v>
      </c>
      <c r="BM717" t="s">
        <v>74</v>
      </c>
      <c r="BN717" t="s">
        <v>74</v>
      </c>
      <c r="BO717" t="s">
        <v>74</v>
      </c>
      <c r="BP717" t="s">
        <v>74</v>
      </c>
      <c r="BQ717" t="s">
        <v>74</v>
      </c>
      <c r="BR717" t="s">
        <v>74</v>
      </c>
      <c r="BS717" t="s">
        <v>5329</v>
      </c>
      <c r="BT717" t="str">
        <f>HYPERLINK("https%3A%2F%2Fwww.webofscience.com%2Fwos%2Fwoscc%2Ffull-record%2FWOS:000273022500015","View Full Record in Web of Science")</f>
        <v>View Full Record in Web of Science</v>
      </c>
    </row>
    <row r="718" spans="1:72" x14ac:dyDescent="0.2">
      <c r="A718" t="s">
        <v>72</v>
      </c>
      <c r="B718" t="s">
        <v>5330</v>
      </c>
      <c r="C718" t="s">
        <v>74</v>
      </c>
      <c r="D718" t="s">
        <v>74</v>
      </c>
      <c r="E718" t="s">
        <v>74</v>
      </c>
      <c r="F718" t="s">
        <v>5331</v>
      </c>
      <c r="G718" t="s">
        <v>74</v>
      </c>
      <c r="H718" t="s">
        <v>74</v>
      </c>
      <c r="I718" t="s">
        <v>5332</v>
      </c>
      <c r="J718" t="s">
        <v>310</v>
      </c>
      <c r="K718" t="s">
        <v>74</v>
      </c>
      <c r="L718" t="s">
        <v>74</v>
      </c>
      <c r="M718" t="s">
        <v>74</v>
      </c>
      <c r="N718" t="s">
        <v>74</v>
      </c>
      <c r="O718" t="s">
        <v>74</v>
      </c>
      <c r="P718" t="s">
        <v>74</v>
      </c>
      <c r="Q718" t="s">
        <v>74</v>
      </c>
      <c r="R718" t="s">
        <v>74</v>
      </c>
      <c r="S718" t="s">
        <v>74</v>
      </c>
      <c r="T718" t="s">
        <v>74</v>
      </c>
      <c r="U718" t="s">
        <v>74</v>
      </c>
      <c r="V718" t="s">
        <v>74</v>
      </c>
      <c r="W718" t="s">
        <v>74</v>
      </c>
      <c r="X718" t="s">
        <v>74</v>
      </c>
      <c r="Y718" t="s">
        <v>74</v>
      </c>
      <c r="Z718" t="s">
        <v>74</v>
      </c>
      <c r="AA718" t="s">
        <v>5333</v>
      </c>
      <c r="AB718" t="s">
        <v>5334</v>
      </c>
      <c r="AC718" t="s">
        <v>74</v>
      </c>
      <c r="AD718" t="s">
        <v>74</v>
      </c>
      <c r="AE718" t="s">
        <v>74</v>
      </c>
      <c r="AF718" t="s">
        <v>74</v>
      </c>
      <c r="AG718" t="s">
        <v>74</v>
      </c>
      <c r="AH718" t="s">
        <v>74</v>
      </c>
      <c r="AI718" t="s">
        <v>74</v>
      </c>
      <c r="AJ718" t="s">
        <v>74</v>
      </c>
      <c r="AK718" t="s">
        <v>74</v>
      </c>
      <c r="AL718" t="s">
        <v>74</v>
      </c>
      <c r="AM718" t="s">
        <v>74</v>
      </c>
      <c r="AN718" t="s">
        <v>74</v>
      </c>
      <c r="AO718" t="s">
        <v>313</v>
      </c>
      <c r="AP718" t="s">
        <v>314</v>
      </c>
      <c r="AQ718" t="s">
        <v>74</v>
      </c>
      <c r="AR718" t="s">
        <v>74</v>
      </c>
      <c r="AS718" t="s">
        <v>74</v>
      </c>
      <c r="AT718" t="s">
        <v>82</v>
      </c>
      <c r="AU718">
        <v>2008</v>
      </c>
      <c r="AV718">
        <v>14</v>
      </c>
      <c r="AW718">
        <v>12</v>
      </c>
      <c r="AX718" t="s">
        <v>74</v>
      </c>
      <c r="AY718" t="s">
        <v>74</v>
      </c>
      <c r="AZ718" t="s">
        <v>74</v>
      </c>
      <c r="BA718" t="s">
        <v>74</v>
      </c>
      <c r="BB718">
        <v>2823</v>
      </c>
      <c r="BC718">
        <v>2838</v>
      </c>
      <c r="BD718" t="s">
        <v>74</v>
      </c>
      <c r="BE718" t="s">
        <v>5335</v>
      </c>
      <c r="BF718" t="str">
        <f>HYPERLINK("http://dx.doi.org/10.1111/j.1365-2486.2008.01700.x","http://dx.doi.org/10.1111/j.1365-2486.2008.01700.x")</f>
        <v>http://dx.doi.org/10.1111/j.1365-2486.2008.01700.x</v>
      </c>
      <c r="BG718" t="s">
        <v>74</v>
      </c>
      <c r="BH718" t="s">
        <v>74</v>
      </c>
      <c r="BI718" t="s">
        <v>74</v>
      </c>
      <c r="BJ718" t="s">
        <v>74</v>
      </c>
      <c r="BK718" t="s">
        <v>74</v>
      </c>
      <c r="BL718" t="s">
        <v>74</v>
      </c>
      <c r="BM718" t="s">
        <v>74</v>
      </c>
      <c r="BN718" t="s">
        <v>74</v>
      </c>
      <c r="BO718" t="s">
        <v>74</v>
      </c>
      <c r="BP718" t="s">
        <v>74</v>
      </c>
      <c r="BQ718" t="s">
        <v>74</v>
      </c>
      <c r="BR718" t="s">
        <v>74</v>
      </c>
      <c r="BS718" t="s">
        <v>5336</v>
      </c>
      <c r="BT718" t="str">
        <f>HYPERLINK("https%3A%2F%2Fwww.webofscience.com%2Fwos%2Fwoscc%2Ffull-record%2FWOS:000261061000004","View Full Record in Web of Science")</f>
        <v>View Full Record in Web of Science</v>
      </c>
    </row>
    <row r="719" spans="1:72" x14ac:dyDescent="0.2">
      <c r="A719" t="s">
        <v>72</v>
      </c>
      <c r="B719" t="s">
        <v>5337</v>
      </c>
      <c r="C719" t="s">
        <v>74</v>
      </c>
      <c r="D719" t="s">
        <v>74</v>
      </c>
      <c r="E719" t="s">
        <v>74</v>
      </c>
      <c r="F719" t="s">
        <v>5338</v>
      </c>
      <c r="G719" t="s">
        <v>74</v>
      </c>
      <c r="H719" t="s">
        <v>74</v>
      </c>
      <c r="I719" t="s">
        <v>5339</v>
      </c>
      <c r="J719" t="s">
        <v>106</v>
      </c>
      <c r="K719" t="s">
        <v>74</v>
      </c>
      <c r="L719" t="s">
        <v>74</v>
      </c>
      <c r="M719" t="s">
        <v>74</v>
      </c>
      <c r="N719" t="s">
        <v>74</v>
      </c>
      <c r="O719" t="s">
        <v>74</v>
      </c>
      <c r="P719" t="s">
        <v>74</v>
      </c>
      <c r="Q719" t="s">
        <v>74</v>
      </c>
      <c r="R719" t="s">
        <v>74</v>
      </c>
      <c r="S719" t="s">
        <v>74</v>
      </c>
      <c r="T719" t="s">
        <v>74</v>
      </c>
      <c r="U719" t="s">
        <v>74</v>
      </c>
      <c r="V719" t="s">
        <v>74</v>
      </c>
      <c r="W719" t="s">
        <v>74</v>
      </c>
      <c r="X719" t="s">
        <v>74</v>
      </c>
      <c r="Y719" t="s">
        <v>74</v>
      </c>
      <c r="Z719" t="s">
        <v>74</v>
      </c>
      <c r="AA719" t="s">
        <v>74</v>
      </c>
      <c r="AB719" t="s">
        <v>74</v>
      </c>
      <c r="AC719" t="s">
        <v>74</v>
      </c>
      <c r="AD719" t="s">
        <v>74</v>
      </c>
      <c r="AE719" t="s">
        <v>74</v>
      </c>
      <c r="AF719" t="s">
        <v>74</v>
      </c>
      <c r="AG719" t="s">
        <v>74</v>
      </c>
      <c r="AH719" t="s">
        <v>74</v>
      </c>
      <c r="AI719" t="s">
        <v>74</v>
      </c>
      <c r="AJ719" t="s">
        <v>74</v>
      </c>
      <c r="AK719" t="s">
        <v>74</v>
      </c>
      <c r="AL719" t="s">
        <v>74</v>
      </c>
      <c r="AM719" t="s">
        <v>74</v>
      </c>
      <c r="AN719" t="s">
        <v>74</v>
      </c>
      <c r="AO719" t="s">
        <v>107</v>
      </c>
      <c r="AP719" t="s">
        <v>74</v>
      </c>
      <c r="AQ719" t="s">
        <v>74</v>
      </c>
      <c r="AR719" t="s">
        <v>74</v>
      </c>
      <c r="AS719" t="s">
        <v>74</v>
      </c>
      <c r="AT719" t="s">
        <v>82</v>
      </c>
      <c r="AU719">
        <v>2008</v>
      </c>
      <c r="AV719">
        <v>30</v>
      </c>
      <c r="AW719">
        <v>12</v>
      </c>
      <c r="AX719" t="s">
        <v>74</v>
      </c>
      <c r="AY719" t="s">
        <v>74</v>
      </c>
      <c r="AZ719" t="s">
        <v>74</v>
      </c>
      <c r="BA719" t="s">
        <v>74</v>
      </c>
      <c r="BB719">
        <v>1323</v>
      </c>
      <c r="BC719">
        <v>1327</v>
      </c>
      <c r="BD719" t="s">
        <v>74</v>
      </c>
      <c r="BE719" t="s">
        <v>5340</v>
      </c>
      <c r="BF719" t="str">
        <f>HYPERLINK("http://dx.doi.org/10.1093/plankt/fbn093","http://dx.doi.org/10.1093/plankt/fbn093")</f>
        <v>http://dx.doi.org/10.1093/plankt/fbn093</v>
      </c>
      <c r="BG719" t="s">
        <v>74</v>
      </c>
      <c r="BH719" t="s">
        <v>74</v>
      </c>
      <c r="BI719" t="s">
        <v>74</v>
      </c>
      <c r="BJ719" t="s">
        <v>74</v>
      </c>
      <c r="BK719" t="s">
        <v>74</v>
      </c>
      <c r="BL719" t="s">
        <v>74</v>
      </c>
      <c r="BM719" t="s">
        <v>74</v>
      </c>
      <c r="BN719" t="s">
        <v>74</v>
      </c>
      <c r="BO719" t="s">
        <v>74</v>
      </c>
      <c r="BP719" t="s">
        <v>74</v>
      </c>
      <c r="BQ719" t="s">
        <v>74</v>
      </c>
      <c r="BR719" t="s">
        <v>74</v>
      </c>
      <c r="BS719" t="s">
        <v>5341</v>
      </c>
      <c r="BT719" t="str">
        <f>HYPERLINK("https%3A%2F%2Fwww.webofscience.com%2Fwos%2Fwoscc%2Ffull-record%2FWOS:000261170400001","View Full Record in Web of Science")</f>
        <v>View Full Record in Web of Science</v>
      </c>
    </row>
    <row r="720" spans="1:72" x14ac:dyDescent="0.2">
      <c r="A720" t="s">
        <v>72</v>
      </c>
      <c r="B720" t="s">
        <v>5342</v>
      </c>
      <c r="C720" t="s">
        <v>74</v>
      </c>
      <c r="D720" t="s">
        <v>74</v>
      </c>
      <c r="E720" t="s">
        <v>74</v>
      </c>
      <c r="F720" t="s">
        <v>5343</v>
      </c>
      <c r="G720" t="s">
        <v>74</v>
      </c>
      <c r="H720" t="s">
        <v>74</v>
      </c>
      <c r="I720" t="s">
        <v>5344</v>
      </c>
      <c r="J720" t="s">
        <v>836</v>
      </c>
      <c r="K720" t="s">
        <v>74</v>
      </c>
      <c r="L720" t="s">
        <v>74</v>
      </c>
      <c r="M720" t="s">
        <v>74</v>
      </c>
      <c r="N720" t="s">
        <v>74</v>
      </c>
      <c r="O720" t="s">
        <v>74</v>
      </c>
      <c r="P720" t="s">
        <v>74</v>
      </c>
      <c r="Q720" t="s">
        <v>74</v>
      </c>
      <c r="R720" t="s">
        <v>74</v>
      </c>
      <c r="S720" t="s">
        <v>74</v>
      </c>
      <c r="T720" t="s">
        <v>74</v>
      </c>
      <c r="U720" t="s">
        <v>74</v>
      </c>
      <c r="V720" t="s">
        <v>74</v>
      </c>
      <c r="W720" t="s">
        <v>74</v>
      </c>
      <c r="X720" t="s">
        <v>74</v>
      </c>
      <c r="Y720" t="s">
        <v>74</v>
      </c>
      <c r="Z720" t="s">
        <v>74</v>
      </c>
      <c r="AA720" t="s">
        <v>7155</v>
      </c>
      <c r="AB720" t="s">
        <v>7156</v>
      </c>
      <c r="AC720" t="s">
        <v>74</v>
      </c>
      <c r="AD720" t="s">
        <v>74</v>
      </c>
      <c r="AE720" t="s">
        <v>74</v>
      </c>
      <c r="AF720" t="s">
        <v>74</v>
      </c>
      <c r="AG720" t="s">
        <v>74</v>
      </c>
      <c r="AH720" t="s">
        <v>74</v>
      </c>
      <c r="AI720" t="s">
        <v>74</v>
      </c>
      <c r="AJ720" t="s">
        <v>74</v>
      </c>
      <c r="AK720" t="s">
        <v>74</v>
      </c>
      <c r="AL720" t="s">
        <v>74</v>
      </c>
      <c r="AM720" t="s">
        <v>74</v>
      </c>
      <c r="AN720" t="s">
        <v>74</v>
      </c>
      <c r="AO720" t="s">
        <v>837</v>
      </c>
      <c r="AP720" t="s">
        <v>838</v>
      </c>
      <c r="AQ720" t="s">
        <v>74</v>
      </c>
      <c r="AR720" t="s">
        <v>74</v>
      </c>
      <c r="AS720" t="s">
        <v>74</v>
      </c>
      <c r="AT720" t="s">
        <v>82</v>
      </c>
      <c r="AU720">
        <v>2008</v>
      </c>
      <c r="AV720">
        <v>8</v>
      </c>
      <c r="AW720">
        <v>1</v>
      </c>
      <c r="AX720" t="s">
        <v>74</v>
      </c>
      <c r="AY720" t="s">
        <v>74</v>
      </c>
      <c r="AZ720" t="s">
        <v>632</v>
      </c>
      <c r="BA720" t="s">
        <v>74</v>
      </c>
      <c r="BB720">
        <v>158</v>
      </c>
      <c r="BC720">
        <v>166</v>
      </c>
      <c r="BD720" t="s">
        <v>74</v>
      </c>
      <c r="BE720" t="s">
        <v>5345</v>
      </c>
      <c r="BF720" t="str">
        <f>HYPERLINK("http://dx.doi.org/10.1016/j.hal.2008.08.021","http://dx.doi.org/10.1016/j.hal.2008.08.021")</f>
        <v>http://dx.doi.org/10.1016/j.hal.2008.08.021</v>
      </c>
      <c r="BG720" t="s">
        <v>74</v>
      </c>
      <c r="BH720" t="s">
        <v>74</v>
      </c>
      <c r="BI720" t="s">
        <v>74</v>
      </c>
      <c r="BJ720" t="s">
        <v>74</v>
      </c>
      <c r="BK720" t="s">
        <v>74</v>
      </c>
      <c r="BL720" t="s">
        <v>74</v>
      </c>
      <c r="BM720" t="s">
        <v>74</v>
      </c>
      <c r="BN720" t="s">
        <v>74</v>
      </c>
      <c r="BO720" t="s">
        <v>74</v>
      </c>
      <c r="BP720" t="s">
        <v>74</v>
      </c>
      <c r="BQ720" t="s">
        <v>74</v>
      </c>
      <c r="BR720" t="s">
        <v>74</v>
      </c>
      <c r="BS720" t="s">
        <v>5346</v>
      </c>
      <c r="BT720" t="str">
        <f>HYPERLINK("https%3A%2F%2Fwww.webofscience.com%2Fwos%2Fwoscc%2Ffull-record%2FWOS:000261762400019","View Full Record in Web of Science")</f>
        <v>View Full Record in Web of Science</v>
      </c>
    </row>
    <row r="721" spans="1:72" x14ac:dyDescent="0.2">
      <c r="A721" t="s">
        <v>72</v>
      </c>
      <c r="B721" t="s">
        <v>5347</v>
      </c>
      <c r="C721" t="s">
        <v>74</v>
      </c>
      <c r="D721" t="s">
        <v>74</v>
      </c>
      <c r="E721" t="s">
        <v>74</v>
      </c>
      <c r="F721" t="s">
        <v>5348</v>
      </c>
      <c r="G721" t="s">
        <v>74</v>
      </c>
      <c r="H721" t="s">
        <v>74</v>
      </c>
      <c r="I721" t="s">
        <v>5349</v>
      </c>
      <c r="J721" t="s">
        <v>124</v>
      </c>
      <c r="K721" t="s">
        <v>74</v>
      </c>
      <c r="L721" t="s">
        <v>74</v>
      </c>
      <c r="M721" t="s">
        <v>74</v>
      </c>
      <c r="N721" t="s">
        <v>74</v>
      </c>
      <c r="O721" t="s">
        <v>5350</v>
      </c>
      <c r="P721" t="s">
        <v>5351</v>
      </c>
      <c r="Q721" t="s">
        <v>5352</v>
      </c>
      <c r="R721" t="s">
        <v>5353</v>
      </c>
      <c r="S721" t="s">
        <v>74</v>
      </c>
      <c r="T721" t="s">
        <v>74</v>
      </c>
      <c r="U721" t="s">
        <v>74</v>
      </c>
      <c r="V721" t="s">
        <v>74</v>
      </c>
      <c r="W721" t="s">
        <v>74</v>
      </c>
      <c r="X721" t="s">
        <v>74</v>
      </c>
      <c r="Y721" t="s">
        <v>74</v>
      </c>
      <c r="Z721" t="s">
        <v>74</v>
      </c>
      <c r="AA721" t="s">
        <v>7157</v>
      </c>
      <c r="AB721" t="s">
        <v>5354</v>
      </c>
      <c r="AC721" t="s">
        <v>74</v>
      </c>
      <c r="AD721" t="s">
        <v>74</v>
      </c>
      <c r="AE721" t="s">
        <v>74</v>
      </c>
      <c r="AF721" t="s">
        <v>74</v>
      </c>
      <c r="AG721" t="s">
        <v>74</v>
      </c>
      <c r="AH721" t="s">
        <v>74</v>
      </c>
      <c r="AI721" t="s">
        <v>74</v>
      </c>
      <c r="AJ721" t="s">
        <v>74</v>
      </c>
      <c r="AK721" t="s">
        <v>74</v>
      </c>
      <c r="AL721" t="s">
        <v>74</v>
      </c>
      <c r="AM721" t="s">
        <v>74</v>
      </c>
      <c r="AN721" t="s">
        <v>74</v>
      </c>
      <c r="AO721" t="s">
        <v>127</v>
      </c>
      <c r="AP721" t="s">
        <v>128</v>
      </c>
      <c r="AQ721" t="s">
        <v>74</v>
      </c>
      <c r="AR721" t="s">
        <v>74</v>
      </c>
      <c r="AS721" t="s">
        <v>74</v>
      </c>
      <c r="AT721" t="s">
        <v>335</v>
      </c>
      <c r="AU721">
        <v>2008</v>
      </c>
      <c r="AV721">
        <v>614</v>
      </c>
      <c r="AW721">
        <v>1</v>
      </c>
      <c r="AX721" t="s">
        <v>74</v>
      </c>
      <c r="AY721" t="s">
        <v>74</v>
      </c>
      <c r="AZ721" t="s">
        <v>74</v>
      </c>
      <c r="BA721" t="s">
        <v>74</v>
      </c>
      <c r="BB721">
        <v>19</v>
      </c>
      <c r="BC721">
        <v>31</v>
      </c>
      <c r="BD721" t="s">
        <v>74</v>
      </c>
      <c r="BE721" t="s">
        <v>5355</v>
      </c>
      <c r="BF721" t="str">
        <f>HYPERLINK("http://dx.doi.org/10.1007/s10750-008-9533-7","http://dx.doi.org/10.1007/s10750-008-9533-7")</f>
        <v>http://dx.doi.org/10.1007/s10750-008-9533-7</v>
      </c>
      <c r="BG721" t="s">
        <v>74</v>
      </c>
      <c r="BH721" t="s">
        <v>74</v>
      </c>
      <c r="BI721" t="s">
        <v>74</v>
      </c>
      <c r="BJ721" t="s">
        <v>74</v>
      </c>
      <c r="BK721" t="s">
        <v>74</v>
      </c>
      <c r="BL721" t="s">
        <v>74</v>
      </c>
      <c r="BM721" t="s">
        <v>74</v>
      </c>
      <c r="BN721" t="s">
        <v>74</v>
      </c>
      <c r="BO721" t="s">
        <v>74</v>
      </c>
      <c r="BP721" t="s">
        <v>74</v>
      </c>
      <c r="BQ721" t="s">
        <v>74</v>
      </c>
      <c r="BR721" t="s">
        <v>74</v>
      </c>
      <c r="BS721" t="s">
        <v>5356</v>
      </c>
      <c r="BT721" t="str">
        <f>HYPERLINK("https%3A%2F%2Fwww.webofscience.com%2Fwos%2Fwoscc%2Ffull-record%2FWOS:000259569000003","View Full Record in Web of Science")</f>
        <v>View Full Record in Web of Science</v>
      </c>
    </row>
    <row r="722" spans="1:72" x14ac:dyDescent="0.2">
      <c r="A722" t="s">
        <v>72</v>
      </c>
      <c r="B722" t="s">
        <v>5357</v>
      </c>
      <c r="C722" t="s">
        <v>74</v>
      </c>
      <c r="D722" t="s">
        <v>74</v>
      </c>
      <c r="E722" t="s">
        <v>74</v>
      </c>
      <c r="F722" t="s">
        <v>5358</v>
      </c>
      <c r="G722" t="s">
        <v>74</v>
      </c>
      <c r="H722" t="s">
        <v>74</v>
      </c>
      <c r="I722" t="s">
        <v>5359</v>
      </c>
      <c r="J722" t="s">
        <v>5360</v>
      </c>
      <c r="K722" t="s">
        <v>74</v>
      </c>
      <c r="L722" t="s">
        <v>74</v>
      </c>
      <c r="M722" t="s">
        <v>74</v>
      </c>
      <c r="N722" t="s">
        <v>74</v>
      </c>
      <c r="O722" t="s">
        <v>74</v>
      </c>
      <c r="P722" t="s">
        <v>74</v>
      </c>
      <c r="Q722" t="s">
        <v>74</v>
      </c>
      <c r="R722" t="s">
        <v>74</v>
      </c>
      <c r="S722" t="s">
        <v>74</v>
      </c>
      <c r="T722" t="s">
        <v>74</v>
      </c>
      <c r="U722" t="s">
        <v>74</v>
      </c>
      <c r="V722" t="s">
        <v>74</v>
      </c>
      <c r="W722" t="s">
        <v>74</v>
      </c>
      <c r="X722" t="s">
        <v>74</v>
      </c>
      <c r="Y722" t="s">
        <v>74</v>
      </c>
      <c r="Z722" t="s">
        <v>74</v>
      </c>
      <c r="AA722" t="s">
        <v>5361</v>
      </c>
      <c r="AB722" t="s">
        <v>5362</v>
      </c>
      <c r="AC722" t="s">
        <v>74</v>
      </c>
      <c r="AD722" t="s">
        <v>74</v>
      </c>
      <c r="AE722" t="s">
        <v>74</v>
      </c>
      <c r="AF722" t="s">
        <v>74</v>
      </c>
      <c r="AG722" t="s">
        <v>74</v>
      </c>
      <c r="AH722" t="s">
        <v>74</v>
      </c>
      <c r="AI722" t="s">
        <v>74</v>
      </c>
      <c r="AJ722" t="s">
        <v>74</v>
      </c>
      <c r="AK722" t="s">
        <v>74</v>
      </c>
      <c r="AL722" t="s">
        <v>74</v>
      </c>
      <c r="AM722" t="s">
        <v>74</v>
      </c>
      <c r="AN722" t="s">
        <v>74</v>
      </c>
      <c r="AO722" t="s">
        <v>5363</v>
      </c>
      <c r="AP722" t="s">
        <v>74</v>
      </c>
      <c r="AQ722" t="s">
        <v>74</v>
      </c>
      <c r="AR722" t="s">
        <v>74</v>
      </c>
      <c r="AS722" t="s">
        <v>74</v>
      </c>
      <c r="AT722" t="s">
        <v>335</v>
      </c>
      <c r="AU722">
        <v>2008</v>
      </c>
      <c r="AV722">
        <v>52</v>
      </c>
      <c r="AW722">
        <v>6</v>
      </c>
      <c r="AX722" t="s">
        <v>74</v>
      </c>
      <c r="AY722" t="s">
        <v>74</v>
      </c>
      <c r="AZ722" t="s">
        <v>74</v>
      </c>
      <c r="BA722" t="s">
        <v>74</v>
      </c>
      <c r="BB722">
        <v>677</v>
      </c>
      <c r="BC722">
        <v>686</v>
      </c>
      <c r="BD722" t="s">
        <v>74</v>
      </c>
      <c r="BE722" t="s">
        <v>5364</v>
      </c>
      <c r="BF722" t="str">
        <f>HYPERLINK("http://dx.doi.org/10.1016/j.toxicon.2008.07.017","http://dx.doi.org/10.1016/j.toxicon.2008.07.017")</f>
        <v>http://dx.doi.org/10.1016/j.toxicon.2008.07.017</v>
      </c>
      <c r="BG722" t="s">
        <v>74</v>
      </c>
      <c r="BH722" t="s">
        <v>74</v>
      </c>
      <c r="BI722" t="s">
        <v>74</v>
      </c>
      <c r="BJ722" t="s">
        <v>74</v>
      </c>
      <c r="BK722" t="s">
        <v>74</v>
      </c>
      <c r="BL722" t="s">
        <v>74</v>
      </c>
      <c r="BM722" t="s">
        <v>74</v>
      </c>
      <c r="BN722">
        <v>18725243</v>
      </c>
      <c r="BO722" t="s">
        <v>74</v>
      </c>
      <c r="BP722" t="s">
        <v>74</v>
      </c>
      <c r="BQ722" t="s">
        <v>74</v>
      </c>
      <c r="BR722" t="s">
        <v>74</v>
      </c>
      <c r="BS722" t="s">
        <v>5365</v>
      </c>
      <c r="BT722" t="str">
        <f>HYPERLINK("https%3A%2F%2Fwww.webofscience.com%2Fwos%2Fwoscc%2Ffull-record%2FWOS:000261013300003","View Full Record in Web of Science")</f>
        <v>View Full Record in Web of Science</v>
      </c>
    </row>
    <row r="723" spans="1:72" x14ac:dyDescent="0.2">
      <c r="A723" t="s">
        <v>72</v>
      </c>
      <c r="B723" t="s">
        <v>5366</v>
      </c>
      <c r="C723" t="s">
        <v>74</v>
      </c>
      <c r="D723" t="s">
        <v>74</v>
      </c>
      <c r="E723" t="s">
        <v>74</v>
      </c>
      <c r="F723" t="s">
        <v>5367</v>
      </c>
      <c r="G723" t="s">
        <v>74</v>
      </c>
      <c r="H723" t="s">
        <v>74</v>
      </c>
      <c r="I723" t="s">
        <v>5368</v>
      </c>
      <c r="J723" t="s">
        <v>423</v>
      </c>
      <c r="K723" t="s">
        <v>74</v>
      </c>
      <c r="L723" t="s">
        <v>74</v>
      </c>
      <c r="M723" t="s">
        <v>74</v>
      </c>
      <c r="N723" t="s">
        <v>74</v>
      </c>
      <c r="O723" t="s">
        <v>74</v>
      </c>
      <c r="P723" t="s">
        <v>74</v>
      </c>
      <c r="Q723" t="s">
        <v>74</v>
      </c>
      <c r="R723" t="s">
        <v>74</v>
      </c>
      <c r="S723" t="s">
        <v>74</v>
      </c>
      <c r="T723" t="s">
        <v>74</v>
      </c>
      <c r="U723" t="s">
        <v>74</v>
      </c>
      <c r="V723" t="s">
        <v>74</v>
      </c>
      <c r="W723" t="s">
        <v>74</v>
      </c>
      <c r="X723" t="s">
        <v>74</v>
      </c>
      <c r="Y723" t="s">
        <v>74</v>
      </c>
      <c r="Z723" t="s">
        <v>74</v>
      </c>
      <c r="AA723" t="s">
        <v>5369</v>
      </c>
      <c r="AB723" t="s">
        <v>5370</v>
      </c>
      <c r="AC723" t="s">
        <v>74</v>
      </c>
      <c r="AD723" t="s">
        <v>74</v>
      </c>
      <c r="AE723" t="s">
        <v>74</v>
      </c>
      <c r="AF723" t="s">
        <v>74</v>
      </c>
      <c r="AG723" t="s">
        <v>74</v>
      </c>
      <c r="AH723" t="s">
        <v>74</v>
      </c>
      <c r="AI723" t="s">
        <v>74</v>
      </c>
      <c r="AJ723" t="s">
        <v>74</v>
      </c>
      <c r="AK723" t="s">
        <v>74</v>
      </c>
      <c r="AL723" t="s">
        <v>74</v>
      </c>
      <c r="AM723" t="s">
        <v>74</v>
      </c>
      <c r="AN723" t="s">
        <v>74</v>
      </c>
      <c r="AO723" t="s">
        <v>425</v>
      </c>
      <c r="AP723" t="s">
        <v>74</v>
      </c>
      <c r="AQ723" t="s">
        <v>74</v>
      </c>
      <c r="AR723" t="s">
        <v>74</v>
      </c>
      <c r="AS723" t="s">
        <v>74</v>
      </c>
      <c r="AT723" t="s">
        <v>406</v>
      </c>
      <c r="AU723">
        <v>2008</v>
      </c>
      <c r="AV723">
        <v>53</v>
      </c>
      <c r="AW723">
        <v>10</v>
      </c>
      <c r="AX723" t="s">
        <v>74</v>
      </c>
      <c r="AY723" t="s">
        <v>74</v>
      </c>
      <c r="AZ723" t="s">
        <v>74</v>
      </c>
      <c r="BA723" t="s">
        <v>74</v>
      </c>
      <c r="BB723">
        <v>1942</v>
      </c>
      <c r="BC723">
        <v>1953</v>
      </c>
      <c r="BD723" t="s">
        <v>74</v>
      </c>
      <c r="BE723" t="s">
        <v>5371</v>
      </c>
      <c r="BF723" t="str">
        <f>HYPERLINK("http://dx.doi.org/10.1111/j.1365-2427.2008.02018.x","http://dx.doi.org/10.1111/j.1365-2427.2008.02018.x")</f>
        <v>http://dx.doi.org/10.1111/j.1365-2427.2008.02018.x</v>
      </c>
      <c r="BG723" t="s">
        <v>74</v>
      </c>
      <c r="BH723" t="s">
        <v>74</v>
      </c>
      <c r="BI723" t="s">
        <v>74</v>
      </c>
      <c r="BJ723" t="s">
        <v>74</v>
      </c>
      <c r="BK723" t="s">
        <v>74</v>
      </c>
      <c r="BL723" t="s">
        <v>74</v>
      </c>
      <c r="BM723" t="s">
        <v>74</v>
      </c>
      <c r="BN723" t="s">
        <v>74</v>
      </c>
      <c r="BO723" t="s">
        <v>74</v>
      </c>
      <c r="BP723" t="s">
        <v>74</v>
      </c>
      <c r="BQ723" t="s">
        <v>74</v>
      </c>
      <c r="BR723" t="s">
        <v>74</v>
      </c>
      <c r="BS723" t="s">
        <v>5372</v>
      </c>
      <c r="BT723" t="str">
        <f>HYPERLINK("https%3A%2F%2Fwww.webofscience.com%2Fwos%2Fwoscc%2Ffull-record%2FWOS:000259148200003","View Full Record in Web of Science")</f>
        <v>View Full Record in Web of Science</v>
      </c>
    </row>
    <row r="724" spans="1:72" x14ac:dyDescent="0.2">
      <c r="A724" t="s">
        <v>72</v>
      </c>
      <c r="B724" t="s">
        <v>5261</v>
      </c>
      <c r="C724" t="s">
        <v>74</v>
      </c>
      <c r="D724" t="s">
        <v>74</v>
      </c>
      <c r="E724" t="s">
        <v>74</v>
      </c>
      <c r="F724" t="s">
        <v>5262</v>
      </c>
      <c r="G724" t="s">
        <v>74</v>
      </c>
      <c r="H724" t="s">
        <v>74</v>
      </c>
      <c r="I724" t="s">
        <v>5373</v>
      </c>
      <c r="J724" t="s">
        <v>5374</v>
      </c>
      <c r="K724" t="s">
        <v>74</v>
      </c>
      <c r="L724" t="s">
        <v>74</v>
      </c>
      <c r="M724" t="s">
        <v>74</v>
      </c>
      <c r="N724" t="s">
        <v>74</v>
      </c>
      <c r="O724" t="s">
        <v>74</v>
      </c>
      <c r="P724" t="s">
        <v>74</v>
      </c>
      <c r="Q724" t="s">
        <v>74</v>
      </c>
      <c r="R724" t="s">
        <v>74</v>
      </c>
      <c r="S724" t="s">
        <v>74</v>
      </c>
      <c r="T724" t="s">
        <v>74</v>
      </c>
      <c r="U724" t="s">
        <v>74</v>
      </c>
      <c r="V724" t="s">
        <v>74</v>
      </c>
      <c r="W724" t="s">
        <v>74</v>
      </c>
      <c r="X724" t="s">
        <v>74</v>
      </c>
      <c r="Y724" t="s">
        <v>74</v>
      </c>
      <c r="Z724" t="s">
        <v>74</v>
      </c>
      <c r="AA724" t="s">
        <v>4817</v>
      </c>
      <c r="AB724" t="s">
        <v>4818</v>
      </c>
      <c r="AC724" t="s">
        <v>74</v>
      </c>
      <c r="AD724" t="s">
        <v>74</v>
      </c>
      <c r="AE724" t="s">
        <v>74</v>
      </c>
      <c r="AF724" t="s">
        <v>74</v>
      </c>
      <c r="AG724" t="s">
        <v>74</v>
      </c>
      <c r="AH724" t="s">
        <v>74</v>
      </c>
      <c r="AI724" t="s">
        <v>74</v>
      </c>
      <c r="AJ724" t="s">
        <v>74</v>
      </c>
      <c r="AK724" t="s">
        <v>74</v>
      </c>
      <c r="AL724" t="s">
        <v>74</v>
      </c>
      <c r="AM724" t="s">
        <v>74</v>
      </c>
      <c r="AN724" t="s">
        <v>74</v>
      </c>
      <c r="AO724" t="s">
        <v>5375</v>
      </c>
      <c r="AP724" t="s">
        <v>5376</v>
      </c>
      <c r="AQ724" t="s">
        <v>74</v>
      </c>
      <c r="AR724" t="s">
        <v>74</v>
      </c>
      <c r="AS724" t="s">
        <v>74</v>
      </c>
      <c r="AT724" t="s">
        <v>624</v>
      </c>
      <c r="AU724">
        <v>2008</v>
      </c>
      <c r="AV724">
        <v>10</v>
      </c>
      <c r="AW724">
        <v>5</v>
      </c>
      <c r="AX724" t="s">
        <v>74</v>
      </c>
      <c r="AY724" t="s">
        <v>74</v>
      </c>
      <c r="AZ724" t="s">
        <v>74</v>
      </c>
      <c r="BA724" t="s">
        <v>74</v>
      </c>
      <c r="BB724">
        <v>699</v>
      </c>
      <c r="BC724">
        <v>720</v>
      </c>
      <c r="BD724" t="s">
        <v>74</v>
      </c>
      <c r="BE724" t="s">
        <v>74</v>
      </c>
      <c r="BF724" t="s">
        <v>74</v>
      </c>
      <c r="BG724" t="s">
        <v>74</v>
      </c>
      <c r="BH724" t="s">
        <v>74</v>
      </c>
      <c r="BI724" t="s">
        <v>74</v>
      </c>
      <c r="BJ724" t="s">
        <v>74</v>
      </c>
      <c r="BK724" t="s">
        <v>74</v>
      </c>
      <c r="BL724" t="s">
        <v>74</v>
      </c>
      <c r="BM724" t="s">
        <v>74</v>
      </c>
      <c r="BN724" t="s">
        <v>74</v>
      </c>
      <c r="BO724" t="s">
        <v>74</v>
      </c>
      <c r="BP724" t="s">
        <v>74</v>
      </c>
      <c r="BQ724" t="s">
        <v>74</v>
      </c>
      <c r="BR724" t="s">
        <v>74</v>
      </c>
      <c r="BS724" t="s">
        <v>5377</v>
      </c>
      <c r="BT724" t="str">
        <f>HYPERLINK("https%3A%2F%2Fwww.webofscience.com%2Fwos%2Fwoscc%2Ffull-record%2FWOS:000258747100004","View Full Record in Web of Science")</f>
        <v>View Full Record in Web of Science</v>
      </c>
    </row>
    <row r="725" spans="1:72" x14ac:dyDescent="0.2">
      <c r="A725" t="s">
        <v>72</v>
      </c>
      <c r="B725" t="s">
        <v>5378</v>
      </c>
      <c r="C725" t="s">
        <v>74</v>
      </c>
      <c r="D725" t="s">
        <v>74</v>
      </c>
      <c r="E725" t="s">
        <v>74</v>
      </c>
      <c r="F725" t="s">
        <v>5379</v>
      </c>
      <c r="G725" t="s">
        <v>74</v>
      </c>
      <c r="H725" t="s">
        <v>74</v>
      </c>
      <c r="I725" t="s">
        <v>5380</v>
      </c>
      <c r="J725" t="s">
        <v>227</v>
      </c>
      <c r="K725" t="s">
        <v>74</v>
      </c>
      <c r="L725" t="s">
        <v>74</v>
      </c>
      <c r="M725" t="s">
        <v>74</v>
      </c>
      <c r="N725" t="s">
        <v>74</v>
      </c>
      <c r="O725" t="s">
        <v>74</v>
      </c>
      <c r="P725" t="s">
        <v>74</v>
      </c>
      <c r="Q725" t="s">
        <v>74</v>
      </c>
      <c r="R725" t="s">
        <v>74</v>
      </c>
      <c r="S725" t="s">
        <v>74</v>
      </c>
      <c r="T725" t="s">
        <v>74</v>
      </c>
      <c r="U725" t="s">
        <v>74</v>
      </c>
      <c r="V725" t="s">
        <v>74</v>
      </c>
      <c r="W725" t="s">
        <v>74</v>
      </c>
      <c r="X725" t="s">
        <v>74</v>
      </c>
      <c r="Y725" t="s">
        <v>74</v>
      </c>
      <c r="Z725" t="s">
        <v>74</v>
      </c>
      <c r="AA725" t="s">
        <v>5381</v>
      </c>
      <c r="AB725" t="s">
        <v>5382</v>
      </c>
      <c r="AC725" t="s">
        <v>74</v>
      </c>
      <c r="AD725" t="s">
        <v>74</v>
      </c>
      <c r="AE725" t="s">
        <v>74</v>
      </c>
      <c r="AF725" t="s">
        <v>74</v>
      </c>
      <c r="AG725" t="s">
        <v>74</v>
      </c>
      <c r="AH725" t="s">
        <v>74</v>
      </c>
      <c r="AI725" t="s">
        <v>74</v>
      </c>
      <c r="AJ725" t="s">
        <v>74</v>
      </c>
      <c r="AK725" t="s">
        <v>74</v>
      </c>
      <c r="AL725" t="s">
        <v>74</v>
      </c>
      <c r="AM725" t="s">
        <v>74</v>
      </c>
      <c r="AN725" t="s">
        <v>74</v>
      </c>
      <c r="AO725" t="s">
        <v>230</v>
      </c>
      <c r="AP725" t="s">
        <v>74</v>
      </c>
      <c r="AQ725" t="s">
        <v>74</v>
      </c>
      <c r="AR725" t="s">
        <v>74</v>
      </c>
      <c r="AS725" t="s">
        <v>74</v>
      </c>
      <c r="AT725" t="s">
        <v>624</v>
      </c>
      <c r="AU725">
        <v>2008</v>
      </c>
      <c r="AV725">
        <v>53</v>
      </c>
      <c r="AW725">
        <v>4</v>
      </c>
      <c r="AX725" t="s">
        <v>74</v>
      </c>
      <c r="AY725" t="s">
        <v>74</v>
      </c>
      <c r="AZ725" t="s">
        <v>74</v>
      </c>
      <c r="BA725" t="s">
        <v>74</v>
      </c>
      <c r="BB725">
        <v>1279</v>
      </c>
      <c r="BC725">
        <v>1293</v>
      </c>
      <c r="BD725" t="s">
        <v>74</v>
      </c>
      <c r="BE725" t="s">
        <v>5383</v>
      </c>
      <c r="BF725" t="str">
        <f>HYPERLINK("http://dx.doi.org/10.4319/lo.2008.53.4.1279","http://dx.doi.org/10.4319/lo.2008.53.4.1279")</f>
        <v>http://dx.doi.org/10.4319/lo.2008.53.4.1279</v>
      </c>
      <c r="BG725" t="s">
        <v>74</v>
      </c>
      <c r="BH725" t="s">
        <v>74</v>
      </c>
      <c r="BI725" t="s">
        <v>74</v>
      </c>
      <c r="BJ725" t="s">
        <v>74</v>
      </c>
      <c r="BK725" t="s">
        <v>74</v>
      </c>
      <c r="BL725" t="s">
        <v>74</v>
      </c>
      <c r="BM725" t="s">
        <v>74</v>
      </c>
      <c r="BN725" t="s">
        <v>74</v>
      </c>
      <c r="BO725" t="s">
        <v>74</v>
      </c>
      <c r="BP725" t="s">
        <v>74</v>
      </c>
      <c r="BQ725" t="s">
        <v>74</v>
      </c>
      <c r="BR725" t="s">
        <v>74</v>
      </c>
      <c r="BS725" t="s">
        <v>5384</v>
      </c>
      <c r="BT725" t="str">
        <f>HYPERLINK("https%3A%2F%2Fwww.webofscience.com%2Fwos%2Fwoscc%2Ffull-record%2FWOS:000257773700008","View Full Record in Web of Science")</f>
        <v>View Full Record in Web of Science</v>
      </c>
    </row>
    <row r="726" spans="1:72" x14ac:dyDescent="0.2">
      <c r="A726" t="s">
        <v>72</v>
      </c>
      <c r="B726" t="s">
        <v>5248</v>
      </c>
      <c r="C726" t="s">
        <v>74</v>
      </c>
      <c r="D726" t="s">
        <v>74</v>
      </c>
      <c r="E726" t="s">
        <v>74</v>
      </c>
      <c r="F726" t="s">
        <v>5249</v>
      </c>
      <c r="G726" t="s">
        <v>74</v>
      </c>
      <c r="H726" t="s">
        <v>74</v>
      </c>
      <c r="I726" t="s">
        <v>5385</v>
      </c>
      <c r="J726" t="s">
        <v>124</v>
      </c>
      <c r="K726" t="s">
        <v>74</v>
      </c>
      <c r="L726" t="s">
        <v>74</v>
      </c>
      <c r="M726" t="s">
        <v>74</v>
      </c>
      <c r="N726" t="s">
        <v>74</v>
      </c>
      <c r="O726" t="s">
        <v>74</v>
      </c>
      <c r="P726" t="s">
        <v>74</v>
      </c>
      <c r="Q726" t="s">
        <v>74</v>
      </c>
      <c r="R726" t="s">
        <v>74</v>
      </c>
      <c r="S726" t="s">
        <v>74</v>
      </c>
      <c r="T726" t="s">
        <v>74</v>
      </c>
      <c r="U726" t="s">
        <v>74</v>
      </c>
      <c r="V726" t="s">
        <v>74</v>
      </c>
      <c r="W726" t="s">
        <v>74</v>
      </c>
      <c r="X726" t="s">
        <v>74</v>
      </c>
      <c r="Y726" t="s">
        <v>74</v>
      </c>
      <c r="Z726" t="s">
        <v>74</v>
      </c>
      <c r="AA726" t="s">
        <v>74</v>
      </c>
      <c r="AB726" t="s">
        <v>5251</v>
      </c>
      <c r="AC726" t="s">
        <v>74</v>
      </c>
      <c r="AD726" t="s">
        <v>74</v>
      </c>
      <c r="AE726" t="s">
        <v>74</v>
      </c>
      <c r="AF726" t="s">
        <v>74</v>
      </c>
      <c r="AG726" t="s">
        <v>74</v>
      </c>
      <c r="AH726" t="s">
        <v>74</v>
      </c>
      <c r="AI726" t="s">
        <v>74</v>
      </c>
      <c r="AJ726" t="s">
        <v>74</v>
      </c>
      <c r="AK726" t="s">
        <v>74</v>
      </c>
      <c r="AL726" t="s">
        <v>74</v>
      </c>
      <c r="AM726" t="s">
        <v>74</v>
      </c>
      <c r="AN726" t="s">
        <v>74</v>
      </c>
      <c r="AO726" t="s">
        <v>127</v>
      </c>
      <c r="AP726" t="s">
        <v>74</v>
      </c>
      <c r="AQ726" t="s">
        <v>74</v>
      </c>
      <c r="AR726" t="s">
        <v>74</v>
      </c>
      <c r="AS726" t="s">
        <v>74</v>
      </c>
      <c r="AT726" t="s">
        <v>569</v>
      </c>
      <c r="AU726">
        <v>2008</v>
      </c>
      <c r="AV726">
        <v>605</v>
      </c>
      <c r="AW726" t="s">
        <v>74</v>
      </c>
      <c r="AX726" t="s">
        <v>74</v>
      </c>
      <c r="AY726" t="s">
        <v>74</v>
      </c>
      <c r="AZ726" t="s">
        <v>74</v>
      </c>
      <c r="BA726" t="s">
        <v>74</v>
      </c>
      <c r="BB726">
        <v>29</v>
      </c>
      <c r="BC726">
        <v>35</v>
      </c>
      <c r="BD726" t="s">
        <v>74</v>
      </c>
      <c r="BE726" t="s">
        <v>5386</v>
      </c>
      <c r="BF726" t="str">
        <f>HYPERLINK("http://dx.doi.org/10.1007/s10750-008-9297-0","http://dx.doi.org/10.1007/s10750-008-9297-0")</f>
        <v>http://dx.doi.org/10.1007/s10750-008-9297-0</v>
      </c>
      <c r="BG726" t="s">
        <v>74</v>
      </c>
      <c r="BH726" t="s">
        <v>74</v>
      </c>
      <c r="BI726" t="s">
        <v>74</v>
      </c>
      <c r="BJ726" t="s">
        <v>74</v>
      </c>
      <c r="BK726" t="s">
        <v>74</v>
      </c>
      <c r="BL726" t="s">
        <v>74</v>
      </c>
      <c r="BM726" t="s">
        <v>74</v>
      </c>
      <c r="BN726" t="s">
        <v>74</v>
      </c>
      <c r="BO726" t="s">
        <v>74</v>
      </c>
      <c r="BP726" t="s">
        <v>74</v>
      </c>
      <c r="BQ726" t="s">
        <v>74</v>
      </c>
      <c r="BR726" t="s">
        <v>74</v>
      </c>
      <c r="BS726" t="s">
        <v>5387</v>
      </c>
      <c r="BT726" t="str">
        <f>HYPERLINK("https%3A%2F%2Fwww.webofscience.com%2Fwos%2Fwoscc%2Ffull-record%2FWOS:000254750900004","View Full Record in Web of Science")</f>
        <v>View Full Record in Web of Science</v>
      </c>
    </row>
    <row r="727" spans="1:72" x14ac:dyDescent="0.2">
      <c r="A727" t="s">
        <v>72</v>
      </c>
      <c r="B727" t="s">
        <v>5388</v>
      </c>
      <c r="C727" t="s">
        <v>74</v>
      </c>
      <c r="D727" t="s">
        <v>74</v>
      </c>
      <c r="E727" t="s">
        <v>74</v>
      </c>
      <c r="F727" t="s">
        <v>5389</v>
      </c>
      <c r="G727" t="s">
        <v>74</v>
      </c>
      <c r="H727" t="s">
        <v>74</v>
      </c>
      <c r="I727" t="s">
        <v>5390</v>
      </c>
      <c r="J727" t="s">
        <v>3805</v>
      </c>
      <c r="K727" t="s">
        <v>74</v>
      </c>
      <c r="L727" t="s">
        <v>74</v>
      </c>
      <c r="M727" t="s">
        <v>74</v>
      </c>
      <c r="N727" t="s">
        <v>74</v>
      </c>
      <c r="O727" t="s">
        <v>74</v>
      </c>
      <c r="P727" t="s">
        <v>74</v>
      </c>
      <c r="Q727" t="s">
        <v>74</v>
      </c>
      <c r="R727" t="s">
        <v>74</v>
      </c>
      <c r="S727" t="s">
        <v>74</v>
      </c>
      <c r="T727" t="s">
        <v>74</v>
      </c>
      <c r="U727" t="s">
        <v>74</v>
      </c>
      <c r="V727" t="s">
        <v>74</v>
      </c>
      <c r="W727" t="s">
        <v>74</v>
      </c>
      <c r="X727" t="s">
        <v>74</v>
      </c>
      <c r="Y727" t="s">
        <v>74</v>
      </c>
      <c r="Z727" t="s">
        <v>74</v>
      </c>
      <c r="AA727" t="s">
        <v>5391</v>
      </c>
      <c r="AB727" t="s">
        <v>74</v>
      </c>
      <c r="AC727" t="s">
        <v>74</v>
      </c>
      <c r="AD727" t="s">
        <v>74</v>
      </c>
      <c r="AE727" t="s">
        <v>74</v>
      </c>
      <c r="AF727" t="s">
        <v>74</v>
      </c>
      <c r="AG727" t="s">
        <v>74</v>
      </c>
      <c r="AH727" t="s">
        <v>74</v>
      </c>
      <c r="AI727" t="s">
        <v>74</v>
      </c>
      <c r="AJ727" t="s">
        <v>74</v>
      </c>
      <c r="AK727" t="s">
        <v>74</v>
      </c>
      <c r="AL727" t="s">
        <v>74</v>
      </c>
      <c r="AM727" t="s">
        <v>74</v>
      </c>
      <c r="AN727" t="s">
        <v>74</v>
      </c>
      <c r="AO727" t="s">
        <v>3808</v>
      </c>
      <c r="AP727" t="s">
        <v>3809</v>
      </c>
      <c r="AQ727" t="s">
        <v>74</v>
      </c>
      <c r="AR727" t="s">
        <v>74</v>
      </c>
      <c r="AS727" t="s">
        <v>74</v>
      </c>
      <c r="AT727" t="s">
        <v>5392</v>
      </c>
      <c r="AU727">
        <v>2008</v>
      </c>
      <c r="AV727">
        <v>211</v>
      </c>
      <c r="AW727" t="s">
        <v>760</v>
      </c>
      <c r="AX727" t="s">
        <v>74</v>
      </c>
      <c r="AY727" t="s">
        <v>74</v>
      </c>
      <c r="AZ727" t="s">
        <v>74</v>
      </c>
      <c r="BA727" t="s">
        <v>74</v>
      </c>
      <c r="BB727">
        <v>292</v>
      </c>
      <c r="BC727">
        <v>300</v>
      </c>
      <c r="BD727" t="s">
        <v>74</v>
      </c>
      <c r="BE727" t="s">
        <v>5393</v>
      </c>
      <c r="BF727" t="str">
        <f>HYPERLINK("http://dx.doi.org/10.1016/j.ecolmodel.2007.09.029","http://dx.doi.org/10.1016/j.ecolmodel.2007.09.029")</f>
        <v>http://dx.doi.org/10.1016/j.ecolmodel.2007.09.029</v>
      </c>
      <c r="BG727" t="s">
        <v>74</v>
      </c>
      <c r="BH727" t="s">
        <v>74</v>
      </c>
      <c r="BI727" t="s">
        <v>74</v>
      </c>
      <c r="BJ727" t="s">
        <v>74</v>
      </c>
      <c r="BK727" t="s">
        <v>74</v>
      </c>
      <c r="BL727" t="s">
        <v>74</v>
      </c>
      <c r="BM727" t="s">
        <v>74</v>
      </c>
      <c r="BN727" t="s">
        <v>74</v>
      </c>
      <c r="BO727" t="s">
        <v>74</v>
      </c>
      <c r="BP727" t="s">
        <v>74</v>
      </c>
      <c r="BQ727" t="s">
        <v>74</v>
      </c>
      <c r="BR727" t="s">
        <v>74</v>
      </c>
      <c r="BS727" t="s">
        <v>5394</v>
      </c>
      <c r="BT727" t="str">
        <f>HYPERLINK("https%3A%2F%2Fwww.webofscience.com%2Fwos%2Fwoscc%2Ffull-record%2FWOS:000253700900004","View Full Record in Web of Science")</f>
        <v>View Full Record in Web of Science</v>
      </c>
    </row>
    <row r="728" spans="1:72" x14ac:dyDescent="0.2">
      <c r="A728" t="s">
        <v>72</v>
      </c>
      <c r="B728" t="s">
        <v>5395</v>
      </c>
      <c r="C728" t="s">
        <v>74</v>
      </c>
      <c r="D728" t="s">
        <v>74</v>
      </c>
      <c r="E728" t="s">
        <v>74</v>
      </c>
      <c r="F728" t="s">
        <v>5396</v>
      </c>
      <c r="G728" t="s">
        <v>74</v>
      </c>
      <c r="H728" t="s">
        <v>74</v>
      </c>
      <c r="I728" t="s">
        <v>5397</v>
      </c>
      <c r="J728" t="s">
        <v>2990</v>
      </c>
      <c r="K728" t="s">
        <v>74</v>
      </c>
      <c r="L728" t="s">
        <v>74</v>
      </c>
      <c r="M728" t="s">
        <v>74</v>
      </c>
      <c r="N728" t="s">
        <v>74</v>
      </c>
      <c r="O728" t="s">
        <v>74</v>
      </c>
      <c r="P728" t="s">
        <v>74</v>
      </c>
      <c r="Q728" t="s">
        <v>74</v>
      </c>
      <c r="R728" t="s">
        <v>74</v>
      </c>
      <c r="S728" t="s">
        <v>74</v>
      </c>
      <c r="T728" t="s">
        <v>74</v>
      </c>
      <c r="U728" t="s">
        <v>74</v>
      </c>
      <c r="V728" t="s">
        <v>74</v>
      </c>
      <c r="W728" t="s">
        <v>74</v>
      </c>
      <c r="X728" t="s">
        <v>74</v>
      </c>
      <c r="Y728" t="s">
        <v>74</v>
      </c>
      <c r="Z728" t="s">
        <v>74</v>
      </c>
      <c r="AA728" t="s">
        <v>74</v>
      </c>
      <c r="AB728" t="s">
        <v>74</v>
      </c>
      <c r="AC728" t="s">
        <v>74</v>
      </c>
      <c r="AD728" t="s">
        <v>74</v>
      </c>
      <c r="AE728" t="s">
        <v>74</v>
      </c>
      <c r="AF728" t="s">
        <v>74</v>
      </c>
      <c r="AG728" t="s">
        <v>74</v>
      </c>
      <c r="AH728" t="s">
        <v>74</v>
      </c>
      <c r="AI728" t="s">
        <v>74</v>
      </c>
      <c r="AJ728" t="s">
        <v>74</v>
      </c>
      <c r="AK728" t="s">
        <v>74</v>
      </c>
      <c r="AL728" t="s">
        <v>74</v>
      </c>
      <c r="AM728" t="s">
        <v>74</v>
      </c>
      <c r="AN728" t="s">
        <v>74</v>
      </c>
      <c r="AO728" t="s">
        <v>2993</v>
      </c>
      <c r="AP728" t="s">
        <v>74</v>
      </c>
      <c r="AQ728" t="s">
        <v>74</v>
      </c>
      <c r="AR728" t="s">
        <v>74</v>
      </c>
      <c r="AS728" t="s">
        <v>74</v>
      </c>
      <c r="AT728" t="s">
        <v>157</v>
      </c>
      <c r="AU728">
        <v>2008</v>
      </c>
      <c r="AV728">
        <v>11</v>
      </c>
      <c r="AW728">
        <v>3</v>
      </c>
      <c r="AX728" t="s">
        <v>74</v>
      </c>
      <c r="AY728" t="s">
        <v>74</v>
      </c>
      <c r="AZ728" t="s">
        <v>74</v>
      </c>
      <c r="BA728" t="s">
        <v>74</v>
      </c>
      <c r="BB728">
        <v>245</v>
      </c>
      <c r="BC728">
        <v>257</v>
      </c>
      <c r="BD728" t="s">
        <v>74</v>
      </c>
      <c r="BE728" t="s">
        <v>5398</v>
      </c>
      <c r="BF728" t="str">
        <f>HYPERLINK("http://dx.doi.org/10.1111/j.1461-0248.2007.01143.x","http://dx.doi.org/10.1111/j.1461-0248.2007.01143.x")</f>
        <v>http://dx.doi.org/10.1111/j.1461-0248.2007.01143.x</v>
      </c>
      <c r="BG728" t="s">
        <v>74</v>
      </c>
      <c r="BH728" t="s">
        <v>74</v>
      </c>
      <c r="BI728" t="s">
        <v>74</v>
      </c>
      <c r="BJ728" t="s">
        <v>74</v>
      </c>
      <c r="BK728" t="s">
        <v>74</v>
      </c>
      <c r="BL728" t="s">
        <v>74</v>
      </c>
      <c r="BM728" t="s">
        <v>74</v>
      </c>
      <c r="BN728">
        <v>18070097</v>
      </c>
      <c r="BO728" t="s">
        <v>74</v>
      </c>
      <c r="BP728" t="s">
        <v>74</v>
      </c>
      <c r="BQ728" t="s">
        <v>74</v>
      </c>
      <c r="BR728" t="s">
        <v>74</v>
      </c>
      <c r="BS728" t="s">
        <v>5399</v>
      </c>
      <c r="BT728" t="str">
        <f>HYPERLINK("https%3A%2F%2Fwww.webofscience.com%2Fwos%2Fwoscc%2Ffull-record%2FWOS:000252807500006","View Full Record in Web of Science")</f>
        <v>View Full Record in Web of Science</v>
      </c>
    </row>
    <row r="729" spans="1:72" x14ac:dyDescent="0.2">
      <c r="A729" t="s">
        <v>72</v>
      </c>
      <c r="B729" t="s">
        <v>5400</v>
      </c>
      <c r="C729" t="s">
        <v>74</v>
      </c>
      <c r="D729" t="s">
        <v>74</v>
      </c>
      <c r="E729" t="s">
        <v>74</v>
      </c>
      <c r="F729" t="s">
        <v>5401</v>
      </c>
      <c r="G729" t="s">
        <v>74</v>
      </c>
      <c r="H729" t="s">
        <v>74</v>
      </c>
      <c r="I729" t="s">
        <v>5402</v>
      </c>
      <c r="J729" t="s">
        <v>1377</v>
      </c>
      <c r="K729" t="s">
        <v>74</v>
      </c>
      <c r="L729" t="s">
        <v>74</v>
      </c>
      <c r="M729" t="s">
        <v>74</v>
      </c>
      <c r="N729" t="s">
        <v>74</v>
      </c>
      <c r="O729" t="s">
        <v>74</v>
      </c>
      <c r="P729" t="s">
        <v>74</v>
      </c>
      <c r="Q729" t="s">
        <v>74</v>
      </c>
      <c r="R729" t="s">
        <v>74</v>
      </c>
      <c r="S729" t="s">
        <v>74</v>
      </c>
      <c r="T729" t="s">
        <v>74</v>
      </c>
      <c r="U729" t="s">
        <v>74</v>
      </c>
      <c r="V729" t="s">
        <v>74</v>
      </c>
      <c r="W729" t="s">
        <v>74</v>
      </c>
      <c r="X729" t="s">
        <v>74</v>
      </c>
      <c r="Y729" t="s">
        <v>74</v>
      </c>
      <c r="Z729" t="s">
        <v>74</v>
      </c>
      <c r="AA729" t="s">
        <v>5403</v>
      </c>
      <c r="AB729" t="s">
        <v>5404</v>
      </c>
      <c r="AC729" t="s">
        <v>74</v>
      </c>
      <c r="AD729" t="s">
        <v>74</v>
      </c>
      <c r="AE729" t="s">
        <v>74</v>
      </c>
      <c r="AF729" t="s">
        <v>74</v>
      </c>
      <c r="AG729" t="s">
        <v>74</v>
      </c>
      <c r="AH729" t="s">
        <v>74</v>
      </c>
      <c r="AI729" t="s">
        <v>74</v>
      </c>
      <c r="AJ729" t="s">
        <v>74</v>
      </c>
      <c r="AK729" t="s">
        <v>74</v>
      </c>
      <c r="AL729" t="s">
        <v>74</v>
      </c>
      <c r="AM729" t="s">
        <v>74</v>
      </c>
      <c r="AN729" t="s">
        <v>74</v>
      </c>
      <c r="AO729" t="s">
        <v>1380</v>
      </c>
      <c r="AP729" t="s">
        <v>1381</v>
      </c>
      <c r="AQ729" t="s">
        <v>74</v>
      </c>
      <c r="AR729" t="s">
        <v>74</v>
      </c>
      <c r="AS729" t="s">
        <v>74</v>
      </c>
      <c r="AT729" t="s">
        <v>157</v>
      </c>
      <c r="AU729">
        <v>2008</v>
      </c>
      <c r="AV729">
        <v>96</v>
      </c>
      <c r="AW729">
        <v>2</v>
      </c>
      <c r="AX729" t="s">
        <v>74</v>
      </c>
      <c r="AY729" t="s">
        <v>74</v>
      </c>
      <c r="AZ729" t="s">
        <v>74</v>
      </c>
      <c r="BA729" t="s">
        <v>74</v>
      </c>
      <c r="BB729">
        <v>260</v>
      </c>
      <c r="BC729">
        <v>271</v>
      </c>
      <c r="BD729" t="s">
        <v>74</v>
      </c>
      <c r="BE729" t="s">
        <v>5405</v>
      </c>
      <c r="BF729" t="str">
        <f>HYPERLINK("http://dx.doi.org/10.1111/j.1365-2745.2007.01339.x","http://dx.doi.org/10.1111/j.1365-2745.2007.01339.x")</f>
        <v>http://dx.doi.org/10.1111/j.1365-2745.2007.01339.x</v>
      </c>
      <c r="BG729" t="s">
        <v>74</v>
      </c>
      <c r="BH729" t="s">
        <v>74</v>
      </c>
      <c r="BI729" t="s">
        <v>74</v>
      </c>
      <c r="BJ729" t="s">
        <v>74</v>
      </c>
      <c r="BK729" t="s">
        <v>74</v>
      </c>
      <c r="BL729" t="s">
        <v>74</v>
      </c>
      <c r="BM729" t="s">
        <v>74</v>
      </c>
      <c r="BN729" t="s">
        <v>74</v>
      </c>
      <c r="BO729" t="s">
        <v>74</v>
      </c>
      <c r="BP729" t="s">
        <v>74</v>
      </c>
      <c r="BQ729" t="s">
        <v>74</v>
      </c>
      <c r="BR729" t="s">
        <v>74</v>
      </c>
      <c r="BS729" t="s">
        <v>5406</v>
      </c>
      <c r="BT729" t="str">
        <f>HYPERLINK("https%3A%2F%2Fwww.webofscience.com%2Fwos%2Fwoscc%2Ffull-record%2FWOS:000252899300003","View Full Record in Web of Science")</f>
        <v>View Full Record in Web of Science</v>
      </c>
    </row>
    <row r="730" spans="1:72" x14ac:dyDescent="0.2">
      <c r="A730" t="s">
        <v>72</v>
      </c>
      <c r="B730" t="s">
        <v>5407</v>
      </c>
      <c r="C730" t="s">
        <v>74</v>
      </c>
      <c r="D730" t="s">
        <v>74</v>
      </c>
      <c r="E730" t="s">
        <v>74</v>
      </c>
      <c r="F730" t="s">
        <v>5408</v>
      </c>
      <c r="G730" t="s">
        <v>74</v>
      </c>
      <c r="H730" t="s">
        <v>74</v>
      </c>
      <c r="I730" t="s">
        <v>5409</v>
      </c>
      <c r="J730" t="s">
        <v>673</v>
      </c>
      <c r="K730" t="s">
        <v>74</v>
      </c>
      <c r="L730" t="s">
        <v>74</v>
      </c>
      <c r="M730" t="s">
        <v>74</v>
      </c>
      <c r="N730" t="s">
        <v>74</v>
      </c>
      <c r="O730" t="s">
        <v>74</v>
      </c>
      <c r="P730" t="s">
        <v>74</v>
      </c>
      <c r="Q730" t="s">
        <v>74</v>
      </c>
      <c r="R730" t="s">
        <v>74</v>
      </c>
      <c r="S730" t="s">
        <v>74</v>
      </c>
      <c r="T730" t="s">
        <v>74</v>
      </c>
      <c r="U730" t="s">
        <v>74</v>
      </c>
      <c r="V730" t="s">
        <v>74</v>
      </c>
      <c r="W730" t="s">
        <v>74</v>
      </c>
      <c r="X730" t="s">
        <v>74</v>
      </c>
      <c r="Y730" t="s">
        <v>74</v>
      </c>
      <c r="Z730" t="s">
        <v>74</v>
      </c>
      <c r="AA730" t="s">
        <v>5410</v>
      </c>
      <c r="AB730" t="s">
        <v>74</v>
      </c>
      <c r="AC730" t="s">
        <v>74</v>
      </c>
      <c r="AD730" t="s">
        <v>74</v>
      </c>
      <c r="AE730" t="s">
        <v>74</v>
      </c>
      <c r="AF730" t="s">
        <v>74</v>
      </c>
      <c r="AG730" t="s">
        <v>74</v>
      </c>
      <c r="AH730" t="s">
        <v>74</v>
      </c>
      <c r="AI730" t="s">
        <v>74</v>
      </c>
      <c r="AJ730" t="s">
        <v>74</v>
      </c>
      <c r="AK730" t="s">
        <v>74</v>
      </c>
      <c r="AL730" t="s">
        <v>74</v>
      </c>
      <c r="AM730" t="s">
        <v>74</v>
      </c>
      <c r="AN730" t="s">
        <v>74</v>
      </c>
      <c r="AO730" t="s">
        <v>674</v>
      </c>
      <c r="AP730" t="s">
        <v>675</v>
      </c>
      <c r="AQ730" t="s">
        <v>74</v>
      </c>
      <c r="AR730" t="s">
        <v>74</v>
      </c>
      <c r="AS730" t="s">
        <v>74</v>
      </c>
      <c r="AT730" t="s">
        <v>157</v>
      </c>
      <c r="AU730">
        <v>2008</v>
      </c>
      <c r="AV730">
        <v>69</v>
      </c>
      <c r="AW730">
        <v>3</v>
      </c>
      <c r="AX730" t="s">
        <v>74</v>
      </c>
      <c r="AY730" t="s">
        <v>74</v>
      </c>
      <c r="AZ730" t="s">
        <v>74</v>
      </c>
      <c r="BA730" t="s">
        <v>74</v>
      </c>
      <c r="BB730">
        <v>437</v>
      </c>
      <c r="BC730">
        <v>452</v>
      </c>
      <c r="BD730" t="s">
        <v>74</v>
      </c>
      <c r="BE730" t="s">
        <v>5411</v>
      </c>
      <c r="BF730" t="str">
        <f>HYPERLINK("http://dx.doi.org/10.1016/j.ecoenv.2007.01.015","http://dx.doi.org/10.1016/j.ecoenv.2007.01.015")</f>
        <v>http://dx.doi.org/10.1016/j.ecoenv.2007.01.015</v>
      </c>
      <c r="BG730" t="s">
        <v>74</v>
      </c>
      <c r="BH730" t="s">
        <v>74</v>
      </c>
      <c r="BI730" t="s">
        <v>74</v>
      </c>
      <c r="BJ730" t="s">
        <v>74</v>
      </c>
      <c r="BK730" t="s">
        <v>74</v>
      </c>
      <c r="BL730" t="s">
        <v>74</v>
      </c>
      <c r="BM730" t="s">
        <v>74</v>
      </c>
      <c r="BN730">
        <v>17374547</v>
      </c>
      <c r="BO730" t="s">
        <v>74</v>
      </c>
      <c r="BP730" t="s">
        <v>74</v>
      </c>
      <c r="BQ730" t="s">
        <v>74</v>
      </c>
      <c r="BR730" t="s">
        <v>74</v>
      </c>
      <c r="BS730" t="s">
        <v>5412</v>
      </c>
      <c r="BT730" t="str">
        <f>HYPERLINK("https%3A%2F%2Fwww.webofscience.com%2Fwos%2Fwoscc%2Ffull-record%2FWOS:000254728800014","View Full Record in Web of Science")</f>
        <v>View Full Record in Web of Science</v>
      </c>
    </row>
    <row r="731" spans="1:72" x14ac:dyDescent="0.2">
      <c r="A731" t="s">
        <v>72</v>
      </c>
      <c r="B731" t="s">
        <v>5413</v>
      </c>
      <c r="C731" t="s">
        <v>74</v>
      </c>
      <c r="D731" t="s">
        <v>74</v>
      </c>
      <c r="E731" t="s">
        <v>74</v>
      </c>
      <c r="F731" t="s">
        <v>5414</v>
      </c>
      <c r="G731" t="s">
        <v>74</v>
      </c>
      <c r="H731" t="s">
        <v>74</v>
      </c>
      <c r="I731" t="s">
        <v>5415</v>
      </c>
      <c r="J731" t="s">
        <v>4852</v>
      </c>
      <c r="K731" t="s">
        <v>74</v>
      </c>
      <c r="L731" t="s">
        <v>74</v>
      </c>
      <c r="M731" t="s">
        <v>74</v>
      </c>
      <c r="N731" t="s">
        <v>74</v>
      </c>
      <c r="O731" t="s">
        <v>74</v>
      </c>
      <c r="P731" t="s">
        <v>74</v>
      </c>
      <c r="Q731" t="s">
        <v>74</v>
      </c>
      <c r="R731" t="s">
        <v>74</v>
      </c>
      <c r="S731" t="s">
        <v>74</v>
      </c>
      <c r="T731" t="s">
        <v>74</v>
      </c>
      <c r="U731" t="s">
        <v>74</v>
      </c>
      <c r="V731" t="s">
        <v>74</v>
      </c>
      <c r="W731" t="s">
        <v>74</v>
      </c>
      <c r="X731" t="s">
        <v>74</v>
      </c>
      <c r="Y731" t="s">
        <v>74</v>
      </c>
      <c r="Z731" t="s">
        <v>74</v>
      </c>
      <c r="AA731" t="s">
        <v>74</v>
      </c>
      <c r="AB731" t="s">
        <v>74</v>
      </c>
      <c r="AC731" t="s">
        <v>74</v>
      </c>
      <c r="AD731" t="s">
        <v>74</v>
      </c>
      <c r="AE731" t="s">
        <v>74</v>
      </c>
      <c r="AF731" t="s">
        <v>74</v>
      </c>
      <c r="AG731" t="s">
        <v>74</v>
      </c>
      <c r="AH731" t="s">
        <v>74</v>
      </c>
      <c r="AI731" t="s">
        <v>74</v>
      </c>
      <c r="AJ731" t="s">
        <v>74</v>
      </c>
      <c r="AK731" t="s">
        <v>74</v>
      </c>
      <c r="AL731" t="s">
        <v>74</v>
      </c>
      <c r="AM731" t="s">
        <v>74</v>
      </c>
      <c r="AN731" t="s">
        <v>74</v>
      </c>
      <c r="AO731" t="s">
        <v>4855</v>
      </c>
      <c r="AP731" t="s">
        <v>74</v>
      </c>
      <c r="AQ731" t="s">
        <v>74</v>
      </c>
      <c r="AR731" t="s">
        <v>74</v>
      </c>
      <c r="AS731" t="s">
        <v>74</v>
      </c>
      <c r="AT731" t="s">
        <v>315</v>
      </c>
      <c r="AU731">
        <v>2008</v>
      </c>
      <c r="AV731">
        <v>81</v>
      </c>
      <c r="AW731">
        <v>1</v>
      </c>
      <c r="AX731" t="s">
        <v>74</v>
      </c>
      <c r="AY731" t="s">
        <v>74</v>
      </c>
      <c r="AZ731" t="s">
        <v>74</v>
      </c>
      <c r="BA731" t="s">
        <v>74</v>
      </c>
      <c r="BB731">
        <v>101</v>
      </c>
      <c r="BC731">
        <v>110</v>
      </c>
      <c r="BD731" t="s">
        <v>74</v>
      </c>
      <c r="BE731" t="s">
        <v>5416</v>
      </c>
      <c r="BF731" t="str">
        <f>HYPERLINK("http://dx.doi.org/10.1007/s10641-006-9178-1","http://dx.doi.org/10.1007/s10641-006-9178-1")</f>
        <v>http://dx.doi.org/10.1007/s10641-006-9178-1</v>
      </c>
      <c r="BG731" t="s">
        <v>74</v>
      </c>
      <c r="BH731" t="s">
        <v>74</v>
      </c>
      <c r="BI731" t="s">
        <v>74</v>
      </c>
      <c r="BJ731" t="s">
        <v>74</v>
      </c>
      <c r="BK731" t="s">
        <v>74</v>
      </c>
      <c r="BL731" t="s">
        <v>74</v>
      </c>
      <c r="BM731" t="s">
        <v>74</v>
      </c>
      <c r="BN731" t="s">
        <v>74</v>
      </c>
      <c r="BO731" t="s">
        <v>74</v>
      </c>
      <c r="BP731" t="s">
        <v>74</v>
      </c>
      <c r="BQ731" t="s">
        <v>74</v>
      </c>
      <c r="BR731" t="s">
        <v>74</v>
      </c>
      <c r="BS731" t="s">
        <v>5417</v>
      </c>
      <c r="BT731" t="str">
        <f>HYPERLINK("https%3A%2F%2Fwww.webofscience.com%2Fwos%2Fwoscc%2Ffull-record%2FWOS:000250721600012","View Full Record in Web of Science")</f>
        <v>View Full Record in Web of Science</v>
      </c>
    </row>
    <row r="732" spans="1:72" x14ac:dyDescent="0.2">
      <c r="A732" t="s">
        <v>72</v>
      </c>
      <c r="B732" t="s">
        <v>5418</v>
      </c>
      <c r="C732" t="s">
        <v>74</v>
      </c>
      <c r="D732" t="s">
        <v>74</v>
      </c>
      <c r="E732" t="s">
        <v>74</v>
      </c>
      <c r="F732" t="s">
        <v>5419</v>
      </c>
      <c r="G732" t="s">
        <v>74</v>
      </c>
      <c r="H732" t="s">
        <v>74</v>
      </c>
      <c r="I732" t="s">
        <v>5420</v>
      </c>
      <c r="J732" t="s">
        <v>2827</v>
      </c>
      <c r="K732" t="s">
        <v>74</v>
      </c>
      <c r="L732" t="s">
        <v>74</v>
      </c>
      <c r="M732" t="s">
        <v>74</v>
      </c>
      <c r="N732" t="s">
        <v>74</v>
      </c>
      <c r="O732" t="s">
        <v>74</v>
      </c>
      <c r="P732" t="s">
        <v>74</v>
      </c>
      <c r="Q732" t="s">
        <v>74</v>
      </c>
      <c r="R732" t="s">
        <v>74</v>
      </c>
      <c r="S732" t="s">
        <v>74</v>
      </c>
      <c r="T732" t="s">
        <v>74</v>
      </c>
      <c r="U732" t="s">
        <v>74</v>
      </c>
      <c r="V732" t="s">
        <v>74</v>
      </c>
      <c r="W732" t="s">
        <v>74</v>
      </c>
      <c r="X732" t="s">
        <v>74</v>
      </c>
      <c r="Y732" t="s">
        <v>74</v>
      </c>
      <c r="Z732" t="s">
        <v>74</v>
      </c>
      <c r="AA732" t="s">
        <v>7158</v>
      </c>
      <c r="AB732" t="s">
        <v>5421</v>
      </c>
      <c r="AC732" t="s">
        <v>74</v>
      </c>
      <c r="AD732" t="s">
        <v>74</v>
      </c>
      <c r="AE732" t="s">
        <v>74</v>
      </c>
      <c r="AF732" t="s">
        <v>74</v>
      </c>
      <c r="AG732" t="s">
        <v>74</v>
      </c>
      <c r="AH732" t="s">
        <v>74</v>
      </c>
      <c r="AI732" t="s">
        <v>74</v>
      </c>
      <c r="AJ732" t="s">
        <v>74</v>
      </c>
      <c r="AK732" t="s">
        <v>74</v>
      </c>
      <c r="AL732" t="s">
        <v>74</v>
      </c>
      <c r="AM732" t="s">
        <v>74</v>
      </c>
      <c r="AN732" t="s">
        <v>74</v>
      </c>
      <c r="AO732" t="s">
        <v>2828</v>
      </c>
      <c r="AP732" t="s">
        <v>2829</v>
      </c>
      <c r="AQ732" t="s">
        <v>74</v>
      </c>
      <c r="AR732" t="s">
        <v>74</v>
      </c>
      <c r="AS732" t="s">
        <v>74</v>
      </c>
      <c r="AT732" t="s">
        <v>74</v>
      </c>
      <c r="AU732">
        <v>2008</v>
      </c>
      <c r="AV732">
        <v>367</v>
      </c>
      <c r="AW732" t="s">
        <v>74</v>
      </c>
      <c r="AX732" t="s">
        <v>74</v>
      </c>
      <c r="AY732" t="s">
        <v>74</v>
      </c>
      <c r="AZ732" t="s">
        <v>74</v>
      </c>
      <c r="BA732" t="s">
        <v>74</v>
      </c>
      <c r="BB732">
        <v>15</v>
      </c>
      <c r="BC732">
        <v>22</v>
      </c>
      <c r="BD732" t="s">
        <v>74</v>
      </c>
      <c r="BE732" t="s">
        <v>5422</v>
      </c>
      <c r="BF732" t="str">
        <f>HYPERLINK("http://dx.doi.org/10.3354/meps07572","http://dx.doi.org/10.3354/meps07572")</f>
        <v>http://dx.doi.org/10.3354/meps07572</v>
      </c>
      <c r="BG732" t="s">
        <v>74</v>
      </c>
      <c r="BH732" t="s">
        <v>74</v>
      </c>
      <c r="BI732" t="s">
        <v>74</v>
      </c>
      <c r="BJ732" t="s">
        <v>74</v>
      </c>
      <c r="BK732" t="s">
        <v>74</v>
      </c>
      <c r="BL732" t="s">
        <v>74</v>
      </c>
      <c r="BM732" t="s">
        <v>74</v>
      </c>
      <c r="BN732" t="s">
        <v>74</v>
      </c>
      <c r="BO732" t="s">
        <v>74</v>
      </c>
      <c r="BP732" t="s">
        <v>74</v>
      </c>
      <c r="BQ732" t="s">
        <v>74</v>
      </c>
      <c r="BR732" t="s">
        <v>74</v>
      </c>
      <c r="BS732" t="s">
        <v>5423</v>
      </c>
      <c r="BT732" t="str">
        <f>HYPERLINK("https%3A%2F%2Fwww.webofscience.com%2Fwos%2Fwoscc%2Ffull-record%2FWOS:000260017900002","View Full Record in Web of Science")</f>
        <v>View Full Record in Web of Science</v>
      </c>
    </row>
    <row r="733" spans="1:72" x14ac:dyDescent="0.2">
      <c r="A733" t="s">
        <v>72</v>
      </c>
      <c r="B733" t="s">
        <v>5424</v>
      </c>
      <c r="C733" t="s">
        <v>74</v>
      </c>
      <c r="D733" t="s">
        <v>74</v>
      </c>
      <c r="E733" t="s">
        <v>74</v>
      </c>
      <c r="F733" t="s">
        <v>5425</v>
      </c>
      <c r="G733" t="s">
        <v>74</v>
      </c>
      <c r="H733" t="s">
        <v>74</v>
      </c>
      <c r="I733" t="s">
        <v>5426</v>
      </c>
      <c r="J733" t="s">
        <v>5427</v>
      </c>
      <c r="K733" t="s">
        <v>5428</v>
      </c>
      <c r="L733" t="s">
        <v>74</v>
      </c>
      <c r="M733" t="s">
        <v>74</v>
      </c>
      <c r="N733" t="s">
        <v>74</v>
      </c>
      <c r="O733" t="s">
        <v>74</v>
      </c>
      <c r="P733" t="s">
        <v>74</v>
      </c>
      <c r="Q733" t="s">
        <v>74</v>
      </c>
      <c r="R733" t="s">
        <v>74</v>
      </c>
      <c r="S733" t="s">
        <v>74</v>
      </c>
      <c r="T733" t="s">
        <v>74</v>
      </c>
      <c r="U733" t="s">
        <v>74</v>
      </c>
      <c r="V733" t="s">
        <v>74</v>
      </c>
      <c r="W733" t="s">
        <v>74</v>
      </c>
      <c r="X733" t="s">
        <v>74</v>
      </c>
      <c r="Y733" t="s">
        <v>74</v>
      </c>
      <c r="Z733" t="s">
        <v>74</v>
      </c>
      <c r="AA733" t="s">
        <v>4383</v>
      </c>
      <c r="AB733" t="s">
        <v>4384</v>
      </c>
      <c r="AC733" t="s">
        <v>74</v>
      </c>
      <c r="AD733" t="s">
        <v>74</v>
      </c>
      <c r="AE733" t="s">
        <v>74</v>
      </c>
      <c r="AF733" t="s">
        <v>74</v>
      </c>
      <c r="AG733" t="s">
        <v>74</v>
      </c>
      <c r="AH733" t="s">
        <v>74</v>
      </c>
      <c r="AI733" t="s">
        <v>74</v>
      </c>
      <c r="AJ733" t="s">
        <v>74</v>
      </c>
      <c r="AK733" t="s">
        <v>74</v>
      </c>
      <c r="AL733" t="s">
        <v>74</v>
      </c>
      <c r="AM733" t="s">
        <v>74</v>
      </c>
      <c r="AN733" t="s">
        <v>74</v>
      </c>
      <c r="AO733" t="s">
        <v>5429</v>
      </c>
      <c r="AP733" t="s">
        <v>5430</v>
      </c>
      <c r="AQ733" t="s">
        <v>74</v>
      </c>
      <c r="AR733" t="s">
        <v>74</v>
      </c>
      <c r="AS733" t="s">
        <v>74</v>
      </c>
      <c r="AT733" t="s">
        <v>74</v>
      </c>
      <c r="AU733">
        <v>2008</v>
      </c>
      <c r="AV733">
        <v>39</v>
      </c>
      <c r="AW733" t="s">
        <v>74</v>
      </c>
      <c r="AX733" t="s">
        <v>74</v>
      </c>
      <c r="AY733" t="s">
        <v>74</v>
      </c>
      <c r="AZ733" t="s">
        <v>74</v>
      </c>
      <c r="BA733" t="s">
        <v>74</v>
      </c>
      <c r="BB733">
        <v>615</v>
      </c>
      <c r="BC733">
        <v>639</v>
      </c>
      <c r="BD733" t="s">
        <v>74</v>
      </c>
      <c r="BE733" t="s">
        <v>5431</v>
      </c>
      <c r="BF733" t="str">
        <f>HYPERLINK("http://dx.doi.org/10.1146/annurev.ecolsys.39.110707.173549","http://dx.doi.org/10.1146/annurev.ecolsys.39.110707.173549")</f>
        <v>http://dx.doi.org/10.1146/annurev.ecolsys.39.110707.173549</v>
      </c>
      <c r="BG733" t="s">
        <v>74</v>
      </c>
      <c r="BH733" t="s">
        <v>74</v>
      </c>
      <c r="BI733" t="s">
        <v>74</v>
      </c>
      <c r="BJ733" t="s">
        <v>74</v>
      </c>
      <c r="BK733" t="s">
        <v>74</v>
      </c>
      <c r="BL733" t="s">
        <v>74</v>
      </c>
      <c r="BM733" t="s">
        <v>74</v>
      </c>
      <c r="BN733" t="s">
        <v>74</v>
      </c>
      <c r="BO733" t="s">
        <v>74</v>
      </c>
      <c r="BP733" t="s">
        <v>74</v>
      </c>
      <c r="BQ733" t="s">
        <v>74</v>
      </c>
      <c r="BR733" t="s">
        <v>74</v>
      </c>
      <c r="BS733" t="s">
        <v>5432</v>
      </c>
      <c r="BT733" t="str">
        <f>HYPERLINK("https%3A%2F%2Fwww.webofscience.com%2Fwos%2Fwoscc%2Ffull-record%2FWOS:000261725500029","View Full Record in Web of Science")</f>
        <v>View Full Record in Web of Science</v>
      </c>
    </row>
    <row r="734" spans="1:72" x14ac:dyDescent="0.2">
      <c r="A734" t="s">
        <v>72</v>
      </c>
      <c r="B734" t="s">
        <v>5433</v>
      </c>
      <c r="C734" t="s">
        <v>74</v>
      </c>
      <c r="D734" t="s">
        <v>74</v>
      </c>
      <c r="E734" t="s">
        <v>74</v>
      </c>
      <c r="F734" t="s">
        <v>5434</v>
      </c>
      <c r="G734" t="s">
        <v>74</v>
      </c>
      <c r="H734" t="s">
        <v>74</v>
      </c>
      <c r="I734" t="s">
        <v>5435</v>
      </c>
      <c r="J734" t="s">
        <v>5436</v>
      </c>
      <c r="K734" t="s">
        <v>74</v>
      </c>
      <c r="L734" t="s">
        <v>74</v>
      </c>
      <c r="M734" t="s">
        <v>74</v>
      </c>
      <c r="N734" t="s">
        <v>74</v>
      </c>
      <c r="O734" t="s">
        <v>74</v>
      </c>
      <c r="P734" t="s">
        <v>74</v>
      </c>
      <c r="Q734" t="s">
        <v>74</v>
      </c>
      <c r="R734" t="s">
        <v>74</v>
      </c>
      <c r="S734" t="s">
        <v>74</v>
      </c>
      <c r="T734" t="s">
        <v>74</v>
      </c>
      <c r="U734" t="s">
        <v>74</v>
      </c>
      <c r="V734" t="s">
        <v>74</v>
      </c>
      <c r="W734" t="s">
        <v>74</v>
      </c>
      <c r="X734" t="s">
        <v>74</v>
      </c>
      <c r="Y734" t="s">
        <v>74</v>
      </c>
      <c r="Z734" t="s">
        <v>74</v>
      </c>
      <c r="AA734" t="s">
        <v>7159</v>
      </c>
      <c r="AB734" t="s">
        <v>7160</v>
      </c>
      <c r="AC734" t="s">
        <v>74</v>
      </c>
      <c r="AD734" t="s">
        <v>74</v>
      </c>
      <c r="AE734" t="s">
        <v>74</v>
      </c>
      <c r="AF734" t="s">
        <v>74</v>
      </c>
      <c r="AG734" t="s">
        <v>74</v>
      </c>
      <c r="AH734" t="s">
        <v>74</v>
      </c>
      <c r="AI734" t="s">
        <v>74</v>
      </c>
      <c r="AJ734" t="s">
        <v>74</v>
      </c>
      <c r="AK734" t="s">
        <v>74</v>
      </c>
      <c r="AL734" t="s">
        <v>74</v>
      </c>
      <c r="AM734" t="s">
        <v>74</v>
      </c>
      <c r="AN734" t="s">
        <v>74</v>
      </c>
      <c r="AO734" t="s">
        <v>5439</v>
      </c>
      <c r="AP734" t="s">
        <v>74</v>
      </c>
      <c r="AQ734" t="s">
        <v>74</v>
      </c>
      <c r="AR734" t="s">
        <v>74</v>
      </c>
      <c r="AS734" t="s">
        <v>74</v>
      </c>
      <c r="AT734" t="s">
        <v>74</v>
      </c>
      <c r="AU734">
        <v>2008</v>
      </c>
      <c r="AV734">
        <v>44</v>
      </c>
      <c r="AW734">
        <v>3</v>
      </c>
      <c r="AX734" t="s">
        <v>74</v>
      </c>
      <c r="AY734" t="s">
        <v>74</v>
      </c>
      <c r="AZ734" t="s">
        <v>74</v>
      </c>
      <c r="BA734" t="s">
        <v>74</v>
      </c>
      <c r="BB734">
        <v>169</v>
      </c>
      <c r="BC734">
        <v>179</v>
      </c>
      <c r="BD734" t="s">
        <v>74</v>
      </c>
      <c r="BE734" t="s">
        <v>5440</v>
      </c>
      <c r="BF734" t="str">
        <f>HYPERLINK("http://dx.doi.org/10.1051/limn:2008001","http://dx.doi.org/10.1051/limn:2008001")</f>
        <v>http://dx.doi.org/10.1051/limn:2008001</v>
      </c>
      <c r="BG734" t="s">
        <v>74</v>
      </c>
      <c r="BH734" t="s">
        <v>74</v>
      </c>
      <c r="BI734" t="s">
        <v>74</v>
      </c>
      <c r="BJ734" t="s">
        <v>74</v>
      </c>
      <c r="BK734" t="s">
        <v>74</v>
      </c>
      <c r="BL734" t="s">
        <v>74</v>
      </c>
      <c r="BM734" t="s">
        <v>74</v>
      </c>
      <c r="BN734" t="s">
        <v>74</v>
      </c>
      <c r="BO734" t="s">
        <v>74</v>
      </c>
      <c r="BP734" t="s">
        <v>74</v>
      </c>
      <c r="BQ734" t="s">
        <v>74</v>
      </c>
      <c r="BR734" t="s">
        <v>74</v>
      </c>
      <c r="BS734" t="s">
        <v>5441</v>
      </c>
      <c r="BT734" t="str">
        <f>HYPERLINK("https%3A%2F%2Fwww.webofscience.com%2Fwos%2Fwoscc%2Ffull-record%2FWOS:000259736500001","View Full Record in Web of Science")</f>
        <v>View Full Record in Web of Science</v>
      </c>
    </row>
    <row r="735" spans="1:72" x14ac:dyDescent="0.2">
      <c r="A735" t="s">
        <v>72</v>
      </c>
      <c r="B735" t="s">
        <v>5442</v>
      </c>
      <c r="C735" t="s">
        <v>74</v>
      </c>
      <c r="D735" t="s">
        <v>74</v>
      </c>
      <c r="E735" t="s">
        <v>74</v>
      </c>
      <c r="F735" t="s">
        <v>5443</v>
      </c>
      <c r="G735" t="s">
        <v>74</v>
      </c>
      <c r="H735" t="s">
        <v>74</v>
      </c>
      <c r="I735" t="s">
        <v>5444</v>
      </c>
      <c r="J735" t="s">
        <v>244</v>
      </c>
      <c r="K735" t="s">
        <v>74</v>
      </c>
      <c r="L735" t="s">
        <v>74</v>
      </c>
      <c r="M735" t="s">
        <v>74</v>
      </c>
      <c r="N735" t="s">
        <v>74</v>
      </c>
      <c r="O735" t="s">
        <v>74</v>
      </c>
      <c r="P735" t="s">
        <v>74</v>
      </c>
      <c r="Q735" t="s">
        <v>74</v>
      </c>
      <c r="R735" t="s">
        <v>74</v>
      </c>
      <c r="S735" t="s">
        <v>74</v>
      </c>
      <c r="T735" t="s">
        <v>74</v>
      </c>
      <c r="U735" t="s">
        <v>74</v>
      </c>
      <c r="V735" t="s">
        <v>74</v>
      </c>
      <c r="W735" t="s">
        <v>74</v>
      </c>
      <c r="X735" t="s">
        <v>74</v>
      </c>
      <c r="Y735" t="s">
        <v>74</v>
      </c>
      <c r="Z735" t="s">
        <v>74</v>
      </c>
      <c r="AA735" t="s">
        <v>5445</v>
      </c>
      <c r="AB735" t="s">
        <v>5446</v>
      </c>
      <c r="AC735" t="s">
        <v>74</v>
      </c>
      <c r="AD735" t="s">
        <v>74</v>
      </c>
      <c r="AE735" t="s">
        <v>74</v>
      </c>
      <c r="AF735" t="s">
        <v>74</v>
      </c>
      <c r="AG735" t="s">
        <v>74</v>
      </c>
      <c r="AH735" t="s">
        <v>74</v>
      </c>
      <c r="AI735" t="s">
        <v>74</v>
      </c>
      <c r="AJ735" t="s">
        <v>74</v>
      </c>
      <c r="AK735" t="s">
        <v>74</v>
      </c>
      <c r="AL735" t="s">
        <v>74</v>
      </c>
      <c r="AM735" t="s">
        <v>74</v>
      </c>
      <c r="AN735" t="s">
        <v>74</v>
      </c>
      <c r="AO735" t="s">
        <v>247</v>
      </c>
      <c r="AP735" t="s">
        <v>248</v>
      </c>
      <c r="AQ735" t="s">
        <v>74</v>
      </c>
      <c r="AR735" t="s">
        <v>74</v>
      </c>
      <c r="AS735" t="s">
        <v>74</v>
      </c>
      <c r="AT735" t="s">
        <v>74</v>
      </c>
      <c r="AU735">
        <v>2008</v>
      </c>
      <c r="AV735">
        <v>59</v>
      </c>
      <c r="AW735">
        <v>8</v>
      </c>
      <c r="AX735" t="s">
        <v>74</v>
      </c>
      <c r="AY735" t="s">
        <v>74</v>
      </c>
      <c r="AZ735" t="s">
        <v>74</v>
      </c>
      <c r="BA735" t="s">
        <v>74</v>
      </c>
      <c r="BB735">
        <v>717</v>
      </c>
      <c r="BC735">
        <v>725</v>
      </c>
      <c r="BD735" t="s">
        <v>74</v>
      </c>
      <c r="BE735" t="s">
        <v>5447</v>
      </c>
      <c r="BF735" t="str">
        <f>HYPERLINK("http://dx.doi.org/10.1071/MF08023","http://dx.doi.org/10.1071/MF08023")</f>
        <v>http://dx.doi.org/10.1071/MF08023</v>
      </c>
      <c r="BG735" t="s">
        <v>74</v>
      </c>
      <c r="BH735" t="s">
        <v>74</v>
      </c>
      <c r="BI735" t="s">
        <v>74</v>
      </c>
      <c r="BJ735" t="s">
        <v>74</v>
      </c>
      <c r="BK735" t="s">
        <v>74</v>
      </c>
      <c r="BL735" t="s">
        <v>74</v>
      </c>
      <c r="BM735" t="s">
        <v>74</v>
      </c>
      <c r="BN735" t="s">
        <v>74</v>
      </c>
      <c r="BO735" t="s">
        <v>74</v>
      </c>
      <c r="BP735" t="s">
        <v>74</v>
      </c>
      <c r="BQ735" t="s">
        <v>74</v>
      </c>
      <c r="BR735" t="s">
        <v>74</v>
      </c>
      <c r="BS735" t="s">
        <v>5448</v>
      </c>
      <c r="BT735" t="str">
        <f>HYPERLINK("https%3A%2F%2Fwww.webofscience.com%2Fwos%2Fwoscc%2Ffull-record%2FWOS:000258642400007","View Full Record in Web of Science")</f>
        <v>View Full Record in Web of Science</v>
      </c>
    </row>
    <row r="736" spans="1:72" x14ac:dyDescent="0.2">
      <c r="A736" t="s">
        <v>72</v>
      </c>
      <c r="B736" t="s">
        <v>5449</v>
      </c>
      <c r="C736" t="s">
        <v>74</v>
      </c>
      <c r="D736" t="s">
        <v>74</v>
      </c>
      <c r="E736" t="s">
        <v>74</v>
      </c>
      <c r="F736" t="s">
        <v>5450</v>
      </c>
      <c r="G736" t="s">
        <v>74</v>
      </c>
      <c r="H736" t="s">
        <v>74</v>
      </c>
      <c r="I736" t="s">
        <v>5451</v>
      </c>
      <c r="J736" t="s">
        <v>5452</v>
      </c>
      <c r="K736" t="s">
        <v>74</v>
      </c>
      <c r="L736" t="s">
        <v>74</v>
      </c>
      <c r="M736" t="s">
        <v>74</v>
      </c>
      <c r="N736" t="s">
        <v>74</v>
      </c>
      <c r="O736" t="s">
        <v>74</v>
      </c>
      <c r="P736" t="s">
        <v>74</v>
      </c>
      <c r="Q736" t="s">
        <v>74</v>
      </c>
      <c r="R736" t="s">
        <v>74</v>
      </c>
      <c r="S736" t="s">
        <v>74</v>
      </c>
      <c r="T736" t="s">
        <v>74</v>
      </c>
      <c r="U736" t="s">
        <v>74</v>
      </c>
      <c r="V736" t="s">
        <v>74</v>
      </c>
      <c r="W736" t="s">
        <v>74</v>
      </c>
      <c r="X736" t="s">
        <v>74</v>
      </c>
      <c r="Y736" t="s">
        <v>74</v>
      </c>
      <c r="Z736" t="s">
        <v>74</v>
      </c>
      <c r="AA736" t="s">
        <v>5453</v>
      </c>
      <c r="AB736" t="s">
        <v>5454</v>
      </c>
      <c r="AC736" t="s">
        <v>74</v>
      </c>
      <c r="AD736" t="s">
        <v>74</v>
      </c>
      <c r="AE736" t="s">
        <v>74</v>
      </c>
      <c r="AF736" t="s">
        <v>74</v>
      </c>
      <c r="AG736" t="s">
        <v>74</v>
      </c>
      <c r="AH736" t="s">
        <v>74</v>
      </c>
      <c r="AI736" t="s">
        <v>74</v>
      </c>
      <c r="AJ736" t="s">
        <v>74</v>
      </c>
      <c r="AK736" t="s">
        <v>74</v>
      </c>
      <c r="AL736" t="s">
        <v>74</v>
      </c>
      <c r="AM736" t="s">
        <v>74</v>
      </c>
      <c r="AN736" t="s">
        <v>74</v>
      </c>
      <c r="AO736" t="s">
        <v>5455</v>
      </c>
      <c r="AP736" t="s">
        <v>74</v>
      </c>
      <c r="AQ736" t="s">
        <v>74</v>
      </c>
      <c r="AR736" t="s">
        <v>74</v>
      </c>
      <c r="AS736" t="s">
        <v>74</v>
      </c>
      <c r="AT736" t="s">
        <v>3834</v>
      </c>
      <c r="AU736">
        <v>2008</v>
      </c>
      <c r="AV736">
        <v>69</v>
      </c>
      <c r="AW736">
        <v>1</v>
      </c>
      <c r="AX736" t="s">
        <v>74</v>
      </c>
      <c r="AY736" t="s">
        <v>74</v>
      </c>
      <c r="AZ736" t="s">
        <v>74</v>
      </c>
      <c r="BA736" t="s">
        <v>74</v>
      </c>
      <c r="BB736">
        <v>44</v>
      </c>
      <c r="BC736">
        <v>56</v>
      </c>
      <c r="BD736" t="s">
        <v>74</v>
      </c>
      <c r="BE736" t="s">
        <v>74</v>
      </c>
      <c r="BF736" t="s">
        <v>74</v>
      </c>
      <c r="BG736" t="s">
        <v>74</v>
      </c>
      <c r="BH736" t="s">
        <v>74</v>
      </c>
      <c r="BI736" t="s">
        <v>74</v>
      </c>
      <c r="BJ736" t="s">
        <v>74</v>
      </c>
      <c r="BK736" t="s">
        <v>74</v>
      </c>
      <c r="BL736" t="s">
        <v>74</v>
      </c>
      <c r="BM736" t="s">
        <v>74</v>
      </c>
      <c r="BN736">
        <v>18409400</v>
      </c>
      <c r="BO736" t="s">
        <v>74</v>
      </c>
      <c r="BP736" t="s">
        <v>74</v>
      </c>
      <c r="BQ736" t="s">
        <v>74</v>
      </c>
      <c r="BR736" t="s">
        <v>74</v>
      </c>
      <c r="BS736" t="s">
        <v>5456</v>
      </c>
      <c r="BT736" t="str">
        <f>HYPERLINK("https%3A%2F%2Fwww.webofscience.com%2Fwos%2Fwoscc%2Ffull-record%2FWOS:000253332100005","View Full Record in Web of Science")</f>
        <v>View Full Record in Web of Science</v>
      </c>
    </row>
    <row r="737" spans="1:72" x14ac:dyDescent="0.2">
      <c r="A737" t="s">
        <v>72</v>
      </c>
      <c r="B737" t="s">
        <v>5457</v>
      </c>
      <c r="C737" t="s">
        <v>74</v>
      </c>
      <c r="D737" t="s">
        <v>74</v>
      </c>
      <c r="E737" t="s">
        <v>74</v>
      </c>
      <c r="F737" t="s">
        <v>5458</v>
      </c>
      <c r="G737" t="s">
        <v>74</v>
      </c>
      <c r="H737" t="s">
        <v>74</v>
      </c>
      <c r="I737" t="s">
        <v>5459</v>
      </c>
      <c r="J737" t="s">
        <v>1992</v>
      </c>
      <c r="K737" t="s">
        <v>74</v>
      </c>
      <c r="L737" t="s">
        <v>74</v>
      </c>
      <c r="M737" t="s">
        <v>74</v>
      </c>
      <c r="N737" t="s">
        <v>74</v>
      </c>
      <c r="O737" t="s">
        <v>74</v>
      </c>
      <c r="P737" t="s">
        <v>74</v>
      </c>
      <c r="Q737" t="s">
        <v>74</v>
      </c>
      <c r="R737" t="s">
        <v>74</v>
      </c>
      <c r="S737" t="s">
        <v>74</v>
      </c>
      <c r="T737" t="s">
        <v>74</v>
      </c>
      <c r="U737" t="s">
        <v>74</v>
      </c>
      <c r="V737" t="s">
        <v>74</v>
      </c>
      <c r="W737" t="s">
        <v>74</v>
      </c>
      <c r="X737" t="s">
        <v>74</v>
      </c>
      <c r="Y737" t="s">
        <v>74</v>
      </c>
      <c r="Z737" t="s">
        <v>74</v>
      </c>
      <c r="AA737" t="s">
        <v>5460</v>
      </c>
      <c r="AB737" t="s">
        <v>5461</v>
      </c>
      <c r="AC737" t="s">
        <v>74</v>
      </c>
      <c r="AD737" t="s">
        <v>74</v>
      </c>
      <c r="AE737" t="s">
        <v>74</v>
      </c>
      <c r="AF737" t="s">
        <v>74</v>
      </c>
      <c r="AG737" t="s">
        <v>74</v>
      </c>
      <c r="AH737" t="s">
        <v>74</v>
      </c>
      <c r="AI737" t="s">
        <v>74</v>
      </c>
      <c r="AJ737" t="s">
        <v>74</v>
      </c>
      <c r="AK737" t="s">
        <v>74</v>
      </c>
      <c r="AL737" t="s">
        <v>74</v>
      </c>
      <c r="AM737" t="s">
        <v>74</v>
      </c>
      <c r="AN737" t="s">
        <v>74</v>
      </c>
      <c r="AO737" t="s">
        <v>1995</v>
      </c>
      <c r="AP737" t="s">
        <v>1996</v>
      </c>
      <c r="AQ737" t="s">
        <v>74</v>
      </c>
      <c r="AR737" t="s">
        <v>74</v>
      </c>
      <c r="AS737" t="s">
        <v>74</v>
      </c>
      <c r="AT737" t="s">
        <v>5462</v>
      </c>
      <c r="AU737">
        <v>2007</v>
      </c>
      <c r="AV737" t="s">
        <v>74</v>
      </c>
      <c r="AW737">
        <v>1656</v>
      </c>
      <c r="AX737" t="s">
        <v>74</v>
      </c>
      <c r="AY737" t="s">
        <v>74</v>
      </c>
      <c r="AZ737" t="s">
        <v>74</v>
      </c>
      <c r="BA737" t="s">
        <v>74</v>
      </c>
      <c r="BB737">
        <v>1</v>
      </c>
      <c r="BC737">
        <v>49</v>
      </c>
      <c r="BD737" t="s">
        <v>74</v>
      </c>
      <c r="BE737" t="s">
        <v>74</v>
      </c>
      <c r="BF737" t="s">
        <v>74</v>
      </c>
      <c r="BG737" t="s">
        <v>74</v>
      </c>
      <c r="BH737" t="s">
        <v>74</v>
      </c>
      <c r="BI737" t="s">
        <v>74</v>
      </c>
      <c r="BJ737" t="s">
        <v>74</v>
      </c>
      <c r="BK737" t="s">
        <v>74</v>
      </c>
      <c r="BL737" t="s">
        <v>74</v>
      </c>
      <c r="BM737" t="s">
        <v>74</v>
      </c>
      <c r="BN737" t="s">
        <v>74</v>
      </c>
      <c r="BO737" t="s">
        <v>74</v>
      </c>
      <c r="BP737" t="s">
        <v>74</v>
      </c>
      <c r="BQ737" t="s">
        <v>74</v>
      </c>
      <c r="BR737" t="s">
        <v>74</v>
      </c>
      <c r="BS737" t="s">
        <v>5463</v>
      </c>
      <c r="BT737" t="str">
        <f>HYPERLINK("https%3A%2F%2Fwww.webofscience.com%2Fwos%2Fwoscc%2Ffull-record%2FWOS:000251533200001","View Full Record in Web of Science")</f>
        <v>View Full Record in Web of Science</v>
      </c>
    </row>
    <row r="738" spans="1:72" x14ac:dyDescent="0.2">
      <c r="A738" t="s">
        <v>72</v>
      </c>
      <c r="B738" t="s">
        <v>5464</v>
      </c>
      <c r="C738" t="s">
        <v>74</v>
      </c>
      <c r="D738" t="s">
        <v>74</v>
      </c>
      <c r="E738" t="s">
        <v>74</v>
      </c>
      <c r="F738" t="s">
        <v>5465</v>
      </c>
      <c r="G738" t="s">
        <v>74</v>
      </c>
      <c r="H738" t="s">
        <v>74</v>
      </c>
      <c r="I738" t="s">
        <v>5466</v>
      </c>
      <c r="J738" t="s">
        <v>145</v>
      </c>
      <c r="K738" t="s">
        <v>74</v>
      </c>
      <c r="L738" t="s">
        <v>74</v>
      </c>
      <c r="M738" t="s">
        <v>74</v>
      </c>
      <c r="N738" t="s">
        <v>74</v>
      </c>
      <c r="O738" t="s">
        <v>74</v>
      </c>
      <c r="P738" t="s">
        <v>74</v>
      </c>
      <c r="Q738" t="s">
        <v>74</v>
      </c>
      <c r="R738" t="s">
        <v>74</v>
      </c>
      <c r="S738" t="s">
        <v>74</v>
      </c>
      <c r="T738" t="s">
        <v>74</v>
      </c>
      <c r="U738" t="s">
        <v>74</v>
      </c>
      <c r="V738" t="s">
        <v>74</v>
      </c>
      <c r="W738" t="s">
        <v>74</v>
      </c>
      <c r="X738" t="s">
        <v>74</v>
      </c>
      <c r="Y738" t="s">
        <v>74</v>
      </c>
      <c r="Z738" t="s">
        <v>74</v>
      </c>
      <c r="AA738" t="s">
        <v>5467</v>
      </c>
      <c r="AB738" t="s">
        <v>5468</v>
      </c>
      <c r="AC738" t="s">
        <v>74</v>
      </c>
      <c r="AD738" t="s">
        <v>74</v>
      </c>
      <c r="AE738" t="s">
        <v>74</v>
      </c>
      <c r="AF738" t="s">
        <v>74</v>
      </c>
      <c r="AG738" t="s">
        <v>74</v>
      </c>
      <c r="AH738" t="s">
        <v>74</v>
      </c>
      <c r="AI738" t="s">
        <v>74</v>
      </c>
      <c r="AJ738" t="s">
        <v>74</v>
      </c>
      <c r="AK738" t="s">
        <v>74</v>
      </c>
      <c r="AL738" t="s">
        <v>74</v>
      </c>
      <c r="AM738" t="s">
        <v>74</v>
      </c>
      <c r="AN738" t="s">
        <v>74</v>
      </c>
      <c r="AO738" t="s">
        <v>146</v>
      </c>
      <c r="AP738" t="s">
        <v>74</v>
      </c>
      <c r="AQ738" t="s">
        <v>74</v>
      </c>
      <c r="AR738" t="s">
        <v>74</v>
      </c>
      <c r="AS738" t="s">
        <v>74</v>
      </c>
      <c r="AT738" t="s">
        <v>1015</v>
      </c>
      <c r="AU738">
        <v>2007</v>
      </c>
      <c r="AV738">
        <v>387</v>
      </c>
      <c r="AW738" t="s">
        <v>5469</v>
      </c>
      <c r="AX738" t="s">
        <v>74</v>
      </c>
      <c r="AY738" t="s">
        <v>74</v>
      </c>
      <c r="AZ738" t="s">
        <v>74</v>
      </c>
      <c r="BA738" t="s">
        <v>74</v>
      </c>
      <c r="BB738">
        <v>141</v>
      </c>
      <c r="BC738">
        <v>154</v>
      </c>
      <c r="BD738" t="s">
        <v>74</v>
      </c>
      <c r="BE738" t="s">
        <v>5470</v>
      </c>
      <c r="BF738" t="str">
        <f>HYPERLINK("http://dx.doi.org/10.1016/j.scitotenv.2007.07.016","http://dx.doi.org/10.1016/j.scitotenv.2007.07.016")</f>
        <v>http://dx.doi.org/10.1016/j.scitotenv.2007.07.016</v>
      </c>
      <c r="BG738" t="s">
        <v>74</v>
      </c>
      <c r="BH738" t="s">
        <v>74</v>
      </c>
      <c r="BI738" t="s">
        <v>74</v>
      </c>
      <c r="BJ738" t="s">
        <v>74</v>
      </c>
      <c r="BK738" t="s">
        <v>74</v>
      </c>
      <c r="BL738" t="s">
        <v>74</v>
      </c>
      <c r="BM738" t="s">
        <v>74</v>
      </c>
      <c r="BN738">
        <v>17765293</v>
      </c>
      <c r="BO738" t="s">
        <v>74</v>
      </c>
      <c r="BP738" t="s">
        <v>74</v>
      </c>
      <c r="BQ738" t="s">
        <v>74</v>
      </c>
      <c r="BR738" t="s">
        <v>74</v>
      </c>
      <c r="BS738" t="s">
        <v>5471</v>
      </c>
      <c r="BT738" t="str">
        <f>HYPERLINK("https%3A%2F%2Fwww.webofscience.com%2Fwos%2Fwoscc%2Ffull-record%2FWOS:000250420200013","View Full Record in Web of Science")</f>
        <v>View Full Record in Web of Science</v>
      </c>
    </row>
    <row r="739" spans="1:72" x14ac:dyDescent="0.2">
      <c r="A739" t="s">
        <v>72</v>
      </c>
      <c r="B739" t="s">
        <v>5472</v>
      </c>
      <c r="C739" t="s">
        <v>74</v>
      </c>
      <c r="D739" t="s">
        <v>74</v>
      </c>
      <c r="E739" t="s">
        <v>74</v>
      </c>
      <c r="F739" t="s">
        <v>5473</v>
      </c>
      <c r="G739" t="s">
        <v>74</v>
      </c>
      <c r="H739" t="s">
        <v>74</v>
      </c>
      <c r="I739" t="s">
        <v>5474</v>
      </c>
      <c r="J739" t="s">
        <v>673</v>
      </c>
      <c r="K739" t="s">
        <v>74</v>
      </c>
      <c r="L739" t="s">
        <v>74</v>
      </c>
      <c r="M739" t="s">
        <v>74</v>
      </c>
      <c r="N739" t="s">
        <v>74</v>
      </c>
      <c r="O739" t="s">
        <v>74</v>
      </c>
      <c r="P739" t="s">
        <v>74</v>
      </c>
      <c r="Q739" t="s">
        <v>74</v>
      </c>
      <c r="R739" t="s">
        <v>74</v>
      </c>
      <c r="S739" t="s">
        <v>74</v>
      </c>
      <c r="T739" t="s">
        <v>74</v>
      </c>
      <c r="U739" t="s">
        <v>74</v>
      </c>
      <c r="V739" t="s">
        <v>74</v>
      </c>
      <c r="W739" t="s">
        <v>74</v>
      </c>
      <c r="X739" t="s">
        <v>74</v>
      </c>
      <c r="Y739" t="s">
        <v>74</v>
      </c>
      <c r="Z739" t="s">
        <v>74</v>
      </c>
      <c r="AA739" t="s">
        <v>5437</v>
      </c>
      <c r="AB739" t="s">
        <v>5438</v>
      </c>
      <c r="AC739" t="s">
        <v>74</v>
      </c>
      <c r="AD739" t="s">
        <v>74</v>
      </c>
      <c r="AE739" t="s">
        <v>74</v>
      </c>
      <c r="AF739" t="s">
        <v>74</v>
      </c>
      <c r="AG739" t="s">
        <v>74</v>
      </c>
      <c r="AH739" t="s">
        <v>74</v>
      </c>
      <c r="AI739" t="s">
        <v>74</v>
      </c>
      <c r="AJ739" t="s">
        <v>74</v>
      </c>
      <c r="AK739" t="s">
        <v>74</v>
      </c>
      <c r="AL739" t="s">
        <v>74</v>
      </c>
      <c r="AM739" t="s">
        <v>74</v>
      </c>
      <c r="AN739" t="s">
        <v>74</v>
      </c>
      <c r="AO739" t="s">
        <v>674</v>
      </c>
      <c r="AP739" t="s">
        <v>675</v>
      </c>
      <c r="AQ739" t="s">
        <v>74</v>
      </c>
      <c r="AR739" t="s">
        <v>74</v>
      </c>
      <c r="AS739" t="s">
        <v>74</v>
      </c>
      <c r="AT739" t="s">
        <v>335</v>
      </c>
      <c r="AU739">
        <v>2007</v>
      </c>
      <c r="AV739">
        <v>68</v>
      </c>
      <c r="AW739">
        <v>3</v>
      </c>
      <c r="AX739" t="s">
        <v>74</v>
      </c>
      <c r="AY739" t="s">
        <v>74</v>
      </c>
      <c r="AZ739" t="s">
        <v>74</v>
      </c>
      <c r="BA739" t="s">
        <v>74</v>
      </c>
      <c r="BB739">
        <v>386</v>
      </c>
      <c r="BC739">
        <v>396</v>
      </c>
      <c r="BD739" t="s">
        <v>74</v>
      </c>
      <c r="BE739" t="s">
        <v>5475</v>
      </c>
      <c r="BF739" t="str">
        <f>HYPERLINK("http://dx.doi.org/10.1016/j.ecoenv.2006.10.012","http://dx.doi.org/10.1016/j.ecoenv.2006.10.012")</f>
        <v>http://dx.doi.org/10.1016/j.ecoenv.2006.10.012</v>
      </c>
      <c r="BG739" t="s">
        <v>74</v>
      </c>
      <c r="BH739" t="s">
        <v>74</v>
      </c>
      <c r="BI739" t="s">
        <v>74</v>
      </c>
      <c r="BJ739" t="s">
        <v>74</v>
      </c>
      <c r="BK739" t="s">
        <v>74</v>
      </c>
      <c r="BL739" t="s">
        <v>74</v>
      </c>
      <c r="BM739" t="s">
        <v>74</v>
      </c>
      <c r="BN739">
        <v>17150251</v>
      </c>
      <c r="BO739" t="s">
        <v>74</v>
      </c>
      <c r="BP739" t="s">
        <v>74</v>
      </c>
      <c r="BQ739" t="s">
        <v>74</v>
      </c>
      <c r="BR739" t="s">
        <v>74</v>
      </c>
      <c r="BS739" t="s">
        <v>5476</v>
      </c>
      <c r="BT739" t="str">
        <f>HYPERLINK("https%3A%2F%2Fwww.webofscience.com%2Fwos%2Fwoscc%2Ffull-record%2FWOS:000251067500009","View Full Record in Web of Science")</f>
        <v>View Full Record in Web of Science</v>
      </c>
    </row>
    <row r="740" spans="1:72" x14ac:dyDescent="0.2">
      <c r="A740" t="s">
        <v>72</v>
      </c>
      <c r="B740" t="s">
        <v>5433</v>
      </c>
      <c r="C740" t="s">
        <v>74</v>
      </c>
      <c r="D740" t="s">
        <v>74</v>
      </c>
      <c r="E740" t="s">
        <v>74</v>
      </c>
      <c r="F740" t="s">
        <v>5477</v>
      </c>
      <c r="G740" t="s">
        <v>74</v>
      </c>
      <c r="H740" t="s">
        <v>74</v>
      </c>
      <c r="I740" t="s">
        <v>5478</v>
      </c>
      <c r="J740" t="s">
        <v>145</v>
      </c>
      <c r="K740" t="s">
        <v>74</v>
      </c>
      <c r="L740" t="s">
        <v>74</v>
      </c>
      <c r="M740" t="s">
        <v>74</v>
      </c>
      <c r="N740" t="s">
        <v>74</v>
      </c>
      <c r="O740" t="s">
        <v>74</v>
      </c>
      <c r="P740" t="s">
        <v>74</v>
      </c>
      <c r="Q740" t="s">
        <v>74</v>
      </c>
      <c r="R740" t="s">
        <v>74</v>
      </c>
      <c r="S740" t="s">
        <v>74</v>
      </c>
      <c r="T740" t="s">
        <v>74</v>
      </c>
      <c r="U740" t="s">
        <v>74</v>
      </c>
      <c r="V740" t="s">
        <v>74</v>
      </c>
      <c r="W740" t="s">
        <v>74</v>
      </c>
      <c r="X740" t="s">
        <v>74</v>
      </c>
      <c r="Y740" t="s">
        <v>74</v>
      </c>
      <c r="Z740" t="s">
        <v>74</v>
      </c>
      <c r="AA740" t="s">
        <v>5437</v>
      </c>
      <c r="AB740" t="s">
        <v>5438</v>
      </c>
      <c r="AC740" t="s">
        <v>74</v>
      </c>
      <c r="AD740" t="s">
        <v>74</v>
      </c>
      <c r="AE740" t="s">
        <v>74</v>
      </c>
      <c r="AF740" t="s">
        <v>74</v>
      </c>
      <c r="AG740" t="s">
        <v>74</v>
      </c>
      <c r="AH740" t="s">
        <v>74</v>
      </c>
      <c r="AI740" t="s">
        <v>74</v>
      </c>
      <c r="AJ740" t="s">
        <v>74</v>
      </c>
      <c r="AK740" t="s">
        <v>74</v>
      </c>
      <c r="AL740" t="s">
        <v>74</v>
      </c>
      <c r="AM740" t="s">
        <v>74</v>
      </c>
      <c r="AN740" t="s">
        <v>74</v>
      </c>
      <c r="AO740" t="s">
        <v>146</v>
      </c>
      <c r="AP740" t="s">
        <v>74</v>
      </c>
      <c r="AQ740" t="s">
        <v>74</v>
      </c>
      <c r="AR740" t="s">
        <v>74</v>
      </c>
      <c r="AS740" t="s">
        <v>74</v>
      </c>
      <c r="AT740" t="s">
        <v>474</v>
      </c>
      <c r="AU740">
        <v>2007</v>
      </c>
      <c r="AV740">
        <v>386</v>
      </c>
      <c r="AW740" t="s">
        <v>5469</v>
      </c>
      <c r="AX740" t="s">
        <v>74</v>
      </c>
      <c r="AY740" t="s">
        <v>74</v>
      </c>
      <c r="AZ740" t="s">
        <v>74</v>
      </c>
      <c r="BA740" t="s">
        <v>74</v>
      </c>
      <c r="BB740">
        <v>9</v>
      </c>
      <c r="BC740">
        <v>20</v>
      </c>
      <c r="BD740" t="s">
        <v>74</v>
      </c>
      <c r="BE740" t="s">
        <v>5479</v>
      </c>
      <c r="BF740" t="str">
        <f>HYPERLINK("http://dx.doi.org/10.1016/j.scitotenv.2007.07.040","http://dx.doi.org/10.1016/j.scitotenv.2007.07.040")</f>
        <v>http://dx.doi.org/10.1016/j.scitotenv.2007.07.040</v>
      </c>
      <c r="BG740" t="s">
        <v>74</v>
      </c>
      <c r="BH740" t="s">
        <v>74</v>
      </c>
      <c r="BI740" t="s">
        <v>74</v>
      </c>
      <c r="BJ740" t="s">
        <v>74</v>
      </c>
      <c r="BK740" t="s">
        <v>74</v>
      </c>
      <c r="BL740" t="s">
        <v>74</v>
      </c>
      <c r="BM740" t="s">
        <v>74</v>
      </c>
      <c r="BN740">
        <v>17727918</v>
      </c>
      <c r="BO740" t="s">
        <v>74</v>
      </c>
      <c r="BP740" t="s">
        <v>74</v>
      </c>
      <c r="BQ740" t="s">
        <v>74</v>
      </c>
      <c r="BR740" t="s">
        <v>74</v>
      </c>
      <c r="BS740" t="s">
        <v>5480</v>
      </c>
      <c r="BT740" t="str">
        <f>HYPERLINK("https%3A%2F%2Fwww.webofscience.com%2Fwos%2Fwoscc%2Ffull-record%2FWOS:000250241700002","View Full Record in Web of Science")</f>
        <v>View Full Record in Web of Science</v>
      </c>
    </row>
    <row r="741" spans="1:72" x14ac:dyDescent="0.2">
      <c r="A741" t="s">
        <v>72</v>
      </c>
      <c r="B741" t="s">
        <v>5481</v>
      </c>
      <c r="C741" t="s">
        <v>74</v>
      </c>
      <c r="D741" t="s">
        <v>74</v>
      </c>
      <c r="E741" t="s">
        <v>74</v>
      </c>
      <c r="F741" t="s">
        <v>5482</v>
      </c>
      <c r="G741" t="s">
        <v>74</v>
      </c>
      <c r="H741" t="s">
        <v>74</v>
      </c>
      <c r="I741" t="s">
        <v>5483</v>
      </c>
      <c r="J741" t="s">
        <v>423</v>
      </c>
      <c r="K741" t="s">
        <v>74</v>
      </c>
      <c r="L741" t="s">
        <v>74</v>
      </c>
      <c r="M741" t="s">
        <v>74</v>
      </c>
      <c r="N741" t="s">
        <v>74</v>
      </c>
      <c r="O741" t="s">
        <v>74</v>
      </c>
      <c r="P741" t="s">
        <v>74</v>
      </c>
      <c r="Q741" t="s">
        <v>74</v>
      </c>
      <c r="R741" t="s">
        <v>74</v>
      </c>
      <c r="S741" t="s">
        <v>74</v>
      </c>
      <c r="T741" t="s">
        <v>74</v>
      </c>
      <c r="U741" t="s">
        <v>74</v>
      </c>
      <c r="V741" t="s">
        <v>74</v>
      </c>
      <c r="W741" t="s">
        <v>74</v>
      </c>
      <c r="X741" t="s">
        <v>74</v>
      </c>
      <c r="Y741" t="s">
        <v>74</v>
      </c>
      <c r="Z741" t="s">
        <v>74</v>
      </c>
      <c r="AA741" t="s">
        <v>74</v>
      </c>
      <c r="AB741" t="s">
        <v>74</v>
      </c>
      <c r="AC741" t="s">
        <v>74</v>
      </c>
      <c r="AD741" t="s">
        <v>74</v>
      </c>
      <c r="AE741" t="s">
        <v>74</v>
      </c>
      <c r="AF741" t="s">
        <v>74</v>
      </c>
      <c r="AG741" t="s">
        <v>74</v>
      </c>
      <c r="AH741" t="s">
        <v>74</v>
      </c>
      <c r="AI741" t="s">
        <v>74</v>
      </c>
      <c r="AJ741" t="s">
        <v>74</v>
      </c>
      <c r="AK741" t="s">
        <v>74</v>
      </c>
      <c r="AL741" t="s">
        <v>74</v>
      </c>
      <c r="AM741" t="s">
        <v>74</v>
      </c>
      <c r="AN741" t="s">
        <v>74</v>
      </c>
      <c r="AO741" t="s">
        <v>425</v>
      </c>
      <c r="AP741" t="s">
        <v>426</v>
      </c>
      <c r="AQ741" t="s">
        <v>74</v>
      </c>
      <c r="AR741" t="s">
        <v>74</v>
      </c>
      <c r="AS741" t="s">
        <v>74</v>
      </c>
      <c r="AT741" t="s">
        <v>335</v>
      </c>
      <c r="AU741">
        <v>2007</v>
      </c>
      <c r="AV741">
        <v>52</v>
      </c>
      <c r="AW741">
        <v>11</v>
      </c>
      <c r="AX741" t="s">
        <v>74</v>
      </c>
      <c r="AY741" t="s">
        <v>74</v>
      </c>
      <c r="AZ741" t="s">
        <v>74</v>
      </c>
      <c r="BA741" t="s">
        <v>74</v>
      </c>
      <c r="BB741">
        <v>2141</v>
      </c>
      <c r="BC741">
        <v>2155</v>
      </c>
      <c r="BD741" t="s">
        <v>74</v>
      </c>
      <c r="BE741" t="s">
        <v>5484</v>
      </c>
      <c r="BF741" t="str">
        <f>HYPERLINK("http://dx.doi.org/10.1111/j.1365-2427.2007.01844.x","http://dx.doi.org/10.1111/j.1365-2427.2007.01844.x")</f>
        <v>http://dx.doi.org/10.1111/j.1365-2427.2007.01844.x</v>
      </c>
      <c r="BG741" t="s">
        <v>74</v>
      </c>
      <c r="BH741" t="s">
        <v>74</v>
      </c>
      <c r="BI741" t="s">
        <v>74</v>
      </c>
      <c r="BJ741" t="s">
        <v>74</v>
      </c>
      <c r="BK741" t="s">
        <v>74</v>
      </c>
      <c r="BL741" t="s">
        <v>74</v>
      </c>
      <c r="BM741" t="s">
        <v>74</v>
      </c>
      <c r="BN741" t="s">
        <v>74</v>
      </c>
      <c r="BO741" t="s">
        <v>74</v>
      </c>
      <c r="BP741" t="s">
        <v>74</v>
      </c>
      <c r="BQ741" t="s">
        <v>74</v>
      </c>
      <c r="BR741" t="s">
        <v>74</v>
      </c>
      <c r="BS741" t="s">
        <v>5485</v>
      </c>
      <c r="BT741" t="str">
        <f>HYPERLINK("https%3A%2F%2Fwww.webofscience.com%2Fwos%2Fwoscc%2Ffull-record%2FWOS:000250145600007","View Full Record in Web of Science")</f>
        <v>View Full Record in Web of Science</v>
      </c>
    </row>
    <row r="742" spans="1:72" x14ac:dyDescent="0.2">
      <c r="A742" t="s">
        <v>72</v>
      </c>
      <c r="B742" t="s">
        <v>5486</v>
      </c>
      <c r="C742" t="s">
        <v>74</v>
      </c>
      <c r="D742" t="s">
        <v>74</v>
      </c>
      <c r="E742" t="s">
        <v>74</v>
      </c>
      <c r="F742" t="s">
        <v>5487</v>
      </c>
      <c r="G742" t="s">
        <v>74</v>
      </c>
      <c r="H742" t="s">
        <v>74</v>
      </c>
      <c r="I742" t="s">
        <v>5488</v>
      </c>
      <c r="J742" t="s">
        <v>5489</v>
      </c>
      <c r="K742" t="s">
        <v>74</v>
      </c>
      <c r="L742" t="s">
        <v>74</v>
      </c>
      <c r="M742" t="s">
        <v>74</v>
      </c>
      <c r="N742" t="s">
        <v>74</v>
      </c>
      <c r="O742" t="s">
        <v>74</v>
      </c>
      <c r="P742" t="s">
        <v>74</v>
      </c>
      <c r="Q742" t="s">
        <v>74</v>
      </c>
      <c r="R742" t="s">
        <v>74</v>
      </c>
      <c r="S742" t="s">
        <v>74</v>
      </c>
      <c r="T742" t="s">
        <v>74</v>
      </c>
      <c r="U742" t="s">
        <v>74</v>
      </c>
      <c r="V742" t="s">
        <v>74</v>
      </c>
      <c r="W742" t="s">
        <v>74</v>
      </c>
      <c r="X742" t="s">
        <v>74</v>
      </c>
      <c r="Y742" t="s">
        <v>74</v>
      </c>
      <c r="Z742" t="s">
        <v>74</v>
      </c>
      <c r="AA742" t="s">
        <v>5490</v>
      </c>
      <c r="AB742" t="s">
        <v>5491</v>
      </c>
      <c r="AC742" t="s">
        <v>74</v>
      </c>
      <c r="AD742" t="s">
        <v>74</v>
      </c>
      <c r="AE742" t="s">
        <v>74</v>
      </c>
      <c r="AF742" t="s">
        <v>74</v>
      </c>
      <c r="AG742" t="s">
        <v>74</v>
      </c>
      <c r="AH742" t="s">
        <v>74</v>
      </c>
      <c r="AI742" t="s">
        <v>74</v>
      </c>
      <c r="AJ742" t="s">
        <v>74</v>
      </c>
      <c r="AK742" t="s">
        <v>74</v>
      </c>
      <c r="AL742" t="s">
        <v>74</v>
      </c>
      <c r="AM742" t="s">
        <v>74</v>
      </c>
      <c r="AN742" t="s">
        <v>74</v>
      </c>
      <c r="AO742" t="s">
        <v>5492</v>
      </c>
      <c r="AP742" t="s">
        <v>5493</v>
      </c>
      <c r="AQ742" t="s">
        <v>74</v>
      </c>
      <c r="AR742" t="s">
        <v>74</v>
      </c>
      <c r="AS742" t="s">
        <v>74</v>
      </c>
      <c r="AT742" t="s">
        <v>406</v>
      </c>
      <c r="AU742">
        <v>2007</v>
      </c>
      <c r="AV742">
        <v>20</v>
      </c>
      <c r="AW742">
        <v>2</v>
      </c>
      <c r="AX742" t="s">
        <v>74</v>
      </c>
      <c r="AY742" t="s">
        <v>74</v>
      </c>
      <c r="AZ742" t="s">
        <v>74</v>
      </c>
      <c r="BA742" t="s">
        <v>74</v>
      </c>
      <c r="BB742">
        <v>315</v>
      </c>
      <c r="BC742">
        <v>325</v>
      </c>
      <c r="BD742" t="s">
        <v>74</v>
      </c>
      <c r="BE742" t="s">
        <v>74</v>
      </c>
      <c r="BF742" t="s">
        <v>74</v>
      </c>
      <c r="BG742" t="s">
        <v>74</v>
      </c>
      <c r="BH742" t="s">
        <v>74</v>
      </c>
      <c r="BI742" t="s">
        <v>74</v>
      </c>
      <c r="BJ742" t="s">
        <v>74</v>
      </c>
      <c r="BK742" t="s">
        <v>74</v>
      </c>
      <c r="BL742" t="s">
        <v>74</v>
      </c>
      <c r="BM742" t="s">
        <v>74</v>
      </c>
      <c r="BN742" t="s">
        <v>74</v>
      </c>
      <c r="BO742" t="s">
        <v>74</v>
      </c>
      <c r="BP742" t="s">
        <v>74</v>
      </c>
      <c r="BQ742" t="s">
        <v>74</v>
      </c>
      <c r="BR742" t="s">
        <v>74</v>
      </c>
      <c r="BS742" t="s">
        <v>5494</v>
      </c>
      <c r="BT742" t="str">
        <f>HYPERLINK("https%3A%2F%2Fwww.webofscience.com%2Fwos%2Fwoscc%2Ffull-record%2FWOS:000250933600009","View Full Record in Web of Science")</f>
        <v>View Full Record in Web of Science</v>
      </c>
    </row>
    <row r="743" spans="1:72" x14ac:dyDescent="0.2">
      <c r="A743" t="s">
        <v>72</v>
      </c>
      <c r="B743" t="s">
        <v>6763</v>
      </c>
      <c r="C743" t="s">
        <v>74</v>
      </c>
      <c r="D743" t="s">
        <v>74</v>
      </c>
      <c r="E743" t="s">
        <v>74</v>
      </c>
      <c r="F743" t="s">
        <v>6764</v>
      </c>
      <c r="G743" t="s">
        <v>74</v>
      </c>
      <c r="H743" t="s">
        <v>74</v>
      </c>
      <c r="I743" t="s">
        <v>6765</v>
      </c>
      <c r="J743" t="s">
        <v>4668</v>
      </c>
      <c r="K743" t="s">
        <v>74</v>
      </c>
      <c r="L743" t="s">
        <v>74</v>
      </c>
      <c r="M743" t="s">
        <v>74</v>
      </c>
      <c r="N743" t="s">
        <v>74</v>
      </c>
      <c r="O743" t="s">
        <v>74</v>
      </c>
      <c r="P743" t="s">
        <v>74</v>
      </c>
      <c r="Q743" t="s">
        <v>74</v>
      </c>
      <c r="R743" t="s">
        <v>74</v>
      </c>
      <c r="S743" t="s">
        <v>74</v>
      </c>
      <c r="T743" t="s">
        <v>74</v>
      </c>
      <c r="U743" t="s">
        <v>74</v>
      </c>
      <c r="V743" t="s">
        <v>74</v>
      </c>
      <c r="W743" t="s">
        <v>74</v>
      </c>
      <c r="X743" t="s">
        <v>74</v>
      </c>
      <c r="Y743" t="s">
        <v>74</v>
      </c>
      <c r="Z743" t="s">
        <v>74</v>
      </c>
      <c r="AA743" t="s">
        <v>6766</v>
      </c>
      <c r="AB743" t="s">
        <v>7161</v>
      </c>
      <c r="AC743" t="s">
        <v>74</v>
      </c>
      <c r="AD743" t="s">
        <v>74</v>
      </c>
      <c r="AE743" t="s">
        <v>74</v>
      </c>
      <c r="AF743" t="s">
        <v>74</v>
      </c>
      <c r="AG743" t="s">
        <v>74</v>
      </c>
      <c r="AH743" t="s">
        <v>74</v>
      </c>
      <c r="AI743" t="s">
        <v>74</v>
      </c>
      <c r="AJ743" t="s">
        <v>74</v>
      </c>
      <c r="AK743" t="s">
        <v>74</v>
      </c>
      <c r="AL743" t="s">
        <v>74</v>
      </c>
      <c r="AM743" t="s">
        <v>74</v>
      </c>
      <c r="AN743" t="s">
        <v>74</v>
      </c>
      <c r="AO743" t="s">
        <v>4671</v>
      </c>
      <c r="AP743" t="s">
        <v>4672</v>
      </c>
      <c r="AQ743" t="s">
        <v>74</v>
      </c>
      <c r="AR743" t="s">
        <v>74</v>
      </c>
      <c r="AS743" t="s">
        <v>74</v>
      </c>
      <c r="AT743" t="s">
        <v>6767</v>
      </c>
      <c r="AU743">
        <v>2007</v>
      </c>
      <c r="AV743">
        <v>269</v>
      </c>
      <c r="AW743" t="s">
        <v>5089</v>
      </c>
      <c r="AX743" t="s">
        <v>74</v>
      </c>
      <c r="AY743" t="s">
        <v>74</v>
      </c>
      <c r="AZ743" t="s">
        <v>74</v>
      </c>
      <c r="BA743" t="s">
        <v>74</v>
      </c>
      <c r="BB743">
        <v>321</v>
      </c>
      <c r="BC743">
        <v>327</v>
      </c>
      <c r="BD743" t="s">
        <v>74</v>
      </c>
      <c r="BE743" t="s">
        <v>6768</v>
      </c>
      <c r="BF743" t="str">
        <f>HYPERLINK("http://dx.doi.org/10.1016/j.aquaculture.2007.04.053","http://dx.doi.org/10.1016/j.aquaculture.2007.04.053")</f>
        <v>http://dx.doi.org/10.1016/j.aquaculture.2007.04.053</v>
      </c>
      <c r="BG743" t="s">
        <v>74</v>
      </c>
      <c r="BH743" t="s">
        <v>74</v>
      </c>
      <c r="BI743" t="s">
        <v>74</v>
      </c>
      <c r="BJ743" t="s">
        <v>74</v>
      </c>
      <c r="BK743" t="s">
        <v>74</v>
      </c>
      <c r="BL743" t="s">
        <v>74</v>
      </c>
      <c r="BM743" t="s">
        <v>74</v>
      </c>
      <c r="BN743" t="s">
        <v>74</v>
      </c>
      <c r="BO743" t="s">
        <v>74</v>
      </c>
      <c r="BP743" t="s">
        <v>74</v>
      </c>
      <c r="BQ743" t="s">
        <v>74</v>
      </c>
      <c r="BR743" t="s">
        <v>74</v>
      </c>
      <c r="BS743" t="s">
        <v>6769</v>
      </c>
      <c r="BT743" t="str">
        <f>HYPERLINK("https%3A%2F%2Fwww.webofscience.com%2Fwos%2Fwoscc%2Ffull-record%2FWOS:000249143600032","View Full Record in Web of Science")</f>
        <v>View Full Record in Web of Science</v>
      </c>
    </row>
    <row r="744" spans="1:72" x14ac:dyDescent="0.2">
      <c r="A744" t="s">
        <v>72</v>
      </c>
      <c r="B744" t="s">
        <v>5495</v>
      </c>
      <c r="C744" t="s">
        <v>74</v>
      </c>
      <c r="D744" t="s">
        <v>74</v>
      </c>
      <c r="E744" t="s">
        <v>74</v>
      </c>
      <c r="F744" t="s">
        <v>5496</v>
      </c>
      <c r="G744" t="s">
        <v>74</v>
      </c>
      <c r="H744" t="s">
        <v>74</v>
      </c>
      <c r="I744" t="s">
        <v>5497</v>
      </c>
      <c r="J744" t="s">
        <v>5498</v>
      </c>
      <c r="K744" t="s">
        <v>74</v>
      </c>
      <c r="L744" t="s">
        <v>74</v>
      </c>
      <c r="M744" t="s">
        <v>74</v>
      </c>
      <c r="N744" t="s">
        <v>74</v>
      </c>
      <c r="O744" t="s">
        <v>74</v>
      </c>
      <c r="P744" t="s">
        <v>74</v>
      </c>
      <c r="Q744" t="s">
        <v>74</v>
      </c>
      <c r="R744" t="s">
        <v>74</v>
      </c>
      <c r="S744" t="s">
        <v>74</v>
      </c>
      <c r="T744" t="s">
        <v>74</v>
      </c>
      <c r="U744" t="s">
        <v>74</v>
      </c>
      <c r="V744" t="s">
        <v>74</v>
      </c>
      <c r="W744" t="s">
        <v>74</v>
      </c>
      <c r="X744" t="s">
        <v>74</v>
      </c>
      <c r="Y744" t="s">
        <v>74</v>
      </c>
      <c r="Z744" t="s">
        <v>74</v>
      </c>
      <c r="AA744" t="s">
        <v>74</v>
      </c>
      <c r="AB744" t="s">
        <v>5499</v>
      </c>
      <c r="AC744" t="s">
        <v>74</v>
      </c>
      <c r="AD744" t="s">
        <v>74</v>
      </c>
      <c r="AE744" t="s">
        <v>74</v>
      </c>
      <c r="AF744" t="s">
        <v>74</v>
      </c>
      <c r="AG744" t="s">
        <v>74</v>
      </c>
      <c r="AH744" t="s">
        <v>74</v>
      </c>
      <c r="AI744" t="s">
        <v>74</v>
      </c>
      <c r="AJ744" t="s">
        <v>74</v>
      </c>
      <c r="AK744" t="s">
        <v>74</v>
      </c>
      <c r="AL744" t="s">
        <v>74</v>
      </c>
      <c r="AM744" t="s">
        <v>74</v>
      </c>
      <c r="AN744" t="s">
        <v>74</v>
      </c>
      <c r="AO744" t="s">
        <v>5500</v>
      </c>
      <c r="AP744" t="s">
        <v>5501</v>
      </c>
      <c r="AQ744" t="s">
        <v>74</v>
      </c>
      <c r="AR744" t="s">
        <v>74</v>
      </c>
      <c r="AS744" t="s">
        <v>74</v>
      </c>
      <c r="AT744" t="s">
        <v>451</v>
      </c>
      <c r="AU744">
        <v>2007</v>
      </c>
      <c r="AV744">
        <v>38</v>
      </c>
      <c r="AW744">
        <v>3</v>
      </c>
      <c r="AX744" t="s">
        <v>74</v>
      </c>
      <c r="AY744" t="s">
        <v>74</v>
      </c>
      <c r="AZ744" t="s">
        <v>74</v>
      </c>
      <c r="BA744" t="s">
        <v>74</v>
      </c>
      <c r="BB744">
        <v>367</v>
      </c>
      <c r="BC744">
        <v>382</v>
      </c>
      <c r="BD744" t="s">
        <v>74</v>
      </c>
      <c r="BE744" t="s">
        <v>5502</v>
      </c>
      <c r="BF744" t="str">
        <f>HYPERLINK("http://dx.doi.org/10.1111/j.1749-7345.2007.00109.x","http://dx.doi.org/10.1111/j.1749-7345.2007.00109.x")</f>
        <v>http://dx.doi.org/10.1111/j.1749-7345.2007.00109.x</v>
      </c>
      <c r="BG744" t="s">
        <v>74</v>
      </c>
      <c r="BH744" t="s">
        <v>74</v>
      </c>
      <c r="BI744" t="s">
        <v>74</v>
      </c>
      <c r="BJ744" t="s">
        <v>74</v>
      </c>
      <c r="BK744" t="s">
        <v>74</v>
      </c>
      <c r="BL744" t="s">
        <v>74</v>
      </c>
      <c r="BM744" t="s">
        <v>74</v>
      </c>
      <c r="BN744" t="s">
        <v>74</v>
      </c>
      <c r="BO744" t="s">
        <v>74</v>
      </c>
      <c r="BP744" t="s">
        <v>74</v>
      </c>
      <c r="BQ744" t="s">
        <v>74</v>
      </c>
      <c r="BR744" t="s">
        <v>74</v>
      </c>
      <c r="BS744" t="s">
        <v>5503</v>
      </c>
      <c r="BT744" t="str">
        <f>HYPERLINK("https%3A%2F%2Fwww.webofscience.com%2Fwos%2Fwoscc%2Ffull-record%2FWOS:000249184100003","View Full Record in Web of Science")</f>
        <v>View Full Record in Web of Science</v>
      </c>
    </row>
    <row r="745" spans="1:72" x14ac:dyDescent="0.2">
      <c r="A745" t="s">
        <v>72</v>
      </c>
      <c r="B745" t="s">
        <v>5504</v>
      </c>
      <c r="C745" t="s">
        <v>74</v>
      </c>
      <c r="D745" t="s">
        <v>74</v>
      </c>
      <c r="E745" t="s">
        <v>74</v>
      </c>
      <c r="F745" t="s">
        <v>5505</v>
      </c>
      <c r="G745" t="s">
        <v>74</v>
      </c>
      <c r="H745" t="s">
        <v>74</v>
      </c>
      <c r="I745" t="s">
        <v>5506</v>
      </c>
      <c r="J745" t="s">
        <v>1224</v>
      </c>
      <c r="K745" t="s">
        <v>74</v>
      </c>
      <c r="L745" t="s">
        <v>74</v>
      </c>
      <c r="M745" t="s">
        <v>74</v>
      </c>
      <c r="N745" t="s">
        <v>74</v>
      </c>
      <c r="O745" t="s">
        <v>74</v>
      </c>
      <c r="P745" t="s">
        <v>74</v>
      </c>
      <c r="Q745" t="s">
        <v>74</v>
      </c>
      <c r="R745" t="s">
        <v>74</v>
      </c>
      <c r="S745" t="s">
        <v>74</v>
      </c>
      <c r="T745" t="s">
        <v>74</v>
      </c>
      <c r="U745" t="s">
        <v>74</v>
      </c>
      <c r="V745" t="s">
        <v>74</v>
      </c>
      <c r="W745" t="s">
        <v>74</v>
      </c>
      <c r="X745" t="s">
        <v>74</v>
      </c>
      <c r="Y745" t="s">
        <v>74</v>
      </c>
      <c r="Z745" t="s">
        <v>74</v>
      </c>
      <c r="AA745" t="s">
        <v>5106</v>
      </c>
      <c r="AB745" t="s">
        <v>5507</v>
      </c>
      <c r="AC745" t="s">
        <v>74</v>
      </c>
      <c r="AD745" t="s">
        <v>74</v>
      </c>
      <c r="AE745" t="s">
        <v>74</v>
      </c>
      <c r="AF745" t="s">
        <v>74</v>
      </c>
      <c r="AG745" t="s">
        <v>74</v>
      </c>
      <c r="AH745" t="s">
        <v>74</v>
      </c>
      <c r="AI745" t="s">
        <v>74</v>
      </c>
      <c r="AJ745" t="s">
        <v>74</v>
      </c>
      <c r="AK745" t="s">
        <v>74</v>
      </c>
      <c r="AL745" t="s">
        <v>74</v>
      </c>
      <c r="AM745" t="s">
        <v>74</v>
      </c>
      <c r="AN745" t="s">
        <v>74</v>
      </c>
      <c r="AO745" t="s">
        <v>1226</v>
      </c>
      <c r="AP745" t="s">
        <v>74</v>
      </c>
      <c r="AQ745" t="s">
        <v>74</v>
      </c>
      <c r="AR745" t="s">
        <v>74</v>
      </c>
      <c r="AS745" t="s">
        <v>74</v>
      </c>
      <c r="AT745" t="s">
        <v>451</v>
      </c>
      <c r="AU745">
        <v>2007</v>
      </c>
      <c r="AV745">
        <v>46</v>
      </c>
      <c r="AW745">
        <v>5</v>
      </c>
      <c r="AX745" t="s">
        <v>74</v>
      </c>
      <c r="AY745" t="s">
        <v>74</v>
      </c>
      <c r="AZ745" t="s">
        <v>74</v>
      </c>
      <c r="BA745" t="s">
        <v>74</v>
      </c>
      <c r="BB745">
        <v>583</v>
      </c>
      <c r="BC745">
        <v>592</v>
      </c>
      <c r="BD745" t="s">
        <v>74</v>
      </c>
      <c r="BE745" t="s">
        <v>5508</v>
      </c>
      <c r="BF745" t="str">
        <f>HYPERLINK("http://dx.doi.org/10.2216/07-14.1","http://dx.doi.org/10.2216/07-14.1")</f>
        <v>http://dx.doi.org/10.2216/07-14.1</v>
      </c>
      <c r="BG745" t="s">
        <v>74</v>
      </c>
      <c r="BH745" t="s">
        <v>74</v>
      </c>
      <c r="BI745" t="s">
        <v>74</v>
      </c>
      <c r="BJ745" t="s">
        <v>74</v>
      </c>
      <c r="BK745" t="s">
        <v>74</v>
      </c>
      <c r="BL745" t="s">
        <v>74</v>
      </c>
      <c r="BM745" t="s">
        <v>74</v>
      </c>
      <c r="BN745" t="s">
        <v>74</v>
      </c>
      <c r="BO745" t="s">
        <v>74</v>
      </c>
      <c r="BP745" t="s">
        <v>74</v>
      </c>
      <c r="BQ745" t="s">
        <v>74</v>
      </c>
      <c r="BR745" t="s">
        <v>74</v>
      </c>
      <c r="BS745" t="s">
        <v>5509</v>
      </c>
      <c r="BT745" t="str">
        <f>HYPERLINK("https%3A%2F%2Fwww.webofscience.com%2Fwos%2Fwoscc%2Ffull-record%2FWOS:000249353600009","View Full Record in Web of Science")</f>
        <v>View Full Record in Web of Science</v>
      </c>
    </row>
    <row r="746" spans="1:72" x14ac:dyDescent="0.2">
      <c r="A746" t="s">
        <v>72</v>
      </c>
      <c r="B746" t="s">
        <v>5510</v>
      </c>
      <c r="C746" t="s">
        <v>74</v>
      </c>
      <c r="D746" t="s">
        <v>74</v>
      </c>
      <c r="E746" t="s">
        <v>74</v>
      </c>
      <c r="F746" t="s">
        <v>5511</v>
      </c>
      <c r="G746" t="s">
        <v>74</v>
      </c>
      <c r="H746" t="s">
        <v>74</v>
      </c>
      <c r="I746" t="s">
        <v>5512</v>
      </c>
      <c r="J746" t="s">
        <v>973</v>
      </c>
      <c r="K746" t="s">
        <v>74</v>
      </c>
      <c r="L746" t="s">
        <v>74</v>
      </c>
      <c r="M746" t="s">
        <v>74</v>
      </c>
      <c r="N746" t="s">
        <v>74</v>
      </c>
      <c r="O746" t="s">
        <v>74</v>
      </c>
      <c r="P746" t="s">
        <v>74</v>
      </c>
      <c r="Q746" t="s">
        <v>74</v>
      </c>
      <c r="R746" t="s">
        <v>74</v>
      </c>
      <c r="S746" t="s">
        <v>74</v>
      </c>
      <c r="T746" t="s">
        <v>74</v>
      </c>
      <c r="U746" t="s">
        <v>74</v>
      </c>
      <c r="V746" t="s">
        <v>74</v>
      </c>
      <c r="W746" t="s">
        <v>74</v>
      </c>
      <c r="X746" t="s">
        <v>74</v>
      </c>
      <c r="Y746" t="s">
        <v>74</v>
      </c>
      <c r="Z746" t="s">
        <v>74</v>
      </c>
      <c r="AA746" t="s">
        <v>5513</v>
      </c>
      <c r="AB746" t="s">
        <v>5514</v>
      </c>
      <c r="AC746" t="s">
        <v>74</v>
      </c>
      <c r="AD746" t="s">
        <v>74</v>
      </c>
      <c r="AE746" t="s">
        <v>74</v>
      </c>
      <c r="AF746" t="s">
        <v>74</v>
      </c>
      <c r="AG746" t="s">
        <v>74</v>
      </c>
      <c r="AH746" t="s">
        <v>74</v>
      </c>
      <c r="AI746" t="s">
        <v>74</v>
      </c>
      <c r="AJ746" t="s">
        <v>74</v>
      </c>
      <c r="AK746" t="s">
        <v>74</v>
      </c>
      <c r="AL746" t="s">
        <v>74</v>
      </c>
      <c r="AM746" t="s">
        <v>74</v>
      </c>
      <c r="AN746" t="s">
        <v>74</v>
      </c>
      <c r="AO746" t="s">
        <v>974</v>
      </c>
      <c r="AP746" t="s">
        <v>74</v>
      </c>
      <c r="AQ746" t="s">
        <v>74</v>
      </c>
      <c r="AR746" t="s">
        <v>74</v>
      </c>
      <c r="AS746" t="s">
        <v>74</v>
      </c>
      <c r="AT746" t="s">
        <v>520</v>
      </c>
      <c r="AU746">
        <v>2007</v>
      </c>
      <c r="AV746">
        <v>74</v>
      </c>
      <c r="AW746" t="s">
        <v>5289</v>
      </c>
      <c r="AX746" t="s">
        <v>74</v>
      </c>
      <c r="AY746" t="s">
        <v>74</v>
      </c>
      <c r="AZ746" t="s">
        <v>74</v>
      </c>
      <c r="BA746" t="s">
        <v>74</v>
      </c>
      <c r="BB746">
        <v>31</v>
      </c>
      <c r="BC746">
        <v>43</v>
      </c>
      <c r="BD746" t="s">
        <v>74</v>
      </c>
      <c r="BE746" t="s">
        <v>5515</v>
      </c>
      <c r="BF746" t="str">
        <f>HYPERLINK("http://dx.doi.org/10.1016/j.ecss.2007.03.021","http://dx.doi.org/10.1016/j.ecss.2007.03.021")</f>
        <v>http://dx.doi.org/10.1016/j.ecss.2007.03.021</v>
      </c>
      <c r="BG746" t="s">
        <v>74</v>
      </c>
      <c r="BH746" t="s">
        <v>74</v>
      </c>
      <c r="BI746" t="s">
        <v>74</v>
      </c>
      <c r="BJ746" t="s">
        <v>74</v>
      </c>
      <c r="BK746" t="s">
        <v>74</v>
      </c>
      <c r="BL746" t="s">
        <v>74</v>
      </c>
      <c r="BM746" t="s">
        <v>74</v>
      </c>
      <c r="BN746" t="s">
        <v>74</v>
      </c>
      <c r="BO746" t="s">
        <v>74</v>
      </c>
      <c r="BP746" t="s">
        <v>74</v>
      </c>
      <c r="BQ746" t="s">
        <v>74</v>
      </c>
      <c r="BR746" t="s">
        <v>74</v>
      </c>
      <c r="BS746" t="s">
        <v>5516</v>
      </c>
      <c r="BT746" t="str">
        <f>HYPERLINK("https%3A%2F%2Fwww.webofscience.com%2Fwos%2Fwoscc%2Ffull-record%2FWOS:000247907900004","View Full Record in Web of Science")</f>
        <v>View Full Record in Web of Science</v>
      </c>
    </row>
    <row r="747" spans="1:72" x14ac:dyDescent="0.2">
      <c r="A747" t="s">
        <v>72</v>
      </c>
      <c r="B747" t="s">
        <v>5517</v>
      </c>
      <c r="C747" t="s">
        <v>74</v>
      </c>
      <c r="D747" t="s">
        <v>74</v>
      </c>
      <c r="E747" t="s">
        <v>74</v>
      </c>
      <c r="F747" t="s">
        <v>5518</v>
      </c>
      <c r="G747" t="s">
        <v>74</v>
      </c>
      <c r="H747" t="s">
        <v>74</v>
      </c>
      <c r="I747" t="s">
        <v>5519</v>
      </c>
      <c r="J747" t="s">
        <v>1523</v>
      </c>
      <c r="K747" t="s">
        <v>74</v>
      </c>
      <c r="L747" t="s">
        <v>74</v>
      </c>
      <c r="M747" t="s">
        <v>74</v>
      </c>
      <c r="N747" t="s">
        <v>74</v>
      </c>
      <c r="O747" t="s">
        <v>74</v>
      </c>
      <c r="P747" t="s">
        <v>74</v>
      </c>
      <c r="Q747" t="s">
        <v>74</v>
      </c>
      <c r="R747" t="s">
        <v>74</v>
      </c>
      <c r="S747" t="s">
        <v>74</v>
      </c>
      <c r="T747" t="s">
        <v>74</v>
      </c>
      <c r="U747" t="s">
        <v>74</v>
      </c>
      <c r="V747" t="s">
        <v>74</v>
      </c>
      <c r="W747" t="s">
        <v>74</v>
      </c>
      <c r="X747" t="s">
        <v>74</v>
      </c>
      <c r="Y747" t="s">
        <v>74</v>
      </c>
      <c r="Z747" t="s">
        <v>74</v>
      </c>
      <c r="AA747" t="s">
        <v>5520</v>
      </c>
      <c r="AB747" t="s">
        <v>5521</v>
      </c>
      <c r="AC747" t="s">
        <v>74</v>
      </c>
      <c r="AD747" t="s">
        <v>74</v>
      </c>
      <c r="AE747" t="s">
        <v>74</v>
      </c>
      <c r="AF747" t="s">
        <v>74</v>
      </c>
      <c r="AG747" t="s">
        <v>74</v>
      </c>
      <c r="AH747" t="s">
        <v>74</v>
      </c>
      <c r="AI747" t="s">
        <v>74</v>
      </c>
      <c r="AJ747" t="s">
        <v>74</v>
      </c>
      <c r="AK747" t="s">
        <v>74</v>
      </c>
      <c r="AL747" t="s">
        <v>74</v>
      </c>
      <c r="AM747" t="s">
        <v>74</v>
      </c>
      <c r="AN747" t="s">
        <v>74</v>
      </c>
      <c r="AO747" t="s">
        <v>1524</v>
      </c>
      <c r="AP747" t="s">
        <v>74</v>
      </c>
      <c r="AQ747" t="s">
        <v>74</v>
      </c>
      <c r="AR747" t="s">
        <v>74</v>
      </c>
      <c r="AS747" t="s">
        <v>74</v>
      </c>
      <c r="AT747" t="s">
        <v>520</v>
      </c>
      <c r="AU747">
        <v>2007</v>
      </c>
      <c r="AV747">
        <v>88</v>
      </c>
      <c r="AW747">
        <v>8</v>
      </c>
      <c r="AX747" t="s">
        <v>74</v>
      </c>
      <c r="AY747" t="s">
        <v>74</v>
      </c>
      <c r="AZ747" t="s">
        <v>74</v>
      </c>
      <c r="BA747" t="s">
        <v>74</v>
      </c>
      <c r="BB747">
        <v>1932</v>
      </c>
      <c r="BC747">
        <v>1939</v>
      </c>
      <c r="BD747" t="s">
        <v>74</v>
      </c>
      <c r="BE747" t="s">
        <v>5522</v>
      </c>
      <c r="BF747" t="str">
        <f>HYPERLINK("http://dx.doi.org/10.1890/06-2038.1","http://dx.doi.org/10.1890/06-2038.1")</f>
        <v>http://dx.doi.org/10.1890/06-2038.1</v>
      </c>
      <c r="BG747" t="s">
        <v>74</v>
      </c>
      <c r="BH747" t="s">
        <v>74</v>
      </c>
      <c r="BI747" t="s">
        <v>74</v>
      </c>
      <c r="BJ747" t="s">
        <v>74</v>
      </c>
      <c r="BK747" t="s">
        <v>74</v>
      </c>
      <c r="BL747" t="s">
        <v>74</v>
      </c>
      <c r="BM747" t="s">
        <v>74</v>
      </c>
      <c r="BN747">
        <v>17824423</v>
      </c>
      <c r="BO747" t="s">
        <v>74</v>
      </c>
      <c r="BP747" t="s">
        <v>74</v>
      </c>
      <c r="BQ747" t="s">
        <v>74</v>
      </c>
      <c r="BR747" t="s">
        <v>74</v>
      </c>
      <c r="BS747" t="s">
        <v>5523</v>
      </c>
      <c r="BT747" t="str">
        <f>HYPERLINK("https%3A%2F%2Fwww.webofscience.com%2Fwos%2Fwoscc%2Ffull-record%2FWOS:000248620500010","View Full Record in Web of Science")</f>
        <v>View Full Record in Web of Science</v>
      </c>
    </row>
    <row r="748" spans="1:72" x14ac:dyDescent="0.2">
      <c r="A748" t="s">
        <v>72</v>
      </c>
      <c r="B748" t="s">
        <v>5524</v>
      </c>
      <c r="C748" t="s">
        <v>74</v>
      </c>
      <c r="D748" t="s">
        <v>74</v>
      </c>
      <c r="E748" t="s">
        <v>74</v>
      </c>
      <c r="F748" t="s">
        <v>5525</v>
      </c>
      <c r="G748" t="s">
        <v>74</v>
      </c>
      <c r="H748" t="s">
        <v>74</v>
      </c>
      <c r="I748" t="s">
        <v>5526</v>
      </c>
      <c r="J748" t="s">
        <v>5527</v>
      </c>
      <c r="K748" t="s">
        <v>74</v>
      </c>
      <c r="L748" t="s">
        <v>74</v>
      </c>
      <c r="M748" t="s">
        <v>74</v>
      </c>
      <c r="N748" t="s">
        <v>74</v>
      </c>
      <c r="O748" t="s">
        <v>74</v>
      </c>
      <c r="P748" t="s">
        <v>74</v>
      </c>
      <c r="Q748" t="s">
        <v>74</v>
      </c>
      <c r="R748" t="s">
        <v>74</v>
      </c>
      <c r="S748" t="s">
        <v>74</v>
      </c>
      <c r="T748" t="s">
        <v>74</v>
      </c>
      <c r="U748" t="s">
        <v>74</v>
      </c>
      <c r="V748" t="s">
        <v>74</v>
      </c>
      <c r="W748" t="s">
        <v>74</v>
      </c>
      <c r="X748" t="s">
        <v>74</v>
      </c>
      <c r="Y748" t="s">
        <v>74</v>
      </c>
      <c r="Z748" t="s">
        <v>74</v>
      </c>
      <c r="AA748" t="s">
        <v>5528</v>
      </c>
      <c r="AB748" t="s">
        <v>74</v>
      </c>
      <c r="AC748" t="s">
        <v>74</v>
      </c>
      <c r="AD748" t="s">
        <v>74</v>
      </c>
      <c r="AE748" t="s">
        <v>74</v>
      </c>
      <c r="AF748" t="s">
        <v>74</v>
      </c>
      <c r="AG748" t="s">
        <v>74</v>
      </c>
      <c r="AH748" t="s">
        <v>74</v>
      </c>
      <c r="AI748" t="s">
        <v>74</v>
      </c>
      <c r="AJ748" t="s">
        <v>74</v>
      </c>
      <c r="AK748" t="s">
        <v>74</v>
      </c>
      <c r="AL748" t="s">
        <v>74</v>
      </c>
      <c r="AM748" t="s">
        <v>74</v>
      </c>
      <c r="AN748" t="s">
        <v>74</v>
      </c>
      <c r="AO748" t="s">
        <v>5529</v>
      </c>
      <c r="AP748" t="s">
        <v>74</v>
      </c>
      <c r="AQ748" t="s">
        <v>74</v>
      </c>
      <c r="AR748" t="s">
        <v>74</v>
      </c>
      <c r="AS748" t="s">
        <v>74</v>
      </c>
      <c r="AT748" t="s">
        <v>520</v>
      </c>
      <c r="AU748">
        <v>2007</v>
      </c>
      <c r="AV748">
        <v>27</v>
      </c>
      <c r="AW748">
        <v>3</v>
      </c>
      <c r="AX748" t="s">
        <v>74</v>
      </c>
      <c r="AY748" t="s">
        <v>74</v>
      </c>
      <c r="AZ748" t="s">
        <v>74</v>
      </c>
      <c r="BA748" t="s">
        <v>74</v>
      </c>
      <c r="BB748">
        <v>932</v>
      </c>
      <c r="BC748">
        <v>935</v>
      </c>
      <c r="BD748" t="s">
        <v>74</v>
      </c>
      <c r="BE748" t="s">
        <v>5530</v>
      </c>
      <c r="BF748" t="str">
        <f>HYPERLINK("http://dx.doi.org/10.1577/M06-066.1","http://dx.doi.org/10.1577/M06-066.1")</f>
        <v>http://dx.doi.org/10.1577/M06-066.1</v>
      </c>
      <c r="BG748" t="s">
        <v>74</v>
      </c>
      <c r="BH748" t="s">
        <v>74</v>
      </c>
      <c r="BI748" t="s">
        <v>74</v>
      </c>
      <c r="BJ748" t="s">
        <v>74</v>
      </c>
      <c r="BK748" t="s">
        <v>74</v>
      </c>
      <c r="BL748" t="s">
        <v>74</v>
      </c>
      <c r="BM748" t="s">
        <v>74</v>
      </c>
      <c r="BN748" t="s">
        <v>74</v>
      </c>
      <c r="BO748" t="s">
        <v>74</v>
      </c>
      <c r="BP748" t="s">
        <v>74</v>
      </c>
      <c r="BQ748" t="s">
        <v>74</v>
      </c>
      <c r="BR748" t="s">
        <v>74</v>
      </c>
      <c r="BS748" t="s">
        <v>5531</v>
      </c>
      <c r="BT748" t="str">
        <f>HYPERLINK("https%3A%2F%2Fwww.webofscience.com%2Fwos%2Fwoscc%2Ffull-record%2FWOS:000249158900022","View Full Record in Web of Science")</f>
        <v>View Full Record in Web of Science</v>
      </c>
    </row>
    <row r="749" spans="1:72" x14ac:dyDescent="0.2">
      <c r="A749" t="s">
        <v>72</v>
      </c>
      <c r="B749" t="s">
        <v>5532</v>
      </c>
      <c r="C749" t="s">
        <v>74</v>
      </c>
      <c r="D749" t="s">
        <v>74</v>
      </c>
      <c r="E749" t="s">
        <v>74</v>
      </c>
      <c r="F749" t="s">
        <v>5533</v>
      </c>
      <c r="G749" t="s">
        <v>74</v>
      </c>
      <c r="H749" t="s">
        <v>74</v>
      </c>
      <c r="I749" t="s">
        <v>5534</v>
      </c>
      <c r="J749" t="s">
        <v>106</v>
      </c>
      <c r="K749" t="s">
        <v>74</v>
      </c>
      <c r="L749" t="s">
        <v>74</v>
      </c>
      <c r="M749" t="s">
        <v>74</v>
      </c>
      <c r="N749" t="s">
        <v>74</v>
      </c>
      <c r="O749" t="s">
        <v>74</v>
      </c>
      <c r="P749" t="s">
        <v>74</v>
      </c>
      <c r="Q749" t="s">
        <v>74</v>
      </c>
      <c r="R749" t="s">
        <v>74</v>
      </c>
      <c r="S749" t="s">
        <v>74</v>
      </c>
      <c r="T749" t="s">
        <v>74</v>
      </c>
      <c r="U749" t="s">
        <v>74</v>
      </c>
      <c r="V749" t="s">
        <v>74</v>
      </c>
      <c r="W749" t="s">
        <v>74</v>
      </c>
      <c r="X749" t="s">
        <v>74</v>
      </c>
      <c r="Y749" t="s">
        <v>74</v>
      </c>
      <c r="Z749" t="s">
        <v>74</v>
      </c>
      <c r="AA749" t="s">
        <v>5535</v>
      </c>
      <c r="AB749" t="s">
        <v>5536</v>
      </c>
      <c r="AC749" t="s">
        <v>74</v>
      </c>
      <c r="AD749" t="s">
        <v>74</v>
      </c>
      <c r="AE749" t="s">
        <v>74</v>
      </c>
      <c r="AF749" t="s">
        <v>74</v>
      </c>
      <c r="AG749" t="s">
        <v>74</v>
      </c>
      <c r="AH749" t="s">
        <v>74</v>
      </c>
      <c r="AI749" t="s">
        <v>74</v>
      </c>
      <c r="AJ749" t="s">
        <v>74</v>
      </c>
      <c r="AK749" t="s">
        <v>74</v>
      </c>
      <c r="AL749" t="s">
        <v>74</v>
      </c>
      <c r="AM749" t="s">
        <v>74</v>
      </c>
      <c r="AN749" t="s">
        <v>74</v>
      </c>
      <c r="AO749" t="s">
        <v>107</v>
      </c>
      <c r="AP749" t="s">
        <v>108</v>
      </c>
      <c r="AQ749" t="s">
        <v>74</v>
      </c>
      <c r="AR749" t="s">
        <v>74</v>
      </c>
      <c r="AS749" t="s">
        <v>74</v>
      </c>
      <c r="AT749" t="s">
        <v>624</v>
      </c>
      <c r="AU749">
        <v>2007</v>
      </c>
      <c r="AV749">
        <v>29</v>
      </c>
      <c r="AW749">
        <v>7</v>
      </c>
      <c r="AX749" t="s">
        <v>74</v>
      </c>
      <c r="AY749" t="s">
        <v>74</v>
      </c>
      <c r="AZ749" t="s">
        <v>74</v>
      </c>
      <c r="BA749" t="s">
        <v>74</v>
      </c>
      <c r="BB749">
        <v>583</v>
      </c>
      <c r="BC749">
        <v>598</v>
      </c>
      <c r="BD749" t="s">
        <v>74</v>
      </c>
      <c r="BE749" t="s">
        <v>5537</v>
      </c>
      <c r="BF749" t="str">
        <f>HYPERLINK("http://dx.doi.org/10.1093/plankt/fbm040","http://dx.doi.org/10.1093/plankt/fbm040")</f>
        <v>http://dx.doi.org/10.1093/plankt/fbm040</v>
      </c>
      <c r="BG749" t="s">
        <v>74</v>
      </c>
      <c r="BH749" t="s">
        <v>74</v>
      </c>
      <c r="BI749" t="s">
        <v>74</v>
      </c>
      <c r="BJ749" t="s">
        <v>74</v>
      </c>
      <c r="BK749" t="s">
        <v>74</v>
      </c>
      <c r="BL749" t="s">
        <v>74</v>
      </c>
      <c r="BM749" t="s">
        <v>74</v>
      </c>
      <c r="BN749" t="s">
        <v>74</v>
      </c>
      <c r="BO749" t="s">
        <v>74</v>
      </c>
      <c r="BP749" t="s">
        <v>74</v>
      </c>
      <c r="BQ749" t="s">
        <v>74</v>
      </c>
      <c r="BR749" t="s">
        <v>74</v>
      </c>
      <c r="BS749" t="s">
        <v>5538</v>
      </c>
      <c r="BT749" t="str">
        <f>HYPERLINK("https%3A%2F%2Fwww.webofscience.com%2Fwos%2Fwoscc%2Ffull-record%2FWOS:000248086500002","View Full Record in Web of Science")</f>
        <v>View Full Record in Web of Science</v>
      </c>
    </row>
    <row r="750" spans="1:72" x14ac:dyDescent="0.2">
      <c r="A750" t="s">
        <v>72</v>
      </c>
      <c r="B750" t="s">
        <v>5539</v>
      </c>
      <c r="C750" t="s">
        <v>74</v>
      </c>
      <c r="D750" t="s">
        <v>74</v>
      </c>
      <c r="E750" t="s">
        <v>74</v>
      </c>
      <c r="F750" t="s">
        <v>5540</v>
      </c>
      <c r="G750" t="s">
        <v>74</v>
      </c>
      <c r="H750" t="s">
        <v>74</v>
      </c>
      <c r="I750" t="s">
        <v>5541</v>
      </c>
      <c r="J750" t="s">
        <v>124</v>
      </c>
      <c r="K750" t="s">
        <v>74</v>
      </c>
      <c r="L750" t="s">
        <v>74</v>
      </c>
      <c r="M750" t="s">
        <v>74</v>
      </c>
      <c r="N750" t="s">
        <v>74</v>
      </c>
      <c r="O750" t="s">
        <v>74</v>
      </c>
      <c r="P750" t="s">
        <v>74</v>
      </c>
      <c r="Q750" t="s">
        <v>74</v>
      </c>
      <c r="R750" t="s">
        <v>74</v>
      </c>
      <c r="S750" t="s">
        <v>74</v>
      </c>
      <c r="T750" t="s">
        <v>74</v>
      </c>
      <c r="U750" t="s">
        <v>74</v>
      </c>
      <c r="V750" t="s">
        <v>74</v>
      </c>
      <c r="W750" t="s">
        <v>74</v>
      </c>
      <c r="X750" t="s">
        <v>74</v>
      </c>
      <c r="Y750" t="s">
        <v>74</v>
      </c>
      <c r="Z750" t="s">
        <v>74</v>
      </c>
      <c r="AA750" t="s">
        <v>5237</v>
      </c>
      <c r="AB750" t="s">
        <v>5542</v>
      </c>
      <c r="AC750" t="s">
        <v>74</v>
      </c>
      <c r="AD750" t="s">
        <v>74</v>
      </c>
      <c r="AE750" t="s">
        <v>74</v>
      </c>
      <c r="AF750" t="s">
        <v>74</v>
      </c>
      <c r="AG750" t="s">
        <v>74</v>
      </c>
      <c r="AH750" t="s">
        <v>74</v>
      </c>
      <c r="AI750" t="s">
        <v>74</v>
      </c>
      <c r="AJ750" t="s">
        <v>74</v>
      </c>
      <c r="AK750" t="s">
        <v>74</v>
      </c>
      <c r="AL750" t="s">
        <v>74</v>
      </c>
      <c r="AM750" t="s">
        <v>74</v>
      </c>
      <c r="AN750" t="s">
        <v>74</v>
      </c>
      <c r="AO750" t="s">
        <v>127</v>
      </c>
      <c r="AP750" t="s">
        <v>128</v>
      </c>
      <c r="AQ750" t="s">
        <v>74</v>
      </c>
      <c r="AR750" t="s">
        <v>74</v>
      </c>
      <c r="AS750" t="s">
        <v>74</v>
      </c>
      <c r="AT750" t="s">
        <v>624</v>
      </c>
      <c r="AU750">
        <v>2007</v>
      </c>
      <c r="AV750">
        <v>586</v>
      </c>
      <c r="AW750" t="s">
        <v>74</v>
      </c>
      <c r="AX750" t="s">
        <v>74</v>
      </c>
      <c r="AY750" t="s">
        <v>74</v>
      </c>
      <c r="AZ750" t="s">
        <v>74</v>
      </c>
      <c r="BA750" t="s">
        <v>74</v>
      </c>
      <c r="BB750">
        <v>69</v>
      </c>
      <c r="BC750">
        <v>78</v>
      </c>
      <c r="BD750" t="s">
        <v>74</v>
      </c>
      <c r="BE750" t="s">
        <v>5543</v>
      </c>
      <c r="BF750" t="str">
        <f>HYPERLINK("http://dx.doi.org/10.1007/s10750-006-0492-6","http://dx.doi.org/10.1007/s10750-006-0492-6")</f>
        <v>http://dx.doi.org/10.1007/s10750-006-0492-6</v>
      </c>
      <c r="BG750" t="s">
        <v>74</v>
      </c>
      <c r="BH750" t="s">
        <v>74</v>
      </c>
      <c r="BI750" t="s">
        <v>74</v>
      </c>
      <c r="BJ750" t="s">
        <v>74</v>
      </c>
      <c r="BK750" t="s">
        <v>74</v>
      </c>
      <c r="BL750" t="s">
        <v>74</v>
      </c>
      <c r="BM750" t="s">
        <v>74</v>
      </c>
      <c r="BN750" t="s">
        <v>74</v>
      </c>
      <c r="BO750" t="s">
        <v>74</v>
      </c>
      <c r="BP750" t="s">
        <v>74</v>
      </c>
      <c r="BQ750" t="s">
        <v>74</v>
      </c>
      <c r="BR750" t="s">
        <v>74</v>
      </c>
      <c r="BS750" t="s">
        <v>5544</v>
      </c>
      <c r="BT750" t="str">
        <f>HYPERLINK("https%3A%2F%2Fwww.webofscience.com%2Fwos%2Fwoscc%2Ffull-record%2FWOS:000246612800006","View Full Record in Web of Science")</f>
        <v>View Full Record in Web of Science</v>
      </c>
    </row>
    <row r="751" spans="1:72" x14ac:dyDescent="0.2">
      <c r="A751" t="s">
        <v>72</v>
      </c>
      <c r="B751" t="s">
        <v>5545</v>
      </c>
      <c r="C751" t="s">
        <v>74</v>
      </c>
      <c r="D751" t="s">
        <v>74</v>
      </c>
      <c r="E751" t="s">
        <v>74</v>
      </c>
      <c r="F751" t="s">
        <v>5546</v>
      </c>
      <c r="G751" t="s">
        <v>74</v>
      </c>
      <c r="H751" t="s">
        <v>74</v>
      </c>
      <c r="I751" t="s">
        <v>5547</v>
      </c>
      <c r="J751" t="s">
        <v>1299</v>
      </c>
      <c r="K751" t="s">
        <v>74</v>
      </c>
      <c r="L751" t="s">
        <v>74</v>
      </c>
      <c r="M751" t="s">
        <v>74</v>
      </c>
      <c r="N751" t="s">
        <v>74</v>
      </c>
      <c r="O751" t="s">
        <v>74</v>
      </c>
      <c r="P751" t="s">
        <v>74</v>
      </c>
      <c r="Q751" t="s">
        <v>74</v>
      </c>
      <c r="R751" t="s">
        <v>74</v>
      </c>
      <c r="S751" t="s">
        <v>74</v>
      </c>
      <c r="T751" t="s">
        <v>74</v>
      </c>
      <c r="U751" t="s">
        <v>74</v>
      </c>
      <c r="V751" t="s">
        <v>74</v>
      </c>
      <c r="W751" t="s">
        <v>74</v>
      </c>
      <c r="X751" t="s">
        <v>74</v>
      </c>
      <c r="Y751" t="s">
        <v>74</v>
      </c>
      <c r="Z751" t="s">
        <v>74</v>
      </c>
      <c r="AA751" t="s">
        <v>5548</v>
      </c>
      <c r="AB751" t="s">
        <v>5549</v>
      </c>
      <c r="AC751" t="s">
        <v>74</v>
      </c>
      <c r="AD751" t="s">
        <v>74</v>
      </c>
      <c r="AE751" t="s">
        <v>74</v>
      </c>
      <c r="AF751" t="s">
        <v>74</v>
      </c>
      <c r="AG751" t="s">
        <v>74</v>
      </c>
      <c r="AH751" t="s">
        <v>74</v>
      </c>
      <c r="AI751" t="s">
        <v>74</v>
      </c>
      <c r="AJ751" t="s">
        <v>74</v>
      </c>
      <c r="AK751" t="s">
        <v>74</v>
      </c>
      <c r="AL751" t="s">
        <v>74</v>
      </c>
      <c r="AM751" t="s">
        <v>74</v>
      </c>
      <c r="AN751" t="s">
        <v>74</v>
      </c>
      <c r="AO751" t="s">
        <v>1302</v>
      </c>
      <c r="AP751" t="s">
        <v>1303</v>
      </c>
      <c r="AQ751" t="s">
        <v>74</v>
      </c>
      <c r="AR751" t="s">
        <v>74</v>
      </c>
      <c r="AS751" t="s">
        <v>74</v>
      </c>
      <c r="AT751" t="s">
        <v>569</v>
      </c>
      <c r="AU751">
        <v>2007</v>
      </c>
      <c r="AV751">
        <v>152</v>
      </c>
      <c r="AW751">
        <v>3</v>
      </c>
      <c r="AX751" t="s">
        <v>74</v>
      </c>
      <c r="AY751" t="s">
        <v>74</v>
      </c>
      <c r="AZ751" t="s">
        <v>74</v>
      </c>
      <c r="BA751" t="s">
        <v>74</v>
      </c>
      <c r="BB751">
        <v>473</v>
      </c>
      <c r="BC751">
        <v>484</v>
      </c>
      <c r="BD751" t="s">
        <v>74</v>
      </c>
      <c r="BE751" t="s">
        <v>5550</v>
      </c>
      <c r="BF751" t="str">
        <f>HYPERLINK("http://dx.doi.org/10.1007/s00442-007-0683-5","http://dx.doi.org/10.1007/s00442-007-0683-5")</f>
        <v>http://dx.doi.org/10.1007/s00442-007-0683-5</v>
      </c>
      <c r="BG751" t="s">
        <v>74</v>
      </c>
      <c r="BH751" t="s">
        <v>74</v>
      </c>
      <c r="BI751" t="s">
        <v>74</v>
      </c>
      <c r="BJ751" t="s">
        <v>74</v>
      </c>
      <c r="BK751" t="s">
        <v>74</v>
      </c>
      <c r="BL751" t="s">
        <v>74</v>
      </c>
      <c r="BM751" t="s">
        <v>74</v>
      </c>
      <c r="BN751">
        <v>17375336</v>
      </c>
      <c r="BO751" t="s">
        <v>74</v>
      </c>
      <c r="BP751" t="s">
        <v>74</v>
      </c>
      <c r="BQ751" t="s">
        <v>74</v>
      </c>
      <c r="BR751" t="s">
        <v>74</v>
      </c>
      <c r="BS751" t="s">
        <v>5551</v>
      </c>
      <c r="BT751" t="str">
        <f>HYPERLINK("https%3A%2F%2Fwww.webofscience.com%2Fwos%2Fwoscc%2Ffull-record%2FWOS:000246614700008","View Full Record in Web of Science")</f>
        <v>View Full Record in Web of Science</v>
      </c>
    </row>
    <row r="752" spans="1:72" x14ac:dyDescent="0.2">
      <c r="A752" t="s">
        <v>72</v>
      </c>
      <c r="B752" t="s">
        <v>5552</v>
      </c>
      <c r="C752" t="s">
        <v>74</v>
      </c>
      <c r="D752" t="s">
        <v>74</v>
      </c>
      <c r="E752" t="s">
        <v>74</v>
      </c>
      <c r="F752" t="s">
        <v>5553</v>
      </c>
      <c r="G752" t="s">
        <v>74</v>
      </c>
      <c r="H752" t="s">
        <v>74</v>
      </c>
      <c r="I752" t="s">
        <v>5554</v>
      </c>
      <c r="J752" t="s">
        <v>3360</v>
      </c>
      <c r="K752" t="s">
        <v>74</v>
      </c>
      <c r="L752" t="s">
        <v>74</v>
      </c>
      <c r="M752" t="s">
        <v>74</v>
      </c>
      <c r="N752" t="s">
        <v>74</v>
      </c>
      <c r="O752" t="s">
        <v>74</v>
      </c>
      <c r="P752" t="s">
        <v>74</v>
      </c>
      <c r="Q752" t="s">
        <v>74</v>
      </c>
      <c r="R752" t="s">
        <v>74</v>
      </c>
      <c r="S752" t="s">
        <v>74</v>
      </c>
      <c r="T752" t="s">
        <v>74</v>
      </c>
      <c r="U752" t="s">
        <v>74</v>
      </c>
      <c r="V752" t="s">
        <v>74</v>
      </c>
      <c r="W752" t="s">
        <v>74</v>
      </c>
      <c r="X752" t="s">
        <v>74</v>
      </c>
      <c r="Y752" t="s">
        <v>74</v>
      </c>
      <c r="Z752" t="s">
        <v>74</v>
      </c>
      <c r="AA752" t="s">
        <v>5555</v>
      </c>
      <c r="AB752" t="s">
        <v>5556</v>
      </c>
      <c r="AC752" t="s">
        <v>74</v>
      </c>
      <c r="AD752" t="s">
        <v>74</v>
      </c>
      <c r="AE752" t="s">
        <v>74</v>
      </c>
      <c r="AF752" t="s">
        <v>74</v>
      </c>
      <c r="AG752" t="s">
        <v>74</v>
      </c>
      <c r="AH752" t="s">
        <v>74</v>
      </c>
      <c r="AI752" t="s">
        <v>74</v>
      </c>
      <c r="AJ752" t="s">
        <v>74</v>
      </c>
      <c r="AK752" t="s">
        <v>74</v>
      </c>
      <c r="AL752" t="s">
        <v>74</v>
      </c>
      <c r="AM752" t="s">
        <v>74</v>
      </c>
      <c r="AN752" t="s">
        <v>74</v>
      </c>
      <c r="AO752" t="s">
        <v>3363</v>
      </c>
      <c r="AP752" t="s">
        <v>3364</v>
      </c>
      <c r="AQ752" t="s">
        <v>74</v>
      </c>
      <c r="AR752" t="s">
        <v>74</v>
      </c>
      <c r="AS752" t="s">
        <v>74</v>
      </c>
      <c r="AT752" t="s">
        <v>575</v>
      </c>
      <c r="AU752">
        <v>2007</v>
      </c>
      <c r="AV752">
        <v>151</v>
      </c>
      <c r="AW752">
        <v>4</v>
      </c>
      <c r="AX752" t="s">
        <v>74</v>
      </c>
      <c r="AY752" t="s">
        <v>74</v>
      </c>
      <c r="AZ752" t="s">
        <v>74</v>
      </c>
      <c r="BA752" t="s">
        <v>74</v>
      </c>
      <c r="BB752">
        <v>1385</v>
      </c>
      <c r="BC752">
        <v>1396</v>
      </c>
      <c r="BD752" t="s">
        <v>74</v>
      </c>
      <c r="BE752" t="s">
        <v>5557</v>
      </c>
      <c r="BF752" t="str">
        <f>HYPERLINK("http://dx.doi.org/10.1007/s00227-006-0578-8","http://dx.doi.org/10.1007/s00227-006-0578-8")</f>
        <v>http://dx.doi.org/10.1007/s00227-006-0578-8</v>
      </c>
      <c r="BG752" t="s">
        <v>74</v>
      </c>
      <c r="BH752" t="s">
        <v>74</v>
      </c>
      <c r="BI752" t="s">
        <v>74</v>
      </c>
      <c r="BJ752" t="s">
        <v>74</v>
      </c>
      <c r="BK752" t="s">
        <v>74</v>
      </c>
      <c r="BL752" t="s">
        <v>74</v>
      </c>
      <c r="BM752" t="s">
        <v>74</v>
      </c>
      <c r="BN752" t="s">
        <v>74</v>
      </c>
      <c r="BO752" t="s">
        <v>74</v>
      </c>
      <c r="BP752" t="s">
        <v>74</v>
      </c>
      <c r="BQ752" t="s">
        <v>74</v>
      </c>
      <c r="BR752" t="s">
        <v>74</v>
      </c>
      <c r="BS752" t="s">
        <v>5558</v>
      </c>
      <c r="BT752" t="str">
        <f>HYPERLINK("https%3A%2F%2Fwww.webofscience.com%2Fwos%2Fwoscc%2Ffull-record%2FWOS:000246099000017","View Full Record in Web of Science")</f>
        <v>View Full Record in Web of Science</v>
      </c>
    </row>
    <row r="753" spans="1:72" x14ac:dyDescent="0.2">
      <c r="A753" t="s">
        <v>72</v>
      </c>
      <c r="B753" t="s">
        <v>5559</v>
      </c>
      <c r="C753" t="s">
        <v>74</v>
      </c>
      <c r="D753" t="s">
        <v>74</v>
      </c>
      <c r="E753" t="s">
        <v>74</v>
      </c>
      <c r="F753" t="s">
        <v>5560</v>
      </c>
      <c r="G753" t="s">
        <v>74</v>
      </c>
      <c r="H753" t="s">
        <v>74</v>
      </c>
      <c r="I753" t="s">
        <v>5561</v>
      </c>
      <c r="J753" t="s">
        <v>423</v>
      </c>
      <c r="K753" t="s">
        <v>74</v>
      </c>
      <c r="L753" t="s">
        <v>74</v>
      </c>
      <c r="M753" t="s">
        <v>74</v>
      </c>
      <c r="N753" t="s">
        <v>74</v>
      </c>
      <c r="O753" t="s">
        <v>74</v>
      </c>
      <c r="P753" t="s">
        <v>74</v>
      </c>
      <c r="Q753" t="s">
        <v>74</v>
      </c>
      <c r="R753" t="s">
        <v>74</v>
      </c>
      <c r="S753" t="s">
        <v>74</v>
      </c>
      <c r="T753" t="s">
        <v>74</v>
      </c>
      <c r="U753" t="s">
        <v>74</v>
      </c>
      <c r="V753" t="s">
        <v>74</v>
      </c>
      <c r="W753" t="s">
        <v>74</v>
      </c>
      <c r="X753" t="s">
        <v>74</v>
      </c>
      <c r="Y753" t="s">
        <v>74</v>
      </c>
      <c r="Z753" t="s">
        <v>74</v>
      </c>
      <c r="AA753" t="s">
        <v>7162</v>
      </c>
      <c r="AB753" t="s">
        <v>5562</v>
      </c>
      <c r="AC753" t="s">
        <v>74</v>
      </c>
      <c r="AD753" t="s">
        <v>74</v>
      </c>
      <c r="AE753" t="s">
        <v>74</v>
      </c>
      <c r="AF753" t="s">
        <v>74</v>
      </c>
      <c r="AG753" t="s">
        <v>74</v>
      </c>
      <c r="AH753" t="s">
        <v>74</v>
      </c>
      <c r="AI753" t="s">
        <v>74</v>
      </c>
      <c r="AJ753" t="s">
        <v>74</v>
      </c>
      <c r="AK753" t="s">
        <v>74</v>
      </c>
      <c r="AL753" t="s">
        <v>74</v>
      </c>
      <c r="AM753" t="s">
        <v>74</v>
      </c>
      <c r="AN753" t="s">
        <v>74</v>
      </c>
      <c r="AO753" t="s">
        <v>425</v>
      </c>
      <c r="AP753" t="s">
        <v>426</v>
      </c>
      <c r="AQ753" t="s">
        <v>74</v>
      </c>
      <c r="AR753" t="s">
        <v>74</v>
      </c>
      <c r="AS753" t="s">
        <v>74</v>
      </c>
      <c r="AT753" t="s">
        <v>575</v>
      </c>
      <c r="AU753">
        <v>2007</v>
      </c>
      <c r="AV753">
        <v>52</v>
      </c>
      <c r="AW753">
        <v>5</v>
      </c>
      <c r="AX753" t="s">
        <v>74</v>
      </c>
      <c r="AY753" t="s">
        <v>74</v>
      </c>
      <c r="AZ753" t="s">
        <v>74</v>
      </c>
      <c r="BA753" t="s">
        <v>74</v>
      </c>
      <c r="BB753">
        <v>796</v>
      </c>
      <c r="BC753">
        <v>813</v>
      </c>
      <c r="BD753" t="s">
        <v>74</v>
      </c>
      <c r="BE753" t="s">
        <v>5563</v>
      </c>
      <c r="BF753" t="str">
        <f>HYPERLINK("http://dx.doi.org/10.1111/j.1365-2427.2007.01733.x","http://dx.doi.org/10.1111/j.1365-2427.2007.01733.x")</f>
        <v>http://dx.doi.org/10.1111/j.1365-2427.2007.01733.x</v>
      </c>
      <c r="BG753" t="s">
        <v>74</v>
      </c>
      <c r="BH753" t="s">
        <v>74</v>
      </c>
      <c r="BI753" t="s">
        <v>74</v>
      </c>
      <c r="BJ753" t="s">
        <v>74</v>
      </c>
      <c r="BK753" t="s">
        <v>74</v>
      </c>
      <c r="BL753" t="s">
        <v>74</v>
      </c>
      <c r="BM753" t="s">
        <v>74</v>
      </c>
      <c r="BN753" t="s">
        <v>74</v>
      </c>
      <c r="BO753" t="s">
        <v>74</v>
      </c>
      <c r="BP753" t="s">
        <v>74</v>
      </c>
      <c r="BQ753" t="s">
        <v>74</v>
      </c>
      <c r="BR753" t="s">
        <v>74</v>
      </c>
      <c r="BS753" t="s">
        <v>5564</v>
      </c>
      <c r="BT753" t="str">
        <f>HYPERLINK("https%3A%2F%2Fwww.webofscience.com%2Fwos%2Fwoscc%2Ffull-record%2FWOS:000245987200003","View Full Record in Web of Science")</f>
        <v>View Full Record in Web of Science</v>
      </c>
    </row>
    <row r="754" spans="1:72" x14ac:dyDescent="0.2">
      <c r="A754" t="s">
        <v>72</v>
      </c>
      <c r="B754" t="s">
        <v>5565</v>
      </c>
      <c r="C754" t="s">
        <v>74</v>
      </c>
      <c r="D754" t="s">
        <v>74</v>
      </c>
      <c r="E754" t="s">
        <v>74</v>
      </c>
      <c r="F754" t="s">
        <v>5566</v>
      </c>
      <c r="G754" t="s">
        <v>74</v>
      </c>
      <c r="H754" t="s">
        <v>74</v>
      </c>
      <c r="I754" t="s">
        <v>5567</v>
      </c>
      <c r="J754" t="s">
        <v>1224</v>
      </c>
      <c r="K754" t="s">
        <v>74</v>
      </c>
      <c r="L754" t="s">
        <v>74</v>
      </c>
      <c r="M754" t="s">
        <v>74</v>
      </c>
      <c r="N754" t="s">
        <v>74</v>
      </c>
      <c r="O754" t="s">
        <v>74</v>
      </c>
      <c r="P754" t="s">
        <v>74</v>
      </c>
      <c r="Q754" t="s">
        <v>74</v>
      </c>
      <c r="R754" t="s">
        <v>74</v>
      </c>
      <c r="S754" t="s">
        <v>74</v>
      </c>
      <c r="T754" t="s">
        <v>74</v>
      </c>
      <c r="U754" t="s">
        <v>74</v>
      </c>
      <c r="V754" t="s">
        <v>74</v>
      </c>
      <c r="W754" t="s">
        <v>74</v>
      </c>
      <c r="X754" t="s">
        <v>74</v>
      </c>
      <c r="Y754" t="s">
        <v>74</v>
      </c>
      <c r="Z754" t="s">
        <v>74</v>
      </c>
      <c r="AA754" t="s">
        <v>5106</v>
      </c>
      <c r="AB754" t="s">
        <v>5568</v>
      </c>
      <c r="AC754" t="s">
        <v>74</v>
      </c>
      <c r="AD754" t="s">
        <v>74</v>
      </c>
      <c r="AE754" t="s">
        <v>74</v>
      </c>
      <c r="AF754" t="s">
        <v>74</v>
      </c>
      <c r="AG754" t="s">
        <v>74</v>
      </c>
      <c r="AH754" t="s">
        <v>74</v>
      </c>
      <c r="AI754" t="s">
        <v>74</v>
      </c>
      <c r="AJ754" t="s">
        <v>74</v>
      </c>
      <c r="AK754" t="s">
        <v>74</v>
      </c>
      <c r="AL754" t="s">
        <v>74</v>
      </c>
      <c r="AM754" t="s">
        <v>74</v>
      </c>
      <c r="AN754" t="s">
        <v>74</v>
      </c>
      <c r="AO754" t="s">
        <v>1226</v>
      </c>
      <c r="AP754" t="s">
        <v>74</v>
      </c>
      <c r="AQ754" t="s">
        <v>74</v>
      </c>
      <c r="AR754" t="s">
        <v>74</v>
      </c>
      <c r="AS754" t="s">
        <v>74</v>
      </c>
      <c r="AT754" t="s">
        <v>575</v>
      </c>
      <c r="AU754">
        <v>2007</v>
      </c>
      <c r="AV754">
        <v>46</v>
      </c>
      <c r="AW754">
        <v>3</v>
      </c>
      <c r="AX754" t="s">
        <v>74</v>
      </c>
      <c r="AY754" t="s">
        <v>74</v>
      </c>
      <c r="AZ754" t="s">
        <v>74</v>
      </c>
      <c r="BA754" t="s">
        <v>74</v>
      </c>
      <c r="BB754">
        <v>284</v>
      </c>
      <c r="BC754">
        <v>292</v>
      </c>
      <c r="BD754" t="s">
        <v>74</v>
      </c>
      <c r="BE754" t="s">
        <v>5569</v>
      </c>
      <c r="BF754" t="str">
        <f>HYPERLINK("http://dx.doi.org/10.2216/06-69.1","http://dx.doi.org/10.2216/06-69.1")</f>
        <v>http://dx.doi.org/10.2216/06-69.1</v>
      </c>
      <c r="BG754" t="s">
        <v>74</v>
      </c>
      <c r="BH754" t="s">
        <v>74</v>
      </c>
      <c r="BI754" t="s">
        <v>74</v>
      </c>
      <c r="BJ754" t="s">
        <v>74</v>
      </c>
      <c r="BK754" t="s">
        <v>74</v>
      </c>
      <c r="BL754" t="s">
        <v>74</v>
      </c>
      <c r="BM754" t="s">
        <v>74</v>
      </c>
      <c r="BN754" t="s">
        <v>74</v>
      </c>
      <c r="BO754" t="s">
        <v>74</v>
      </c>
      <c r="BP754" t="s">
        <v>74</v>
      </c>
      <c r="BQ754" t="s">
        <v>74</v>
      </c>
      <c r="BR754" t="s">
        <v>74</v>
      </c>
      <c r="BS754" t="s">
        <v>5570</v>
      </c>
      <c r="BT754" t="str">
        <f>HYPERLINK("https%3A%2F%2Fwww.webofscience.com%2Fwos%2Fwoscc%2Ffull-record%2FWOS:000246241300007","View Full Record in Web of Science")</f>
        <v>View Full Record in Web of Science</v>
      </c>
    </row>
    <row r="755" spans="1:72" x14ac:dyDescent="0.2">
      <c r="A755" t="s">
        <v>72</v>
      </c>
      <c r="B755" t="s">
        <v>5571</v>
      </c>
      <c r="C755" t="s">
        <v>74</v>
      </c>
      <c r="D755" t="s">
        <v>74</v>
      </c>
      <c r="E755" t="s">
        <v>74</v>
      </c>
      <c r="F755" t="s">
        <v>5572</v>
      </c>
      <c r="G755" t="s">
        <v>74</v>
      </c>
      <c r="H755" t="s">
        <v>74</v>
      </c>
      <c r="I755" t="s">
        <v>5573</v>
      </c>
      <c r="J755" t="s">
        <v>5574</v>
      </c>
      <c r="K755" t="s">
        <v>74</v>
      </c>
      <c r="L755" t="s">
        <v>74</v>
      </c>
      <c r="M755" t="s">
        <v>74</v>
      </c>
      <c r="N755" t="s">
        <v>74</v>
      </c>
      <c r="O755" t="s">
        <v>74</v>
      </c>
      <c r="P755" t="s">
        <v>74</v>
      </c>
      <c r="Q755" t="s">
        <v>74</v>
      </c>
      <c r="R755" t="s">
        <v>74</v>
      </c>
      <c r="S755" t="s">
        <v>74</v>
      </c>
      <c r="T755" t="s">
        <v>74</v>
      </c>
      <c r="U755" t="s">
        <v>74</v>
      </c>
      <c r="V755" t="s">
        <v>74</v>
      </c>
      <c r="W755" t="s">
        <v>74</v>
      </c>
      <c r="X755" t="s">
        <v>74</v>
      </c>
      <c r="Y755" t="s">
        <v>74</v>
      </c>
      <c r="Z755" t="s">
        <v>74</v>
      </c>
      <c r="AA755" t="s">
        <v>4072</v>
      </c>
      <c r="AB755" t="s">
        <v>5575</v>
      </c>
      <c r="AC755" t="s">
        <v>74</v>
      </c>
      <c r="AD755" t="s">
        <v>74</v>
      </c>
      <c r="AE755" t="s">
        <v>74</v>
      </c>
      <c r="AF755" t="s">
        <v>74</v>
      </c>
      <c r="AG755" t="s">
        <v>74</v>
      </c>
      <c r="AH755" t="s">
        <v>74</v>
      </c>
      <c r="AI755" t="s">
        <v>74</v>
      </c>
      <c r="AJ755" t="s">
        <v>74</v>
      </c>
      <c r="AK755" t="s">
        <v>74</v>
      </c>
      <c r="AL755" t="s">
        <v>74</v>
      </c>
      <c r="AM755" t="s">
        <v>74</v>
      </c>
      <c r="AN755" t="s">
        <v>74</v>
      </c>
      <c r="AO755" t="s">
        <v>5576</v>
      </c>
      <c r="AP755" t="s">
        <v>5577</v>
      </c>
      <c r="AQ755" t="s">
        <v>74</v>
      </c>
      <c r="AR755" t="s">
        <v>74</v>
      </c>
      <c r="AS755" t="s">
        <v>74</v>
      </c>
      <c r="AT755" t="s">
        <v>203</v>
      </c>
      <c r="AU755">
        <v>2007</v>
      </c>
      <c r="AV755">
        <v>26</v>
      </c>
      <c r="AW755">
        <v>1</v>
      </c>
      <c r="AX755" t="s">
        <v>74</v>
      </c>
      <c r="AY755" t="s">
        <v>74</v>
      </c>
      <c r="AZ755" t="s">
        <v>74</v>
      </c>
      <c r="BA755" t="s">
        <v>74</v>
      </c>
      <c r="BB755">
        <v>205</v>
      </c>
      <c r="BC755">
        <v>213</v>
      </c>
      <c r="BD755" t="s">
        <v>74</v>
      </c>
      <c r="BE755" t="s">
        <v>5578</v>
      </c>
      <c r="BF755" t="str">
        <f>HYPERLINK("http://dx.doi.org/10.2983/0730-8000(2007)26[205:TIBDPA]2.0.CO;2","http://dx.doi.org/10.2983/0730-8000(2007)26[205:TIBDPA]2.0.CO;2")</f>
        <v>http://dx.doi.org/10.2983/0730-8000(2007)26[205:TIBDPA]2.0.CO;2</v>
      </c>
      <c r="BG755" t="s">
        <v>74</v>
      </c>
      <c r="BH755" t="s">
        <v>74</v>
      </c>
      <c r="BI755" t="s">
        <v>74</v>
      </c>
      <c r="BJ755" t="s">
        <v>74</v>
      </c>
      <c r="BK755" t="s">
        <v>74</v>
      </c>
      <c r="BL755" t="s">
        <v>74</v>
      </c>
      <c r="BM755" t="s">
        <v>74</v>
      </c>
      <c r="BN755" t="s">
        <v>74</v>
      </c>
      <c r="BO755" t="s">
        <v>74</v>
      </c>
      <c r="BP755" t="s">
        <v>74</v>
      </c>
      <c r="BQ755" t="s">
        <v>74</v>
      </c>
      <c r="BR755" t="s">
        <v>74</v>
      </c>
      <c r="BS755" t="s">
        <v>5579</v>
      </c>
      <c r="BT755" t="str">
        <f>HYPERLINK("https%3A%2F%2Fwww.webofscience.com%2Fwos%2Fwoscc%2Ffull-record%2FWOS:000246255800025","View Full Record in Web of Science")</f>
        <v>View Full Record in Web of Science</v>
      </c>
    </row>
    <row r="756" spans="1:72" x14ac:dyDescent="0.2">
      <c r="A756" t="s">
        <v>72</v>
      </c>
      <c r="B756" t="s">
        <v>5580</v>
      </c>
      <c r="C756" t="s">
        <v>74</v>
      </c>
      <c r="D756" t="s">
        <v>74</v>
      </c>
      <c r="E756" t="s">
        <v>74</v>
      </c>
      <c r="F756" t="s">
        <v>5581</v>
      </c>
      <c r="G756" t="s">
        <v>74</v>
      </c>
      <c r="H756" t="s">
        <v>74</v>
      </c>
      <c r="I756" t="s">
        <v>5582</v>
      </c>
      <c r="J756" t="s">
        <v>5583</v>
      </c>
      <c r="K756" t="s">
        <v>74</v>
      </c>
      <c r="L756" t="s">
        <v>74</v>
      </c>
      <c r="M756" t="s">
        <v>74</v>
      </c>
      <c r="N756" t="s">
        <v>74</v>
      </c>
      <c r="O756" t="s">
        <v>74</v>
      </c>
      <c r="P756" t="s">
        <v>74</v>
      </c>
      <c r="Q756" t="s">
        <v>74</v>
      </c>
      <c r="R756" t="s">
        <v>74</v>
      </c>
      <c r="S756" t="s">
        <v>74</v>
      </c>
      <c r="T756" t="s">
        <v>74</v>
      </c>
      <c r="U756" t="s">
        <v>74</v>
      </c>
      <c r="V756" t="s">
        <v>74</v>
      </c>
      <c r="W756" t="s">
        <v>74</v>
      </c>
      <c r="X756" t="s">
        <v>74</v>
      </c>
      <c r="Y756" t="s">
        <v>74</v>
      </c>
      <c r="Z756" t="s">
        <v>74</v>
      </c>
      <c r="AA756" t="s">
        <v>5584</v>
      </c>
      <c r="AB756" t="s">
        <v>5585</v>
      </c>
      <c r="AC756" t="s">
        <v>74</v>
      </c>
      <c r="AD756" t="s">
        <v>74</v>
      </c>
      <c r="AE756" t="s">
        <v>74</v>
      </c>
      <c r="AF756" t="s">
        <v>74</v>
      </c>
      <c r="AG756" t="s">
        <v>74</v>
      </c>
      <c r="AH756" t="s">
        <v>74</v>
      </c>
      <c r="AI756" t="s">
        <v>74</v>
      </c>
      <c r="AJ756" t="s">
        <v>74</v>
      </c>
      <c r="AK756" t="s">
        <v>74</v>
      </c>
      <c r="AL756" t="s">
        <v>74</v>
      </c>
      <c r="AM756" t="s">
        <v>74</v>
      </c>
      <c r="AN756" t="s">
        <v>74</v>
      </c>
      <c r="AO756" t="s">
        <v>5586</v>
      </c>
      <c r="AP756" t="s">
        <v>74</v>
      </c>
      <c r="AQ756" t="s">
        <v>74</v>
      </c>
      <c r="AR756" t="s">
        <v>74</v>
      </c>
      <c r="AS756" t="s">
        <v>74</v>
      </c>
      <c r="AT756" t="s">
        <v>203</v>
      </c>
      <c r="AU756">
        <v>2007</v>
      </c>
      <c r="AV756">
        <v>32</v>
      </c>
      <c r="AW756">
        <v>4</v>
      </c>
      <c r="AX756" t="s">
        <v>74</v>
      </c>
      <c r="AY756" t="s">
        <v>74</v>
      </c>
      <c r="AZ756" t="s">
        <v>74</v>
      </c>
      <c r="BA756" t="s">
        <v>74</v>
      </c>
      <c r="BB756">
        <v>220</v>
      </c>
      <c r="BC756">
        <v>226</v>
      </c>
      <c r="BD756" t="s">
        <v>74</v>
      </c>
      <c r="BE756" t="s">
        <v>74</v>
      </c>
      <c r="BF756" t="s">
        <v>74</v>
      </c>
      <c r="BG756" t="s">
        <v>74</v>
      </c>
      <c r="BH756" t="s">
        <v>74</v>
      </c>
      <c r="BI756" t="s">
        <v>74</v>
      </c>
      <c r="BJ756" t="s">
        <v>74</v>
      </c>
      <c r="BK756" t="s">
        <v>74</v>
      </c>
      <c r="BL756" t="s">
        <v>74</v>
      </c>
      <c r="BM756" t="s">
        <v>74</v>
      </c>
      <c r="BN756" t="s">
        <v>74</v>
      </c>
      <c r="BO756" t="s">
        <v>74</v>
      </c>
      <c r="BP756" t="s">
        <v>74</v>
      </c>
      <c r="BQ756" t="s">
        <v>74</v>
      </c>
      <c r="BR756" t="s">
        <v>74</v>
      </c>
      <c r="BS756" t="s">
        <v>5587</v>
      </c>
      <c r="BT756" t="str">
        <f>HYPERLINK("https%3A%2F%2Fwww.webofscience.com%2Fwos%2Fwoscc%2Ffull-record%2FWOS:000246780500002","View Full Record in Web of Science")</f>
        <v>View Full Record in Web of Science</v>
      </c>
    </row>
    <row r="757" spans="1:72" x14ac:dyDescent="0.2">
      <c r="A757" t="s">
        <v>72</v>
      </c>
      <c r="B757" t="s">
        <v>5588</v>
      </c>
      <c r="C757" t="s">
        <v>74</v>
      </c>
      <c r="D757" t="s">
        <v>74</v>
      </c>
      <c r="E757" t="s">
        <v>74</v>
      </c>
      <c r="F757" t="s">
        <v>5589</v>
      </c>
      <c r="G757" t="s">
        <v>74</v>
      </c>
      <c r="H757" t="s">
        <v>74</v>
      </c>
      <c r="I757" t="s">
        <v>5590</v>
      </c>
      <c r="J757" t="s">
        <v>124</v>
      </c>
      <c r="K757" t="s">
        <v>74</v>
      </c>
      <c r="L757" t="s">
        <v>74</v>
      </c>
      <c r="M757" t="s">
        <v>74</v>
      </c>
      <c r="N757" t="s">
        <v>74</v>
      </c>
      <c r="O757" t="s">
        <v>74</v>
      </c>
      <c r="P757" t="s">
        <v>74</v>
      </c>
      <c r="Q757" t="s">
        <v>74</v>
      </c>
      <c r="R757" t="s">
        <v>74</v>
      </c>
      <c r="S757" t="s">
        <v>74</v>
      </c>
      <c r="T757" t="s">
        <v>74</v>
      </c>
      <c r="U757" t="s">
        <v>74</v>
      </c>
      <c r="V757" t="s">
        <v>74</v>
      </c>
      <c r="W757" t="s">
        <v>74</v>
      </c>
      <c r="X757" t="s">
        <v>74</v>
      </c>
      <c r="Y757" t="s">
        <v>74</v>
      </c>
      <c r="Z757" t="s">
        <v>74</v>
      </c>
      <c r="AA757" t="s">
        <v>5591</v>
      </c>
      <c r="AB757" t="s">
        <v>5592</v>
      </c>
      <c r="AC757" t="s">
        <v>74</v>
      </c>
      <c r="AD757" t="s">
        <v>74</v>
      </c>
      <c r="AE757" t="s">
        <v>74</v>
      </c>
      <c r="AF757" t="s">
        <v>74</v>
      </c>
      <c r="AG757" t="s">
        <v>74</v>
      </c>
      <c r="AH757" t="s">
        <v>74</v>
      </c>
      <c r="AI757" t="s">
        <v>74</v>
      </c>
      <c r="AJ757" t="s">
        <v>74</v>
      </c>
      <c r="AK757" t="s">
        <v>74</v>
      </c>
      <c r="AL757" t="s">
        <v>74</v>
      </c>
      <c r="AM757" t="s">
        <v>74</v>
      </c>
      <c r="AN757" t="s">
        <v>74</v>
      </c>
      <c r="AO757" t="s">
        <v>127</v>
      </c>
      <c r="AP757" t="s">
        <v>74</v>
      </c>
      <c r="AQ757" t="s">
        <v>74</v>
      </c>
      <c r="AR757" t="s">
        <v>74</v>
      </c>
      <c r="AS757" t="s">
        <v>74</v>
      </c>
      <c r="AT757" t="s">
        <v>157</v>
      </c>
      <c r="AU757">
        <v>2007</v>
      </c>
      <c r="AV757">
        <v>579</v>
      </c>
      <c r="AW757" t="s">
        <v>74</v>
      </c>
      <c r="AX757" t="s">
        <v>74</v>
      </c>
      <c r="AY757" t="s">
        <v>74</v>
      </c>
      <c r="AZ757" t="s">
        <v>74</v>
      </c>
      <c r="BA757" t="s">
        <v>74</v>
      </c>
      <c r="BB757">
        <v>135</v>
      </c>
      <c r="BC757">
        <v>145</v>
      </c>
      <c r="BD757" t="s">
        <v>74</v>
      </c>
      <c r="BE757" t="s">
        <v>5593</v>
      </c>
      <c r="BF757" t="str">
        <f>HYPERLINK("http://dx.doi.org/10.1007/s10750-006-0397-4","http://dx.doi.org/10.1007/s10750-006-0397-4")</f>
        <v>http://dx.doi.org/10.1007/s10750-006-0397-4</v>
      </c>
      <c r="BG757" t="s">
        <v>74</v>
      </c>
      <c r="BH757" t="s">
        <v>74</v>
      </c>
      <c r="BI757" t="s">
        <v>74</v>
      </c>
      <c r="BJ757" t="s">
        <v>74</v>
      </c>
      <c r="BK757" t="s">
        <v>74</v>
      </c>
      <c r="BL757" t="s">
        <v>74</v>
      </c>
      <c r="BM757" t="s">
        <v>74</v>
      </c>
      <c r="BN757" t="s">
        <v>74</v>
      </c>
      <c r="BO757" t="s">
        <v>74</v>
      </c>
      <c r="BP757" t="s">
        <v>74</v>
      </c>
      <c r="BQ757" t="s">
        <v>74</v>
      </c>
      <c r="BR757" t="s">
        <v>74</v>
      </c>
      <c r="BS757" t="s">
        <v>5594</v>
      </c>
      <c r="BT757" t="str">
        <f>HYPERLINK("https%3A%2F%2Fwww.webofscience.com%2Fwos%2Fwoscc%2Ffull-record%2FWOS:000244187200011","View Full Record in Web of Science")</f>
        <v>View Full Record in Web of Science</v>
      </c>
    </row>
    <row r="758" spans="1:72" x14ac:dyDescent="0.2">
      <c r="A758" t="s">
        <v>72</v>
      </c>
      <c r="B758" t="s">
        <v>5595</v>
      </c>
      <c r="C758" t="s">
        <v>74</v>
      </c>
      <c r="D758" t="s">
        <v>74</v>
      </c>
      <c r="E758" t="s">
        <v>74</v>
      </c>
      <c r="F758" t="s">
        <v>5596</v>
      </c>
      <c r="G758" t="s">
        <v>74</v>
      </c>
      <c r="H758" t="s">
        <v>74</v>
      </c>
      <c r="I758" t="s">
        <v>5597</v>
      </c>
      <c r="J758" t="s">
        <v>423</v>
      </c>
      <c r="K758" t="s">
        <v>74</v>
      </c>
      <c r="L758" t="s">
        <v>74</v>
      </c>
      <c r="M758" t="s">
        <v>74</v>
      </c>
      <c r="N758" t="s">
        <v>74</v>
      </c>
      <c r="O758" t="s">
        <v>74</v>
      </c>
      <c r="P758" t="s">
        <v>74</v>
      </c>
      <c r="Q758" t="s">
        <v>74</v>
      </c>
      <c r="R758" t="s">
        <v>74</v>
      </c>
      <c r="S758" t="s">
        <v>74</v>
      </c>
      <c r="T758" t="s">
        <v>74</v>
      </c>
      <c r="U758" t="s">
        <v>74</v>
      </c>
      <c r="V758" t="s">
        <v>74</v>
      </c>
      <c r="W758" t="s">
        <v>74</v>
      </c>
      <c r="X758" t="s">
        <v>74</v>
      </c>
      <c r="Y758" t="s">
        <v>74</v>
      </c>
      <c r="Z758" t="s">
        <v>74</v>
      </c>
      <c r="AA758" t="s">
        <v>7163</v>
      </c>
      <c r="AB758" t="s">
        <v>7164</v>
      </c>
      <c r="AC758" t="s">
        <v>74</v>
      </c>
      <c r="AD758" t="s">
        <v>74</v>
      </c>
      <c r="AE758" t="s">
        <v>74</v>
      </c>
      <c r="AF758" t="s">
        <v>74</v>
      </c>
      <c r="AG758" t="s">
        <v>74</v>
      </c>
      <c r="AH758" t="s">
        <v>74</v>
      </c>
      <c r="AI758" t="s">
        <v>74</v>
      </c>
      <c r="AJ758" t="s">
        <v>74</v>
      </c>
      <c r="AK758" t="s">
        <v>74</v>
      </c>
      <c r="AL758" t="s">
        <v>74</v>
      </c>
      <c r="AM758" t="s">
        <v>74</v>
      </c>
      <c r="AN758" t="s">
        <v>74</v>
      </c>
      <c r="AO758" t="s">
        <v>425</v>
      </c>
      <c r="AP758" t="s">
        <v>74</v>
      </c>
      <c r="AQ758" t="s">
        <v>74</v>
      </c>
      <c r="AR758" t="s">
        <v>74</v>
      </c>
      <c r="AS758" t="s">
        <v>74</v>
      </c>
      <c r="AT758" t="s">
        <v>157</v>
      </c>
      <c r="AU758">
        <v>2007</v>
      </c>
      <c r="AV758">
        <v>52</v>
      </c>
      <c r="AW758">
        <v>3</v>
      </c>
      <c r="AX758" t="s">
        <v>74</v>
      </c>
      <c r="AY758" t="s">
        <v>74</v>
      </c>
      <c r="AZ758" t="s">
        <v>74</v>
      </c>
      <c r="BA758" t="s">
        <v>74</v>
      </c>
      <c r="BB758">
        <v>421</v>
      </c>
      <c r="BC758">
        <v>433</v>
      </c>
      <c r="BD758" t="s">
        <v>74</v>
      </c>
      <c r="BE758" t="s">
        <v>5598</v>
      </c>
      <c r="BF758" t="str">
        <f>HYPERLINK("http://dx.doi.org/10.1111/j.1365-2427.2006.01717.x","http://dx.doi.org/10.1111/j.1365-2427.2006.01717.x")</f>
        <v>http://dx.doi.org/10.1111/j.1365-2427.2006.01717.x</v>
      </c>
      <c r="BG758" t="s">
        <v>74</v>
      </c>
      <c r="BH758" t="s">
        <v>74</v>
      </c>
      <c r="BI758" t="s">
        <v>74</v>
      </c>
      <c r="BJ758" t="s">
        <v>74</v>
      </c>
      <c r="BK758" t="s">
        <v>74</v>
      </c>
      <c r="BL758" t="s">
        <v>74</v>
      </c>
      <c r="BM758" t="s">
        <v>74</v>
      </c>
      <c r="BN758" t="s">
        <v>74</v>
      </c>
      <c r="BO758" t="s">
        <v>74</v>
      </c>
      <c r="BP758" t="s">
        <v>74</v>
      </c>
      <c r="BQ758" t="s">
        <v>74</v>
      </c>
      <c r="BR758" t="s">
        <v>74</v>
      </c>
      <c r="BS758" t="s">
        <v>5599</v>
      </c>
      <c r="BT758" t="str">
        <f>HYPERLINK("https%3A%2F%2Fwww.webofscience.com%2Fwos%2Fwoscc%2Ffull-record%2FWOS:000244111400003","View Full Record in Web of Science")</f>
        <v>View Full Record in Web of Science</v>
      </c>
    </row>
    <row r="759" spans="1:72" x14ac:dyDescent="0.2">
      <c r="A759" t="s">
        <v>72</v>
      </c>
      <c r="B759" t="s">
        <v>5600</v>
      </c>
      <c r="C759" t="s">
        <v>74</v>
      </c>
      <c r="D759" t="s">
        <v>74</v>
      </c>
      <c r="E759" t="s">
        <v>74</v>
      </c>
      <c r="F759" t="s">
        <v>5601</v>
      </c>
      <c r="G759" t="s">
        <v>74</v>
      </c>
      <c r="H759" t="s">
        <v>74</v>
      </c>
      <c r="I759" t="s">
        <v>5602</v>
      </c>
      <c r="J759" t="s">
        <v>124</v>
      </c>
      <c r="K759" t="s">
        <v>74</v>
      </c>
      <c r="L759" t="s">
        <v>74</v>
      </c>
      <c r="M759" t="s">
        <v>74</v>
      </c>
      <c r="N759" t="s">
        <v>74</v>
      </c>
      <c r="O759" t="s">
        <v>5603</v>
      </c>
      <c r="P759" t="s">
        <v>5604</v>
      </c>
      <c r="Q759" t="s">
        <v>5605</v>
      </c>
      <c r="R759" t="s">
        <v>5606</v>
      </c>
      <c r="S759" t="s">
        <v>74</v>
      </c>
      <c r="T759" t="s">
        <v>74</v>
      </c>
      <c r="U759" t="s">
        <v>74</v>
      </c>
      <c r="V759" t="s">
        <v>74</v>
      </c>
      <c r="W759" t="s">
        <v>74</v>
      </c>
      <c r="X759" t="s">
        <v>74</v>
      </c>
      <c r="Y759" t="s">
        <v>74</v>
      </c>
      <c r="Z759" t="s">
        <v>74</v>
      </c>
      <c r="AA759" t="s">
        <v>5607</v>
      </c>
      <c r="AB759" t="s">
        <v>5608</v>
      </c>
      <c r="AC759" t="s">
        <v>74</v>
      </c>
      <c r="AD759" t="s">
        <v>74</v>
      </c>
      <c r="AE759" t="s">
        <v>74</v>
      </c>
      <c r="AF759" t="s">
        <v>74</v>
      </c>
      <c r="AG759" t="s">
        <v>74</v>
      </c>
      <c r="AH759" t="s">
        <v>74</v>
      </c>
      <c r="AI759" t="s">
        <v>74</v>
      </c>
      <c r="AJ759" t="s">
        <v>74</v>
      </c>
      <c r="AK759" t="s">
        <v>74</v>
      </c>
      <c r="AL759" t="s">
        <v>74</v>
      </c>
      <c r="AM759" t="s">
        <v>74</v>
      </c>
      <c r="AN759" t="s">
        <v>74</v>
      </c>
      <c r="AO759" t="s">
        <v>127</v>
      </c>
      <c r="AP759" t="s">
        <v>128</v>
      </c>
      <c r="AQ759" t="s">
        <v>74</v>
      </c>
      <c r="AR759" t="s">
        <v>74</v>
      </c>
      <c r="AS759" t="s">
        <v>74</v>
      </c>
      <c r="AT759" t="s">
        <v>157</v>
      </c>
      <c r="AU759">
        <v>2007</v>
      </c>
      <c r="AV759">
        <v>578</v>
      </c>
      <c r="AW759">
        <v>1</v>
      </c>
      <c r="AX759" t="s">
        <v>74</v>
      </c>
      <c r="AY759" t="s">
        <v>74</v>
      </c>
      <c r="AZ759" t="s">
        <v>74</v>
      </c>
      <c r="BA759" t="s">
        <v>74</v>
      </c>
      <c r="BB759">
        <v>17</v>
      </c>
      <c r="BC759">
        <v>27</v>
      </c>
      <c r="BD759" t="s">
        <v>74</v>
      </c>
      <c r="BE759" t="s">
        <v>5609</v>
      </c>
      <c r="BF759" t="str">
        <f>HYPERLINK("http://dx.doi.org/10.1007/s10750-006-0429-0","http://dx.doi.org/10.1007/s10750-006-0429-0")</f>
        <v>http://dx.doi.org/10.1007/s10750-006-0429-0</v>
      </c>
      <c r="BG759" t="s">
        <v>74</v>
      </c>
      <c r="BH759" t="s">
        <v>74</v>
      </c>
      <c r="BI759" t="s">
        <v>74</v>
      </c>
      <c r="BJ759" t="s">
        <v>74</v>
      </c>
      <c r="BK759" t="s">
        <v>74</v>
      </c>
      <c r="BL759" t="s">
        <v>74</v>
      </c>
      <c r="BM759" t="s">
        <v>74</v>
      </c>
      <c r="BN759" t="s">
        <v>74</v>
      </c>
      <c r="BO759" t="s">
        <v>74</v>
      </c>
      <c r="BP759" t="s">
        <v>74</v>
      </c>
      <c r="BQ759" t="s">
        <v>74</v>
      </c>
      <c r="BR759" t="s">
        <v>74</v>
      </c>
      <c r="BS759" t="s">
        <v>5610</v>
      </c>
      <c r="BT759" t="str">
        <f>HYPERLINK("https%3A%2F%2Fwww.webofscience.com%2Fwos%2Fwoscc%2Ffull-record%2FWOS:000244308300003","View Full Record in Web of Science")</f>
        <v>View Full Record in Web of Science</v>
      </c>
    </row>
    <row r="760" spans="1:72" x14ac:dyDescent="0.2">
      <c r="A760" t="s">
        <v>72</v>
      </c>
      <c r="B760" t="s">
        <v>5611</v>
      </c>
      <c r="C760" t="s">
        <v>74</v>
      </c>
      <c r="D760" t="s">
        <v>74</v>
      </c>
      <c r="E760" t="s">
        <v>74</v>
      </c>
      <c r="F760" t="s">
        <v>5612</v>
      </c>
      <c r="G760" t="s">
        <v>74</v>
      </c>
      <c r="H760" t="s">
        <v>74</v>
      </c>
      <c r="I760" t="s">
        <v>5613</v>
      </c>
      <c r="J760" t="s">
        <v>973</v>
      </c>
      <c r="K760" t="s">
        <v>74</v>
      </c>
      <c r="L760" t="s">
        <v>74</v>
      </c>
      <c r="M760" t="s">
        <v>74</v>
      </c>
      <c r="N760" t="s">
        <v>74</v>
      </c>
      <c r="O760" t="s">
        <v>74</v>
      </c>
      <c r="P760" t="s">
        <v>74</v>
      </c>
      <c r="Q760" t="s">
        <v>74</v>
      </c>
      <c r="R760" t="s">
        <v>74</v>
      </c>
      <c r="S760" t="s">
        <v>74</v>
      </c>
      <c r="T760" t="s">
        <v>74</v>
      </c>
      <c r="U760" t="s">
        <v>74</v>
      </c>
      <c r="V760" t="s">
        <v>74</v>
      </c>
      <c r="W760" t="s">
        <v>74</v>
      </c>
      <c r="X760" t="s">
        <v>74</v>
      </c>
      <c r="Y760" t="s">
        <v>74</v>
      </c>
      <c r="Z760" t="s">
        <v>74</v>
      </c>
      <c r="AA760" t="s">
        <v>5614</v>
      </c>
      <c r="AB760" t="s">
        <v>5615</v>
      </c>
      <c r="AC760" t="s">
        <v>74</v>
      </c>
      <c r="AD760" t="s">
        <v>74</v>
      </c>
      <c r="AE760" t="s">
        <v>74</v>
      </c>
      <c r="AF760" t="s">
        <v>74</v>
      </c>
      <c r="AG760" t="s">
        <v>74</v>
      </c>
      <c r="AH760" t="s">
        <v>74</v>
      </c>
      <c r="AI760" t="s">
        <v>74</v>
      </c>
      <c r="AJ760" t="s">
        <v>74</v>
      </c>
      <c r="AK760" t="s">
        <v>74</v>
      </c>
      <c r="AL760" t="s">
        <v>74</v>
      </c>
      <c r="AM760" t="s">
        <v>74</v>
      </c>
      <c r="AN760" t="s">
        <v>74</v>
      </c>
      <c r="AO760" t="s">
        <v>974</v>
      </c>
      <c r="AP760" t="s">
        <v>975</v>
      </c>
      <c r="AQ760" t="s">
        <v>74</v>
      </c>
      <c r="AR760" t="s">
        <v>74</v>
      </c>
      <c r="AS760" t="s">
        <v>74</v>
      </c>
      <c r="AT760" t="s">
        <v>157</v>
      </c>
      <c r="AU760">
        <v>2007</v>
      </c>
      <c r="AV760">
        <v>72</v>
      </c>
      <c r="AW760" t="s">
        <v>5289</v>
      </c>
      <c r="AX760" t="s">
        <v>74</v>
      </c>
      <c r="AY760" t="s">
        <v>74</v>
      </c>
      <c r="AZ760" t="s">
        <v>74</v>
      </c>
      <c r="BA760" t="s">
        <v>74</v>
      </c>
      <c r="BB760">
        <v>201</v>
      </c>
      <c r="BC760">
        <v>212</v>
      </c>
      <c r="BD760" t="s">
        <v>74</v>
      </c>
      <c r="BE760" t="s">
        <v>5616</v>
      </c>
      <c r="BF760" t="str">
        <f>HYPERLINK("http://dx.doi.org/10.1016/j.ecss.2006.10.016","http://dx.doi.org/10.1016/j.ecss.2006.10.016")</f>
        <v>http://dx.doi.org/10.1016/j.ecss.2006.10.016</v>
      </c>
      <c r="BG760" t="s">
        <v>74</v>
      </c>
      <c r="BH760" t="s">
        <v>74</v>
      </c>
      <c r="BI760" t="s">
        <v>74</v>
      </c>
      <c r="BJ760" t="s">
        <v>74</v>
      </c>
      <c r="BK760" t="s">
        <v>74</v>
      </c>
      <c r="BL760" t="s">
        <v>74</v>
      </c>
      <c r="BM760" t="s">
        <v>74</v>
      </c>
      <c r="BN760" t="s">
        <v>74</v>
      </c>
      <c r="BO760" t="s">
        <v>74</v>
      </c>
      <c r="BP760" t="s">
        <v>74</v>
      </c>
      <c r="BQ760" t="s">
        <v>74</v>
      </c>
      <c r="BR760" t="s">
        <v>74</v>
      </c>
      <c r="BS760" t="s">
        <v>5617</v>
      </c>
      <c r="BT760" t="str">
        <f>HYPERLINK("https%3A%2F%2Fwww.webofscience.com%2Fwos%2Fwoscc%2Ffull-record%2FWOS:000244862400017","View Full Record in Web of Science")</f>
        <v>View Full Record in Web of Science</v>
      </c>
    </row>
    <row r="761" spans="1:72" x14ac:dyDescent="0.2">
      <c r="A761" t="s">
        <v>72</v>
      </c>
      <c r="B761" t="s">
        <v>5618</v>
      </c>
      <c r="C761" t="s">
        <v>74</v>
      </c>
      <c r="D761" t="s">
        <v>74</v>
      </c>
      <c r="E761" t="s">
        <v>74</v>
      </c>
      <c r="F761" t="s">
        <v>5619</v>
      </c>
      <c r="G761" t="s">
        <v>74</v>
      </c>
      <c r="H761" t="s">
        <v>74</v>
      </c>
      <c r="I761" t="s">
        <v>5620</v>
      </c>
      <c r="J761" t="s">
        <v>2769</v>
      </c>
      <c r="K761" t="s">
        <v>74</v>
      </c>
      <c r="L761" t="s">
        <v>74</v>
      </c>
      <c r="M761" t="s">
        <v>74</v>
      </c>
      <c r="N761" t="s">
        <v>74</v>
      </c>
      <c r="O761" t="s">
        <v>74</v>
      </c>
      <c r="P761" t="s">
        <v>74</v>
      </c>
      <c r="Q761" t="s">
        <v>74</v>
      </c>
      <c r="R761" t="s">
        <v>74</v>
      </c>
      <c r="S761" t="s">
        <v>74</v>
      </c>
      <c r="T761" t="s">
        <v>74</v>
      </c>
      <c r="U761" t="s">
        <v>74</v>
      </c>
      <c r="V761" t="s">
        <v>74</v>
      </c>
      <c r="W761" t="s">
        <v>74</v>
      </c>
      <c r="X761" t="s">
        <v>74</v>
      </c>
      <c r="Y761" t="s">
        <v>74</v>
      </c>
      <c r="Z761" t="s">
        <v>74</v>
      </c>
      <c r="AA761" t="s">
        <v>7165</v>
      </c>
      <c r="AB761" t="s">
        <v>5621</v>
      </c>
      <c r="AC761" t="s">
        <v>74</v>
      </c>
      <c r="AD761" t="s">
        <v>74</v>
      </c>
      <c r="AE761" t="s">
        <v>74</v>
      </c>
      <c r="AF761" t="s">
        <v>74</v>
      </c>
      <c r="AG761" t="s">
        <v>74</v>
      </c>
      <c r="AH761" t="s">
        <v>74</v>
      </c>
      <c r="AI761" t="s">
        <v>74</v>
      </c>
      <c r="AJ761" t="s">
        <v>74</v>
      </c>
      <c r="AK761" t="s">
        <v>74</v>
      </c>
      <c r="AL761" t="s">
        <v>74</v>
      </c>
      <c r="AM761" t="s">
        <v>74</v>
      </c>
      <c r="AN761" t="s">
        <v>74</v>
      </c>
      <c r="AO761" t="s">
        <v>2772</v>
      </c>
      <c r="AP761" t="s">
        <v>2773</v>
      </c>
      <c r="AQ761" t="s">
        <v>74</v>
      </c>
      <c r="AR761" t="s">
        <v>74</v>
      </c>
      <c r="AS761" t="s">
        <v>74</v>
      </c>
      <c r="AT761" t="s">
        <v>5622</v>
      </c>
      <c r="AU761">
        <v>2007</v>
      </c>
      <c r="AV761">
        <v>46</v>
      </c>
      <c r="AW761">
        <v>2</v>
      </c>
      <c r="AX761" t="s">
        <v>74</v>
      </c>
      <c r="AY761" t="s">
        <v>74</v>
      </c>
      <c r="AZ761" t="s">
        <v>74</v>
      </c>
      <c r="BA761" t="s">
        <v>74</v>
      </c>
      <c r="BB761">
        <v>117</v>
      </c>
      <c r="BC761">
        <v>123</v>
      </c>
      <c r="BD761" t="s">
        <v>74</v>
      </c>
      <c r="BE761" t="s">
        <v>5623</v>
      </c>
      <c r="BF761" t="str">
        <f>HYPERLINK("http://dx.doi.org/10.3354/ame046117","http://dx.doi.org/10.3354/ame046117")</f>
        <v>http://dx.doi.org/10.3354/ame046117</v>
      </c>
      <c r="BG761" t="s">
        <v>74</v>
      </c>
      <c r="BH761" t="s">
        <v>74</v>
      </c>
      <c r="BI761" t="s">
        <v>74</v>
      </c>
      <c r="BJ761" t="s">
        <v>74</v>
      </c>
      <c r="BK761" t="s">
        <v>74</v>
      </c>
      <c r="BL761" t="s">
        <v>74</v>
      </c>
      <c r="BM761" t="s">
        <v>74</v>
      </c>
      <c r="BN761" t="s">
        <v>74</v>
      </c>
      <c r="BO761" t="s">
        <v>74</v>
      </c>
      <c r="BP761" t="s">
        <v>74</v>
      </c>
      <c r="BQ761" t="s">
        <v>74</v>
      </c>
      <c r="BR761" t="s">
        <v>74</v>
      </c>
      <c r="BS761" t="s">
        <v>5624</v>
      </c>
      <c r="BT761" t="str">
        <f>HYPERLINK("https%3A%2F%2Fwww.webofscience.com%2Fwos%2Fwoscc%2Ffull-record%2FWOS:000244426800002","View Full Record in Web of Science")</f>
        <v>View Full Record in Web of Science</v>
      </c>
    </row>
    <row r="762" spans="1:72" x14ac:dyDescent="0.2">
      <c r="A762" t="s">
        <v>72</v>
      </c>
      <c r="B762" t="s">
        <v>5625</v>
      </c>
      <c r="C762" t="s">
        <v>74</v>
      </c>
      <c r="D762" t="s">
        <v>74</v>
      </c>
      <c r="E762" t="s">
        <v>74</v>
      </c>
      <c r="F762" t="s">
        <v>5626</v>
      </c>
      <c r="G762" t="s">
        <v>74</v>
      </c>
      <c r="H762" t="s">
        <v>74</v>
      </c>
      <c r="I762" t="s">
        <v>5627</v>
      </c>
      <c r="J762" t="s">
        <v>2694</v>
      </c>
      <c r="K762" t="s">
        <v>74</v>
      </c>
      <c r="L762" t="s">
        <v>74</v>
      </c>
      <c r="M762" t="s">
        <v>74</v>
      </c>
      <c r="N762" t="s">
        <v>74</v>
      </c>
      <c r="O762" t="s">
        <v>74</v>
      </c>
      <c r="P762" t="s">
        <v>74</v>
      </c>
      <c r="Q762" t="s">
        <v>74</v>
      </c>
      <c r="R762" t="s">
        <v>74</v>
      </c>
      <c r="S762" t="s">
        <v>74</v>
      </c>
      <c r="T762" t="s">
        <v>74</v>
      </c>
      <c r="U762" t="s">
        <v>74</v>
      </c>
      <c r="V762" t="s">
        <v>74</v>
      </c>
      <c r="W762" t="s">
        <v>74</v>
      </c>
      <c r="X762" t="s">
        <v>74</v>
      </c>
      <c r="Y762" t="s">
        <v>74</v>
      </c>
      <c r="Z762" t="s">
        <v>74</v>
      </c>
      <c r="AA762" t="s">
        <v>74</v>
      </c>
      <c r="AB762" t="s">
        <v>74</v>
      </c>
      <c r="AC762" t="s">
        <v>74</v>
      </c>
      <c r="AD762" t="s">
        <v>74</v>
      </c>
      <c r="AE762" t="s">
        <v>74</v>
      </c>
      <c r="AF762" t="s">
        <v>74</v>
      </c>
      <c r="AG762" t="s">
        <v>74</v>
      </c>
      <c r="AH762" t="s">
        <v>74</v>
      </c>
      <c r="AI762" t="s">
        <v>74</v>
      </c>
      <c r="AJ762" t="s">
        <v>74</v>
      </c>
      <c r="AK762" t="s">
        <v>74</v>
      </c>
      <c r="AL762" t="s">
        <v>74</v>
      </c>
      <c r="AM762" t="s">
        <v>74</v>
      </c>
      <c r="AN762" t="s">
        <v>74</v>
      </c>
      <c r="AO762" t="s">
        <v>2695</v>
      </c>
      <c r="AP762" t="s">
        <v>2696</v>
      </c>
      <c r="AQ762" t="s">
        <v>74</v>
      </c>
      <c r="AR762" t="s">
        <v>74</v>
      </c>
      <c r="AS762" t="s">
        <v>74</v>
      </c>
      <c r="AT762" t="s">
        <v>416</v>
      </c>
      <c r="AU762">
        <v>2007</v>
      </c>
      <c r="AV762">
        <v>113</v>
      </c>
      <c r="AW762">
        <v>2</v>
      </c>
      <c r="AX762" t="s">
        <v>74</v>
      </c>
      <c r="AY762" t="s">
        <v>74</v>
      </c>
      <c r="AZ762" t="s">
        <v>74</v>
      </c>
      <c r="BA762" t="s">
        <v>74</v>
      </c>
      <c r="BB762">
        <v>190</v>
      </c>
      <c r="BC762">
        <v>198</v>
      </c>
      <c r="BD762" t="s">
        <v>74</v>
      </c>
      <c r="BE762" t="s">
        <v>5628</v>
      </c>
      <c r="BF762" t="str">
        <f>HYPERLINK("http://dx.doi.org/10.1111/j.1439-0310.2006.01311.x","http://dx.doi.org/10.1111/j.1439-0310.2006.01311.x")</f>
        <v>http://dx.doi.org/10.1111/j.1439-0310.2006.01311.x</v>
      </c>
      <c r="BG762" t="s">
        <v>74</v>
      </c>
      <c r="BH762" t="s">
        <v>74</v>
      </c>
      <c r="BI762" t="s">
        <v>74</v>
      </c>
      <c r="BJ762" t="s">
        <v>74</v>
      </c>
      <c r="BK762" t="s">
        <v>74</v>
      </c>
      <c r="BL762" t="s">
        <v>74</v>
      </c>
      <c r="BM762" t="s">
        <v>74</v>
      </c>
      <c r="BN762" t="s">
        <v>74</v>
      </c>
      <c r="BO762" t="s">
        <v>74</v>
      </c>
      <c r="BP762" t="s">
        <v>74</v>
      </c>
      <c r="BQ762" t="s">
        <v>74</v>
      </c>
      <c r="BR762" t="s">
        <v>74</v>
      </c>
      <c r="BS762" t="s">
        <v>5629</v>
      </c>
      <c r="BT762" t="str">
        <f>HYPERLINK("https%3A%2F%2Fwww.webofscience.com%2Fwos%2Fwoscc%2Ffull-record%2FWOS:000244003600009","View Full Record in Web of Science")</f>
        <v>View Full Record in Web of Science</v>
      </c>
    </row>
    <row r="763" spans="1:72" x14ac:dyDescent="0.2">
      <c r="A763" t="s">
        <v>72</v>
      </c>
      <c r="B763" t="s">
        <v>5630</v>
      </c>
      <c r="C763" t="s">
        <v>74</v>
      </c>
      <c r="D763" t="s">
        <v>74</v>
      </c>
      <c r="E763" t="s">
        <v>74</v>
      </c>
      <c r="F763" t="s">
        <v>5631</v>
      </c>
      <c r="G763" t="s">
        <v>74</v>
      </c>
      <c r="H763" t="s">
        <v>74</v>
      </c>
      <c r="I763" t="s">
        <v>5632</v>
      </c>
      <c r="J763" t="s">
        <v>656</v>
      </c>
      <c r="K763" t="s">
        <v>74</v>
      </c>
      <c r="L763" t="s">
        <v>74</v>
      </c>
      <c r="M763" t="s">
        <v>74</v>
      </c>
      <c r="N763" t="s">
        <v>74</v>
      </c>
      <c r="O763" t="s">
        <v>74</v>
      </c>
      <c r="P763" t="s">
        <v>74</v>
      </c>
      <c r="Q763" t="s">
        <v>74</v>
      </c>
      <c r="R763" t="s">
        <v>74</v>
      </c>
      <c r="S763" t="s">
        <v>74</v>
      </c>
      <c r="T763" t="s">
        <v>74</v>
      </c>
      <c r="U763" t="s">
        <v>74</v>
      </c>
      <c r="V763" t="s">
        <v>74</v>
      </c>
      <c r="W763" t="s">
        <v>74</v>
      </c>
      <c r="X763" t="s">
        <v>74</v>
      </c>
      <c r="Y763" t="s">
        <v>74</v>
      </c>
      <c r="Z763" t="s">
        <v>74</v>
      </c>
      <c r="AA763" t="s">
        <v>5633</v>
      </c>
      <c r="AB763" t="s">
        <v>7166</v>
      </c>
      <c r="AC763" t="s">
        <v>74</v>
      </c>
      <c r="AD763" t="s">
        <v>74</v>
      </c>
      <c r="AE763" t="s">
        <v>74</v>
      </c>
      <c r="AF763" t="s">
        <v>74</v>
      </c>
      <c r="AG763" t="s">
        <v>74</v>
      </c>
      <c r="AH763" t="s">
        <v>74</v>
      </c>
      <c r="AI763" t="s">
        <v>74</v>
      </c>
      <c r="AJ763" t="s">
        <v>74</v>
      </c>
      <c r="AK763" t="s">
        <v>74</v>
      </c>
      <c r="AL763" t="s">
        <v>74</v>
      </c>
      <c r="AM763" t="s">
        <v>74</v>
      </c>
      <c r="AN763" t="s">
        <v>74</v>
      </c>
      <c r="AO763" t="s">
        <v>658</v>
      </c>
      <c r="AP763" t="s">
        <v>74</v>
      </c>
      <c r="AQ763" t="s">
        <v>74</v>
      </c>
      <c r="AR763" t="s">
        <v>74</v>
      </c>
      <c r="AS763" t="s">
        <v>74</v>
      </c>
      <c r="AT763" t="s">
        <v>74</v>
      </c>
      <c r="AU763">
        <v>2007</v>
      </c>
      <c r="AV763">
        <v>75</v>
      </c>
      <c r="AW763">
        <v>3</v>
      </c>
      <c r="AX763" t="s">
        <v>74</v>
      </c>
      <c r="AY763" t="s">
        <v>74</v>
      </c>
      <c r="AZ763" t="s">
        <v>74</v>
      </c>
      <c r="BA763" t="s">
        <v>74</v>
      </c>
      <c r="BB763">
        <v>396</v>
      </c>
      <c r="BC763">
        <v>414</v>
      </c>
      <c r="BD763" t="s">
        <v>74</v>
      </c>
      <c r="BE763" t="s">
        <v>5634</v>
      </c>
      <c r="BF763" t="str">
        <f>HYPERLINK("http://dx.doi.org/10.1016/j.pocean.2007.08.023","http://dx.doi.org/10.1016/j.pocean.2007.08.023")</f>
        <v>http://dx.doi.org/10.1016/j.pocean.2007.08.023</v>
      </c>
      <c r="BG763" t="s">
        <v>74</v>
      </c>
      <c r="BH763" t="s">
        <v>74</v>
      </c>
      <c r="BI763" t="s">
        <v>74</v>
      </c>
      <c r="BJ763" t="s">
        <v>74</v>
      </c>
      <c r="BK763" t="s">
        <v>74</v>
      </c>
      <c r="BL763" t="s">
        <v>74</v>
      </c>
      <c r="BM763" t="s">
        <v>74</v>
      </c>
      <c r="BN763" t="s">
        <v>74</v>
      </c>
      <c r="BO763" t="s">
        <v>74</v>
      </c>
      <c r="BP763" t="s">
        <v>74</v>
      </c>
      <c r="BQ763" t="s">
        <v>74</v>
      </c>
      <c r="BR763" t="s">
        <v>74</v>
      </c>
      <c r="BS763" t="s">
        <v>5635</v>
      </c>
      <c r="BT763" t="str">
        <f>HYPERLINK("https%3A%2F%2Fwww.webofscience.com%2Fwos%2Fwoscc%2Ffull-record%2FWOS:000251752700005","View Full Record in Web of Science")</f>
        <v>View Full Record in Web of Science</v>
      </c>
    </row>
    <row r="764" spans="1:72" x14ac:dyDescent="0.2">
      <c r="A764" t="s">
        <v>72</v>
      </c>
      <c r="B764" t="s">
        <v>5636</v>
      </c>
      <c r="C764" t="s">
        <v>74</v>
      </c>
      <c r="D764" t="s">
        <v>74</v>
      </c>
      <c r="E764" t="s">
        <v>74</v>
      </c>
      <c r="F764" t="s">
        <v>5637</v>
      </c>
      <c r="G764" t="s">
        <v>74</v>
      </c>
      <c r="H764" t="s">
        <v>74</v>
      </c>
      <c r="I764" t="s">
        <v>5638</v>
      </c>
      <c r="J764" t="s">
        <v>244</v>
      </c>
      <c r="K764" t="s">
        <v>74</v>
      </c>
      <c r="L764" t="s">
        <v>74</v>
      </c>
      <c r="M764" t="s">
        <v>74</v>
      </c>
      <c r="N764" t="s">
        <v>74</v>
      </c>
      <c r="O764" t="s">
        <v>74</v>
      </c>
      <c r="P764" t="s">
        <v>74</v>
      </c>
      <c r="Q764" t="s">
        <v>74</v>
      </c>
      <c r="R764" t="s">
        <v>74</v>
      </c>
      <c r="S764" t="s">
        <v>74</v>
      </c>
      <c r="T764" t="s">
        <v>74</v>
      </c>
      <c r="U764" t="s">
        <v>74</v>
      </c>
      <c r="V764" t="s">
        <v>74</v>
      </c>
      <c r="W764" t="s">
        <v>74</v>
      </c>
      <c r="X764" t="s">
        <v>74</v>
      </c>
      <c r="Y764" t="s">
        <v>74</v>
      </c>
      <c r="Z764" t="s">
        <v>74</v>
      </c>
      <c r="AA764" t="s">
        <v>5639</v>
      </c>
      <c r="AB764" t="s">
        <v>5640</v>
      </c>
      <c r="AC764" t="s">
        <v>74</v>
      </c>
      <c r="AD764" t="s">
        <v>74</v>
      </c>
      <c r="AE764" t="s">
        <v>74</v>
      </c>
      <c r="AF764" t="s">
        <v>74</v>
      </c>
      <c r="AG764" t="s">
        <v>74</v>
      </c>
      <c r="AH764" t="s">
        <v>74</v>
      </c>
      <c r="AI764" t="s">
        <v>74</v>
      </c>
      <c r="AJ764" t="s">
        <v>74</v>
      </c>
      <c r="AK764" t="s">
        <v>74</v>
      </c>
      <c r="AL764" t="s">
        <v>74</v>
      </c>
      <c r="AM764" t="s">
        <v>74</v>
      </c>
      <c r="AN764" t="s">
        <v>74</v>
      </c>
      <c r="AO764" t="s">
        <v>247</v>
      </c>
      <c r="AP764" t="s">
        <v>248</v>
      </c>
      <c r="AQ764" t="s">
        <v>74</v>
      </c>
      <c r="AR764" t="s">
        <v>74</v>
      </c>
      <c r="AS764" t="s">
        <v>74</v>
      </c>
      <c r="AT764" t="s">
        <v>74</v>
      </c>
      <c r="AU764">
        <v>2007</v>
      </c>
      <c r="AV764">
        <v>58</v>
      </c>
      <c r="AW764">
        <v>8</v>
      </c>
      <c r="AX764" t="s">
        <v>74</v>
      </c>
      <c r="AY764" t="s">
        <v>74</v>
      </c>
      <c r="AZ764" t="s">
        <v>74</v>
      </c>
      <c r="BA764" t="s">
        <v>74</v>
      </c>
      <c r="BB764">
        <v>743</v>
      </c>
      <c r="BC764">
        <v>755</v>
      </c>
      <c r="BD764" t="s">
        <v>74</v>
      </c>
      <c r="BE764" t="s">
        <v>5641</v>
      </c>
      <c r="BF764" t="str">
        <f>HYPERLINK("http://dx.doi.org/10.1071/MF06176","http://dx.doi.org/10.1071/MF06176")</f>
        <v>http://dx.doi.org/10.1071/MF06176</v>
      </c>
      <c r="BG764" t="s">
        <v>74</v>
      </c>
      <c r="BH764" t="s">
        <v>74</v>
      </c>
      <c r="BI764" t="s">
        <v>74</v>
      </c>
      <c r="BJ764" t="s">
        <v>74</v>
      </c>
      <c r="BK764" t="s">
        <v>74</v>
      </c>
      <c r="BL764" t="s">
        <v>74</v>
      </c>
      <c r="BM764" t="s">
        <v>74</v>
      </c>
      <c r="BN764" t="s">
        <v>74</v>
      </c>
      <c r="BO764" t="s">
        <v>74</v>
      </c>
      <c r="BP764" t="s">
        <v>74</v>
      </c>
      <c r="BQ764" t="s">
        <v>74</v>
      </c>
      <c r="BR764" t="s">
        <v>74</v>
      </c>
      <c r="BS764" t="s">
        <v>5642</v>
      </c>
      <c r="BT764" t="str">
        <f>HYPERLINK("https%3A%2F%2Fwww.webofscience.com%2Fwos%2Fwoscc%2Ffull-record%2FWOS:000248985000007","View Full Record in Web of Science")</f>
        <v>View Full Record in Web of Science</v>
      </c>
    </row>
    <row r="765" spans="1:72" x14ac:dyDescent="0.2">
      <c r="A765" t="s">
        <v>72</v>
      </c>
      <c r="B765" t="s">
        <v>5643</v>
      </c>
      <c r="C765" t="s">
        <v>74</v>
      </c>
      <c r="D765" t="s">
        <v>74</v>
      </c>
      <c r="E765" t="s">
        <v>74</v>
      </c>
      <c r="F765" t="s">
        <v>5644</v>
      </c>
      <c r="G765" t="s">
        <v>74</v>
      </c>
      <c r="H765" t="s">
        <v>74</v>
      </c>
      <c r="I765" t="s">
        <v>5645</v>
      </c>
      <c r="J765" t="s">
        <v>1224</v>
      </c>
      <c r="K765" t="s">
        <v>74</v>
      </c>
      <c r="L765" t="s">
        <v>74</v>
      </c>
      <c r="M765" t="s">
        <v>74</v>
      </c>
      <c r="N765" t="s">
        <v>74</v>
      </c>
      <c r="O765" t="s">
        <v>74</v>
      </c>
      <c r="P765" t="s">
        <v>74</v>
      </c>
      <c r="Q765" t="s">
        <v>74</v>
      </c>
      <c r="R765" t="s">
        <v>74</v>
      </c>
      <c r="S765" t="s">
        <v>74</v>
      </c>
      <c r="T765" t="s">
        <v>74</v>
      </c>
      <c r="U765" t="s">
        <v>74</v>
      </c>
      <c r="V765" t="s">
        <v>74</v>
      </c>
      <c r="W765" t="s">
        <v>74</v>
      </c>
      <c r="X765" t="s">
        <v>74</v>
      </c>
      <c r="Y765" t="s">
        <v>74</v>
      </c>
      <c r="Z765" t="s">
        <v>74</v>
      </c>
      <c r="AA765" t="s">
        <v>5646</v>
      </c>
      <c r="AB765" t="s">
        <v>5647</v>
      </c>
      <c r="AC765" t="s">
        <v>74</v>
      </c>
      <c r="AD765" t="s">
        <v>74</v>
      </c>
      <c r="AE765" t="s">
        <v>74</v>
      </c>
      <c r="AF765" t="s">
        <v>74</v>
      </c>
      <c r="AG765" t="s">
        <v>74</v>
      </c>
      <c r="AH765" t="s">
        <v>74</v>
      </c>
      <c r="AI765" t="s">
        <v>74</v>
      </c>
      <c r="AJ765" t="s">
        <v>74</v>
      </c>
      <c r="AK765" t="s">
        <v>74</v>
      </c>
      <c r="AL765" t="s">
        <v>74</v>
      </c>
      <c r="AM765" t="s">
        <v>74</v>
      </c>
      <c r="AN765" t="s">
        <v>74</v>
      </c>
      <c r="AO765" t="s">
        <v>1226</v>
      </c>
      <c r="AP765" t="s">
        <v>74</v>
      </c>
      <c r="AQ765" t="s">
        <v>74</v>
      </c>
      <c r="AR765" t="s">
        <v>74</v>
      </c>
      <c r="AS765" t="s">
        <v>74</v>
      </c>
      <c r="AT765" t="s">
        <v>315</v>
      </c>
      <c r="AU765">
        <v>2007</v>
      </c>
      <c r="AV765">
        <v>46</v>
      </c>
      <c r="AW765">
        <v>1</v>
      </c>
      <c r="AX765" t="s">
        <v>74</v>
      </c>
      <c r="AY765" t="s">
        <v>74</v>
      </c>
      <c r="AZ765" t="s">
        <v>74</v>
      </c>
      <c r="BA765" t="s">
        <v>74</v>
      </c>
      <c r="BB765">
        <v>3</v>
      </c>
      <c r="BC765">
        <v>9</v>
      </c>
      <c r="BD765" t="s">
        <v>74</v>
      </c>
      <c r="BE765" t="s">
        <v>5648</v>
      </c>
      <c r="BF765" t="str">
        <f>HYPERLINK("http://dx.doi.org/10.2216/06-01.1","http://dx.doi.org/10.2216/06-01.1")</f>
        <v>http://dx.doi.org/10.2216/06-01.1</v>
      </c>
      <c r="BG765" t="s">
        <v>74</v>
      </c>
      <c r="BH765" t="s">
        <v>74</v>
      </c>
      <c r="BI765" t="s">
        <v>74</v>
      </c>
      <c r="BJ765" t="s">
        <v>74</v>
      </c>
      <c r="BK765" t="s">
        <v>74</v>
      </c>
      <c r="BL765" t="s">
        <v>74</v>
      </c>
      <c r="BM765" t="s">
        <v>74</v>
      </c>
      <c r="BN765" t="s">
        <v>74</v>
      </c>
      <c r="BO765" t="s">
        <v>74</v>
      </c>
      <c r="BP765" t="s">
        <v>74</v>
      </c>
      <c r="BQ765" t="s">
        <v>74</v>
      </c>
      <c r="BR765" t="s">
        <v>74</v>
      </c>
      <c r="BS765" t="s">
        <v>5649</v>
      </c>
      <c r="BT765" t="str">
        <f>HYPERLINK("https%3A%2F%2Fwww.webofscience.com%2Fwos%2Fwoscc%2Ffull-record%2FWOS:000243447300002","View Full Record in Web of Science")</f>
        <v>View Full Record in Web of Science</v>
      </c>
    </row>
    <row r="766" spans="1:72" x14ac:dyDescent="0.2">
      <c r="A766" t="s">
        <v>72</v>
      </c>
      <c r="B766" t="s">
        <v>5650</v>
      </c>
      <c r="C766" t="s">
        <v>74</v>
      </c>
      <c r="D766" t="s">
        <v>74</v>
      </c>
      <c r="E766" t="s">
        <v>74</v>
      </c>
      <c r="F766" t="s">
        <v>5651</v>
      </c>
      <c r="G766" t="s">
        <v>74</v>
      </c>
      <c r="H766" t="s">
        <v>74</v>
      </c>
      <c r="I766" t="s">
        <v>5652</v>
      </c>
      <c r="J766" t="s">
        <v>756</v>
      </c>
      <c r="K766" t="s">
        <v>74</v>
      </c>
      <c r="L766" t="s">
        <v>74</v>
      </c>
      <c r="M766" t="s">
        <v>74</v>
      </c>
      <c r="N766" t="s">
        <v>74</v>
      </c>
      <c r="O766" t="s">
        <v>74</v>
      </c>
      <c r="P766" t="s">
        <v>74</v>
      </c>
      <c r="Q766" t="s">
        <v>74</v>
      </c>
      <c r="R766" t="s">
        <v>74</v>
      </c>
      <c r="S766" t="s">
        <v>74</v>
      </c>
      <c r="T766" t="s">
        <v>74</v>
      </c>
      <c r="U766" t="s">
        <v>74</v>
      </c>
      <c r="V766" t="s">
        <v>74</v>
      </c>
      <c r="W766" t="s">
        <v>74</v>
      </c>
      <c r="X766" t="s">
        <v>74</v>
      </c>
      <c r="Y766" t="s">
        <v>74</v>
      </c>
      <c r="Z766" t="s">
        <v>74</v>
      </c>
      <c r="AA766" t="s">
        <v>4471</v>
      </c>
      <c r="AB766" t="s">
        <v>5653</v>
      </c>
      <c r="AC766" t="s">
        <v>74</v>
      </c>
      <c r="AD766" t="s">
        <v>74</v>
      </c>
      <c r="AE766" t="s">
        <v>74</v>
      </c>
      <c r="AF766" t="s">
        <v>74</v>
      </c>
      <c r="AG766" t="s">
        <v>74</v>
      </c>
      <c r="AH766" t="s">
        <v>74</v>
      </c>
      <c r="AI766" t="s">
        <v>74</v>
      </c>
      <c r="AJ766" t="s">
        <v>74</v>
      </c>
      <c r="AK766" t="s">
        <v>74</v>
      </c>
      <c r="AL766" t="s">
        <v>74</v>
      </c>
      <c r="AM766" t="s">
        <v>74</v>
      </c>
      <c r="AN766" t="s">
        <v>74</v>
      </c>
      <c r="AO766" t="s">
        <v>759</v>
      </c>
      <c r="AP766" t="s">
        <v>74</v>
      </c>
      <c r="AQ766" t="s">
        <v>74</v>
      </c>
      <c r="AR766" t="s">
        <v>74</v>
      </c>
      <c r="AS766" t="s">
        <v>74</v>
      </c>
      <c r="AT766" t="s">
        <v>74</v>
      </c>
      <c r="AU766">
        <v>2007</v>
      </c>
      <c r="AV766">
        <v>169</v>
      </c>
      <c r="AW766">
        <v>3</v>
      </c>
      <c r="AX766" t="s">
        <v>74</v>
      </c>
      <c r="AY766" t="s">
        <v>74</v>
      </c>
      <c r="AZ766" t="s">
        <v>74</v>
      </c>
      <c r="BA766" t="s">
        <v>74</v>
      </c>
      <c r="BB766">
        <v>189</v>
      </c>
      <c r="BC766">
        <v>202</v>
      </c>
      <c r="BD766" t="s">
        <v>74</v>
      </c>
      <c r="BE766" t="s">
        <v>5654</v>
      </c>
      <c r="BF766" t="str">
        <f>HYPERLINK("http://dx.doi.org/10.1127/1863-9135/2007/0169-0189","http://dx.doi.org/10.1127/1863-9135/2007/0169-0189")</f>
        <v>http://dx.doi.org/10.1127/1863-9135/2007/0169-0189</v>
      </c>
      <c r="BG766" t="s">
        <v>74</v>
      </c>
      <c r="BH766" t="s">
        <v>74</v>
      </c>
      <c r="BI766" t="s">
        <v>74</v>
      </c>
      <c r="BJ766" t="s">
        <v>74</v>
      </c>
      <c r="BK766" t="s">
        <v>74</v>
      </c>
      <c r="BL766" t="s">
        <v>74</v>
      </c>
      <c r="BM766" t="s">
        <v>74</v>
      </c>
      <c r="BN766" t="s">
        <v>74</v>
      </c>
      <c r="BO766" t="s">
        <v>74</v>
      </c>
      <c r="BP766" t="s">
        <v>74</v>
      </c>
      <c r="BQ766" t="s">
        <v>74</v>
      </c>
      <c r="BR766" t="s">
        <v>74</v>
      </c>
      <c r="BS766" t="s">
        <v>5655</v>
      </c>
      <c r="BT766" t="str">
        <f>HYPERLINK("https%3A%2F%2Fwww.webofscience.com%2Fwos%2Fwoscc%2Ffull-record%2FWOS:000249479600002","View Full Record in Web of Science")</f>
        <v>View Full Record in Web of Science</v>
      </c>
    </row>
    <row r="767" spans="1:72" x14ac:dyDescent="0.2">
      <c r="A767" t="s">
        <v>72</v>
      </c>
      <c r="B767" t="s">
        <v>5656</v>
      </c>
      <c r="C767" t="s">
        <v>74</v>
      </c>
      <c r="D767" t="s">
        <v>74</v>
      </c>
      <c r="E767" t="s">
        <v>74</v>
      </c>
      <c r="F767" t="s">
        <v>5657</v>
      </c>
      <c r="G767" t="s">
        <v>74</v>
      </c>
      <c r="H767" t="s">
        <v>74</v>
      </c>
      <c r="I767" t="s">
        <v>5658</v>
      </c>
      <c r="J767" t="s">
        <v>934</v>
      </c>
      <c r="K767" t="s">
        <v>74</v>
      </c>
      <c r="L767" t="s">
        <v>74</v>
      </c>
      <c r="M767" t="s">
        <v>74</v>
      </c>
      <c r="N767" t="s">
        <v>74</v>
      </c>
      <c r="O767" t="s">
        <v>74</v>
      </c>
      <c r="P767" t="s">
        <v>74</v>
      </c>
      <c r="Q767" t="s">
        <v>74</v>
      </c>
      <c r="R767" t="s">
        <v>74</v>
      </c>
      <c r="S767" t="s">
        <v>74</v>
      </c>
      <c r="T767" t="s">
        <v>74</v>
      </c>
      <c r="U767" t="s">
        <v>74</v>
      </c>
      <c r="V767" t="s">
        <v>74</v>
      </c>
      <c r="W767" t="s">
        <v>74</v>
      </c>
      <c r="X767" t="s">
        <v>74</v>
      </c>
      <c r="Y767" t="s">
        <v>74</v>
      </c>
      <c r="Z767" t="s">
        <v>74</v>
      </c>
      <c r="AA767" t="s">
        <v>5659</v>
      </c>
      <c r="AB767" t="s">
        <v>5660</v>
      </c>
      <c r="AC767" t="s">
        <v>74</v>
      </c>
      <c r="AD767" t="s">
        <v>74</v>
      </c>
      <c r="AE767" t="s">
        <v>74</v>
      </c>
      <c r="AF767" t="s">
        <v>74</v>
      </c>
      <c r="AG767" t="s">
        <v>74</v>
      </c>
      <c r="AH767" t="s">
        <v>74</v>
      </c>
      <c r="AI767" t="s">
        <v>74</v>
      </c>
      <c r="AJ767" t="s">
        <v>74</v>
      </c>
      <c r="AK767" t="s">
        <v>74</v>
      </c>
      <c r="AL767" t="s">
        <v>74</v>
      </c>
      <c r="AM767" t="s">
        <v>74</v>
      </c>
      <c r="AN767" t="s">
        <v>74</v>
      </c>
      <c r="AO767" t="s">
        <v>936</v>
      </c>
      <c r="AP767" t="s">
        <v>74</v>
      </c>
      <c r="AQ767" t="s">
        <v>74</v>
      </c>
      <c r="AR767" t="s">
        <v>74</v>
      </c>
      <c r="AS767" t="s">
        <v>74</v>
      </c>
      <c r="AT767" t="s">
        <v>315</v>
      </c>
      <c r="AU767">
        <v>2007</v>
      </c>
      <c r="AV767">
        <v>70</v>
      </c>
      <c r="AW767">
        <v>1</v>
      </c>
      <c r="AX767" t="s">
        <v>74</v>
      </c>
      <c r="AY767" t="s">
        <v>74</v>
      </c>
      <c r="AZ767" t="s">
        <v>74</v>
      </c>
      <c r="BA767" t="s">
        <v>74</v>
      </c>
      <c r="BB767">
        <v>100</v>
      </c>
      <c r="BC767">
        <v>108</v>
      </c>
      <c r="BD767" t="s">
        <v>74</v>
      </c>
      <c r="BE767" t="s">
        <v>5661</v>
      </c>
      <c r="BF767" t="str">
        <f>HYPERLINK("http://dx.doi.org/10.1111/j.1095-8649.2006.01277.x","http://dx.doi.org/10.1111/j.1095-8649.2006.01277.x")</f>
        <v>http://dx.doi.org/10.1111/j.1095-8649.2006.01277.x</v>
      </c>
      <c r="BG767" t="s">
        <v>74</v>
      </c>
      <c r="BH767" t="s">
        <v>74</v>
      </c>
      <c r="BI767" t="s">
        <v>74</v>
      </c>
      <c r="BJ767" t="s">
        <v>74</v>
      </c>
      <c r="BK767" t="s">
        <v>74</v>
      </c>
      <c r="BL767" t="s">
        <v>74</v>
      </c>
      <c r="BM767" t="s">
        <v>74</v>
      </c>
      <c r="BN767" t="s">
        <v>74</v>
      </c>
      <c r="BO767" t="s">
        <v>74</v>
      </c>
      <c r="BP767" t="s">
        <v>74</v>
      </c>
      <c r="BQ767" t="s">
        <v>74</v>
      </c>
      <c r="BR767" t="s">
        <v>74</v>
      </c>
      <c r="BS767" t="s">
        <v>5662</v>
      </c>
      <c r="BT767" t="str">
        <f>HYPERLINK("https%3A%2F%2Fwww.webofscience.com%2Fwos%2Fwoscc%2Ffull-record%2FWOS:000244096000007","View Full Record in Web of Science")</f>
        <v>View Full Record in Web of Science</v>
      </c>
    </row>
    <row r="768" spans="1:72" x14ac:dyDescent="0.2">
      <c r="A768" t="s">
        <v>72</v>
      </c>
      <c r="B768" t="s">
        <v>5663</v>
      </c>
      <c r="C768" t="s">
        <v>74</v>
      </c>
      <c r="D768" t="s">
        <v>74</v>
      </c>
      <c r="E768" t="s">
        <v>74</v>
      </c>
      <c r="F768" t="s">
        <v>5664</v>
      </c>
      <c r="G768" t="s">
        <v>74</v>
      </c>
      <c r="H768" t="s">
        <v>74</v>
      </c>
      <c r="I768" t="s">
        <v>5665</v>
      </c>
      <c r="J768" t="s">
        <v>106</v>
      </c>
      <c r="K768" t="s">
        <v>74</v>
      </c>
      <c r="L768" t="s">
        <v>74</v>
      </c>
      <c r="M768" t="s">
        <v>74</v>
      </c>
      <c r="N768" t="s">
        <v>74</v>
      </c>
      <c r="O768" t="s">
        <v>74</v>
      </c>
      <c r="P768" t="s">
        <v>74</v>
      </c>
      <c r="Q768" t="s">
        <v>74</v>
      </c>
      <c r="R768" t="s">
        <v>74</v>
      </c>
      <c r="S768" t="s">
        <v>74</v>
      </c>
      <c r="T768" t="s">
        <v>74</v>
      </c>
      <c r="U768" t="s">
        <v>74</v>
      </c>
      <c r="V768" t="s">
        <v>74</v>
      </c>
      <c r="W768" t="s">
        <v>74</v>
      </c>
      <c r="X768" t="s">
        <v>74</v>
      </c>
      <c r="Y768" t="s">
        <v>74</v>
      </c>
      <c r="Z768" t="s">
        <v>74</v>
      </c>
      <c r="AA768" t="s">
        <v>74</v>
      </c>
      <c r="AB768" t="s">
        <v>5666</v>
      </c>
      <c r="AC768" t="s">
        <v>74</v>
      </c>
      <c r="AD768" t="s">
        <v>74</v>
      </c>
      <c r="AE768" t="s">
        <v>74</v>
      </c>
      <c r="AF768" t="s">
        <v>74</v>
      </c>
      <c r="AG768" t="s">
        <v>74</v>
      </c>
      <c r="AH768" t="s">
        <v>74</v>
      </c>
      <c r="AI768" t="s">
        <v>74</v>
      </c>
      <c r="AJ768" t="s">
        <v>74</v>
      </c>
      <c r="AK768" t="s">
        <v>74</v>
      </c>
      <c r="AL768" t="s">
        <v>74</v>
      </c>
      <c r="AM768" t="s">
        <v>74</v>
      </c>
      <c r="AN768" t="s">
        <v>74</v>
      </c>
      <c r="AO768" t="s">
        <v>107</v>
      </c>
      <c r="AP768" t="s">
        <v>108</v>
      </c>
      <c r="AQ768" t="s">
        <v>74</v>
      </c>
      <c r="AR768" t="s">
        <v>74</v>
      </c>
      <c r="AS768" t="s">
        <v>74</v>
      </c>
      <c r="AT768" t="s">
        <v>315</v>
      </c>
      <c r="AU768">
        <v>2007</v>
      </c>
      <c r="AV768">
        <v>29</v>
      </c>
      <c r="AW768">
        <v>1</v>
      </c>
      <c r="AX768" t="s">
        <v>74</v>
      </c>
      <c r="AY768" t="s">
        <v>74</v>
      </c>
      <c r="AZ768" t="s">
        <v>74</v>
      </c>
      <c r="BA768" t="s">
        <v>74</v>
      </c>
      <c r="BB768">
        <v>47</v>
      </c>
      <c r="BC768">
        <v>56</v>
      </c>
      <c r="BD768" t="s">
        <v>74</v>
      </c>
      <c r="BE768" t="s">
        <v>5667</v>
      </c>
      <c r="BF768" t="str">
        <f>HYPERLINK("http://dx.doi.org/10.1093/plankt/fb1056","http://dx.doi.org/10.1093/plankt/fb1056")</f>
        <v>http://dx.doi.org/10.1093/plankt/fb1056</v>
      </c>
      <c r="BG768" t="s">
        <v>74</v>
      </c>
      <c r="BH768" t="s">
        <v>74</v>
      </c>
      <c r="BI768" t="s">
        <v>74</v>
      </c>
      <c r="BJ768" t="s">
        <v>74</v>
      </c>
      <c r="BK768" t="s">
        <v>74</v>
      </c>
      <c r="BL768" t="s">
        <v>74</v>
      </c>
      <c r="BM768" t="s">
        <v>74</v>
      </c>
      <c r="BN768" t="s">
        <v>74</v>
      </c>
      <c r="BO768" t="s">
        <v>74</v>
      </c>
      <c r="BP768" t="s">
        <v>74</v>
      </c>
      <c r="BQ768" t="s">
        <v>74</v>
      </c>
      <c r="BR768" t="s">
        <v>74</v>
      </c>
      <c r="BS768" t="s">
        <v>5668</v>
      </c>
      <c r="BT768" t="str">
        <f>HYPERLINK("https%3A%2F%2Fwww.webofscience.com%2Fwos%2Fwoscc%2Ffull-record%2FWOS:000245354000005","View Full Record in Web of Science")</f>
        <v>View Full Record in Web of Science</v>
      </c>
    </row>
    <row r="769" spans="1:72" x14ac:dyDescent="0.2">
      <c r="A769" t="s">
        <v>72</v>
      </c>
      <c r="B769" t="s">
        <v>5669</v>
      </c>
      <c r="C769" t="s">
        <v>74</v>
      </c>
      <c r="D769" t="s">
        <v>74</v>
      </c>
      <c r="E769" t="s">
        <v>74</v>
      </c>
      <c r="F769" t="s">
        <v>5670</v>
      </c>
      <c r="G769" t="s">
        <v>74</v>
      </c>
      <c r="H769" t="s">
        <v>74</v>
      </c>
      <c r="I769" t="s">
        <v>5671</v>
      </c>
      <c r="J769" t="s">
        <v>88</v>
      </c>
      <c r="K769" t="s">
        <v>74</v>
      </c>
      <c r="L769" t="s">
        <v>74</v>
      </c>
      <c r="M769" t="s">
        <v>74</v>
      </c>
      <c r="N769" t="s">
        <v>74</v>
      </c>
      <c r="O769" t="s">
        <v>74</v>
      </c>
      <c r="P769" t="s">
        <v>74</v>
      </c>
      <c r="Q769" t="s">
        <v>74</v>
      </c>
      <c r="R769" t="s">
        <v>74</v>
      </c>
      <c r="S769" t="s">
        <v>74</v>
      </c>
      <c r="T769" t="s">
        <v>74</v>
      </c>
      <c r="U769" t="s">
        <v>74</v>
      </c>
      <c r="V769" t="s">
        <v>74</v>
      </c>
      <c r="W769" t="s">
        <v>74</v>
      </c>
      <c r="X769" t="s">
        <v>74</v>
      </c>
      <c r="Y769" t="s">
        <v>74</v>
      </c>
      <c r="Z769" t="s">
        <v>74</v>
      </c>
      <c r="AA769" t="s">
        <v>74</v>
      </c>
      <c r="AB769" t="s">
        <v>74</v>
      </c>
      <c r="AC769" t="s">
        <v>74</v>
      </c>
      <c r="AD769" t="s">
        <v>74</v>
      </c>
      <c r="AE769" t="s">
        <v>74</v>
      </c>
      <c r="AF769" t="s">
        <v>74</v>
      </c>
      <c r="AG769" t="s">
        <v>74</v>
      </c>
      <c r="AH769" t="s">
        <v>74</v>
      </c>
      <c r="AI769" t="s">
        <v>74</v>
      </c>
      <c r="AJ769" t="s">
        <v>74</v>
      </c>
      <c r="AK769" t="s">
        <v>74</v>
      </c>
      <c r="AL769" t="s">
        <v>74</v>
      </c>
      <c r="AM769" t="s">
        <v>74</v>
      </c>
      <c r="AN769" t="s">
        <v>74</v>
      </c>
      <c r="AO769" t="s">
        <v>89</v>
      </c>
      <c r="AP769" t="s">
        <v>74</v>
      </c>
      <c r="AQ769" t="s">
        <v>74</v>
      </c>
      <c r="AR769" t="s">
        <v>74</v>
      </c>
      <c r="AS769" t="s">
        <v>74</v>
      </c>
      <c r="AT769" t="s">
        <v>82</v>
      </c>
      <c r="AU769">
        <v>2006</v>
      </c>
      <c r="AV769">
        <v>63</v>
      </c>
      <c r="AW769">
        <v>12</v>
      </c>
      <c r="AX769" t="s">
        <v>74</v>
      </c>
      <c r="AY769" t="s">
        <v>74</v>
      </c>
      <c r="AZ769" t="s">
        <v>74</v>
      </c>
      <c r="BA769" t="s">
        <v>74</v>
      </c>
      <c r="BB769">
        <v>2687</v>
      </c>
      <c r="BC769">
        <v>2699</v>
      </c>
      <c r="BD769" t="s">
        <v>74</v>
      </c>
      <c r="BE769" t="s">
        <v>5672</v>
      </c>
      <c r="BF769" t="str">
        <f>HYPERLINK("http://dx.doi.org/10.1139/F06-153","http://dx.doi.org/10.1139/F06-153")</f>
        <v>http://dx.doi.org/10.1139/F06-153</v>
      </c>
      <c r="BG769" t="s">
        <v>74</v>
      </c>
      <c r="BH769" t="s">
        <v>74</v>
      </c>
      <c r="BI769" t="s">
        <v>74</v>
      </c>
      <c r="BJ769" t="s">
        <v>74</v>
      </c>
      <c r="BK769" t="s">
        <v>74</v>
      </c>
      <c r="BL769" t="s">
        <v>74</v>
      </c>
      <c r="BM769" t="s">
        <v>74</v>
      </c>
      <c r="BN769" t="s">
        <v>74</v>
      </c>
      <c r="BO769" t="s">
        <v>74</v>
      </c>
      <c r="BP769" t="s">
        <v>74</v>
      </c>
      <c r="BQ769" t="s">
        <v>74</v>
      </c>
      <c r="BR769" t="s">
        <v>74</v>
      </c>
      <c r="BS769" t="s">
        <v>5673</v>
      </c>
      <c r="BT769" t="str">
        <f>HYPERLINK("https%3A%2F%2Fwww.webofscience.com%2Fwos%2Fwoscc%2Ffull-record%2FWOS:000243945200008","View Full Record in Web of Science")</f>
        <v>View Full Record in Web of Science</v>
      </c>
    </row>
    <row r="770" spans="1:72" x14ac:dyDescent="0.2">
      <c r="A770" t="s">
        <v>72</v>
      </c>
      <c r="B770" t="s">
        <v>5674</v>
      </c>
      <c r="C770" t="s">
        <v>74</v>
      </c>
      <c r="D770" t="s">
        <v>74</v>
      </c>
      <c r="E770" t="s">
        <v>74</v>
      </c>
      <c r="F770" t="s">
        <v>5675</v>
      </c>
      <c r="G770" t="s">
        <v>74</v>
      </c>
      <c r="H770" t="s">
        <v>74</v>
      </c>
      <c r="I770" t="s">
        <v>5676</v>
      </c>
      <c r="J770" t="s">
        <v>88</v>
      </c>
      <c r="K770" t="s">
        <v>74</v>
      </c>
      <c r="L770" t="s">
        <v>74</v>
      </c>
      <c r="M770" t="s">
        <v>74</v>
      </c>
      <c r="N770" t="s">
        <v>74</v>
      </c>
      <c r="O770" t="s">
        <v>74</v>
      </c>
      <c r="P770" t="s">
        <v>74</v>
      </c>
      <c r="Q770" t="s">
        <v>74</v>
      </c>
      <c r="R770" t="s">
        <v>74</v>
      </c>
      <c r="S770" t="s">
        <v>74</v>
      </c>
      <c r="T770" t="s">
        <v>74</v>
      </c>
      <c r="U770" t="s">
        <v>74</v>
      </c>
      <c r="V770" t="s">
        <v>74</v>
      </c>
      <c r="W770" t="s">
        <v>74</v>
      </c>
      <c r="X770" t="s">
        <v>74</v>
      </c>
      <c r="Y770" t="s">
        <v>74</v>
      </c>
      <c r="Z770" t="s">
        <v>74</v>
      </c>
      <c r="AA770" t="s">
        <v>5677</v>
      </c>
      <c r="AB770" t="s">
        <v>5678</v>
      </c>
      <c r="AC770" t="s">
        <v>74</v>
      </c>
      <c r="AD770" t="s">
        <v>74</v>
      </c>
      <c r="AE770" t="s">
        <v>74</v>
      </c>
      <c r="AF770" t="s">
        <v>74</v>
      </c>
      <c r="AG770" t="s">
        <v>74</v>
      </c>
      <c r="AH770" t="s">
        <v>74</v>
      </c>
      <c r="AI770" t="s">
        <v>74</v>
      </c>
      <c r="AJ770" t="s">
        <v>74</v>
      </c>
      <c r="AK770" t="s">
        <v>74</v>
      </c>
      <c r="AL770" t="s">
        <v>74</v>
      </c>
      <c r="AM770" t="s">
        <v>74</v>
      </c>
      <c r="AN770" t="s">
        <v>74</v>
      </c>
      <c r="AO770" t="s">
        <v>89</v>
      </c>
      <c r="AP770" t="s">
        <v>74</v>
      </c>
      <c r="AQ770" t="s">
        <v>74</v>
      </c>
      <c r="AR770" t="s">
        <v>74</v>
      </c>
      <c r="AS770" t="s">
        <v>74</v>
      </c>
      <c r="AT770" t="s">
        <v>82</v>
      </c>
      <c r="AU770">
        <v>2006</v>
      </c>
      <c r="AV770">
        <v>63</v>
      </c>
      <c r="AW770">
        <v>12</v>
      </c>
      <c r="AX770" t="s">
        <v>74</v>
      </c>
      <c r="AY770" t="s">
        <v>74</v>
      </c>
      <c r="AZ770" t="s">
        <v>74</v>
      </c>
      <c r="BA770" t="s">
        <v>74</v>
      </c>
      <c r="BB770">
        <v>2639</v>
      </c>
      <c r="BC770">
        <v>2647</v>
      </c>
      <c r="BD770" t="s">
        <v>74</v>
      </c>
      <c r="BE770" t="s">
        <v>5679</v>
      </c>
      <c r="BF770" t="str">
        <f>HYPERLINK("http://dx.doi.org/10.1139/F06-149","http://dx.doi.org/10.1139/F06-149")</f>
        <v>http://dx.doi.org/10.1139/F06-149</v>
      </c>
      <c r="BG770" t="s">
        <v>74</v>
      </c>
      <c r="BH770" t="s">
        <v>74</v>
      </c>
      <c r="BI770" t="s">
        <v>74</v>
      </c>
      <c r="BJ770" t="s">
        <v>74</v>
      </c>
      <c r="BK770" t="s">
        <v>74</v>
      </c>
      <c r="BL770" t="s">
        <v>74</v>
      </c>
      <c r="BM770" t="s">
        <v>74</v>
      </c>
      <c r="BN770" t="s">
        <v>74</v>
      </c>
      <c r="BO770" t="s">
        <v>74</v>
      </c>
      <c r="BP770" t="s">
        <v>74</v>
      </c>
      <c r="BQ770" t="s">
        <v>74</v>
      </c>
      <c r="BR770" t="s">
        <v>74</v>
      </c>
      <c r="BS770" t="s">
        <v>5680</v>
      </c>
      <c r="BT770" t="str">
        <f>HYPERLINK("https%3A%2F%2Fwww.webofscience.com%2Fwos%2Fwoscc%2Ffull-record%2FWOS:000243945200004","View Full Record in Web of Science")</f>
        <v>View Full Record in Web of Science</v>
      </c>
    </row>
    <row r="771" spans="1:72" x14ac:dyDescent="0.2">
      <c r="A771" t="s">
        <v>72</v>
      </c>
      <c r="B771" t="s">
        <v>5681</v>
      </c>
      <c r="C771" t="s">
        <v>74</v>
      </c>
      <c r="D771" t="s">
        <v>74</v>
      </c>
      <c r="E771" t="s">
        <v>74</v>
      </c>
      <c r="F771" t="s">
        <v>5682</v>
      </c>
      <c r="G771" t="s">
        <v>74</v>
      </c>
      <c r="H771" t="s">
        <v>74</v>
      </c>
      <c r="I771" t="s">
        <v>5683</v>
      </c>
      <c r="J771" t="s">
        <v>989</v>
      </c>
      <c r="K771" t="s">
        <v>74</v>
      </c>
      <c r="L771" t="s">
        <v>74</v>
      </c>
      <c r="M771" t="s">
        <v>74</v>
      </c>
      <c r="N771" t="s">
        <v>74</v>
      </c>
      <c r="O771" t="s">
        <v>74</v>
      </c>
      <c r="P771" t="s">
        <v>74</v>
      </c>
      <c r="Q771" t="s">
        <v>74</v>
      </c>
      <c r="R771" t="s">
        <v>74</v>
      </c>
      <c r="S771" t="s">
        <v>74</v>
      </c>
      <c r="T771" t="s">
        <v>74</v>
      </c>
      <c r="U771" t="s">
        <v>74</v>
      </c>
      <c r="V771" t="s">
        <v>74</v>
      </c>
      <c r="W771" t="s">
        <v>74</v>
      </c>
      <c r="X771" t="s">
        <v>74</v>
      </c>
      <c r="Y771" t="s">
        <v>74</v>
      </c>
      <c r="Z771" t="s">
        <v>74</v>
      </c>
      <c r="AA771" t="s">
        <v>5684</v>
      </c>
      <c r="AB771" t="s">
        <v>5685</v>
      </c>
      <c r="AC771" t="s">
        <v>74</v>
      </c>
      <c r="AD771" t="s">
        <v>74</v>
      </c>
      <c r="AE771" t="s">
        <v>74</v>
      </c>
      <c r="AF771" t="s">
        <v>74</v>
      </c>
      <c r="AG771" t="s">
        <v>74</v>
      </c>
      <c r="AH771" t="s">
        <v>74</v>
      </c>
      <c r="AI771" t="s">
        <v>74</v>
      </c>
      <c r="AJ771" t="s">
        <v>74</v>
      </c>
      <c r="AK771" t="s">
        <v>74</v>
      </c>
      <c r="AL771" t="s">
        <v>74</v>
      </c>
      <c r="AM771" t="s">
        <v>74</v>
      </c>
      <c r="AN771" t="s">
        <v>74</v>
      </c>
      <c r="AO771" t="s">
        <v>992</v>
      </c>
      <c r="AP771" t="s">
        <v>993</v>
      </c>
      <c r="AQ771" t="s">
        <v>74</v>
      </c>
      <c r="AR771" t="s">
        <v>74</v>
      </c>
      <c r="AS771" t="s">
        <v>74</v>
      </c>
      <c r="AT771" t="s">
        <v>335</v>
      </c>
      <c r="AU771">
        <v>2006</v>
      </c>
      <c r="AV771">
        <v>85</v>
      </c>
      <c r="AW771">
        <v>4</v>
      </c>
      <c r="AX771" t="s">
        <v>74</v>
      </c>
      <c r="AY771" t="s">
        <v>74</v>
      </c>
      <c r="AZ771" t="s">
        <v>74</v>
      </c>
      <c r="BA771" t="s">
        <v>74</v>
      </c>
      <c r="BB771">
        <v>289</v>
      </c>
      <c r="BC771">
        <v>298</v>
      </c>
      <c r="BD771" t="s">
        <v>74</v>
      </c>
      <c r="BE771" t="s">
        <v>5686</v>
      </c>
      <c r="BF771" t="str">
        <f>HYPERLINK("http://dx.doi.org/10.1016/j.aquabot.2006.06.003","http://dx.doi.org/10.1016/j.aquabot.2006.06.003")</f>
        <v>http://dx.doi.org/10.1016/j.aquabot.2006.06.003</v>
      </c>
      <c r="BG771" t="s">
        <v>74</v>
      </c>
      <c r="BH771" t="s">
        <v>74</v>
      </c>
      <c r="BI771" t="s">
        <v>74</v>
      </c>
      <c r="BJ771" t="s">
        <v>74</v>
      </c>
      <c r="BK771" t="s">
        <v>74</v>
      </c>
      <c r="BL771" t="s">
        <v>74</v>
      </c>
      <c r="BM771" t="s">
        <v>74</v>
      </c>
      <c r="BN771" t="s">
        <v>74</v>
      </c>
      <c r="BO771" t="s">
        <v>74</v>
      </c>
      <c r="BP771" t="s">
        <v>74</v>
      </c>
      <c r="BQ771" t="s">
        <v>74</v>
      </c>
      <c r="BR771" t="s">
        <v>74</v>
      </c>
      <c r="BS771" t="s">
        <v>5687</v>
      </c>
      <c r="BT771" t="str">
        <f>HYPERLINK("https%3A%2F%2Fwww.webofscience.com%2Fwos%2Fwoscc%2Ffull-record%2FWOS:000241426900003","View Full Record in Web of Science")</f>
        <v>View Full Record in Web of Science</v>
      </c>
    </row>
    <row r="772" spans="1:72" x14ac:dyDescent="0.2">
      <c r="A772" t="s">
        <v>72</v>
      </c>
      <c r="B772" t="s">
        <v>5688</v>
      </c>
      <c r="C772" t="s">
        <v>74</v>
      </c>
      <c r="D772" t="s">
        <v>74</v>
      </c>
      <c r="E772" t="s">
        <v>74</v>
      </c>
      <c r="F772" t="s">
        <v>5689</v>
      </c>
      <c r="G772" t="s">
        <v>74</v>
      </c>
      <c r="H772" t="s">
        <v>74</v>
      </c>
      <c r="I772" t="s">
        <v>5690</v>
      </c>
      <c r="J772" t="s">
        <v>5691</v>
      </c>
      <c r="K772" t="s">
        <v>74</v>
      </c>
      <c r="L772" t="s">
        <v>74</v>
      </c>
      <c r="M772" t="s">
        <v>74</v>
      </c>
      <c r="N772" t="s">
        <v>74</v>
      </c>
      <c r="O772" t="s">
        <v>74</v>
      </c>
      <c r="P772" t="s">
        <v>74</v>
      </c>
      <c r="Q772" t="s">
        <v>74</v>
      </c>
      <c r="R772" t="s">
        <v>74</v>
      </c>
      <c r="S772" t="s">
        <v>74</v>
      </c>
      <c r="T772" t="s">
        <v>74</v>
      </c>
      <c r="U772" t="s">
        <v>74</v>
      </c>
      <c r="V772" t="s">
        <v>74</v>
      </c>
      <c r="W772" t="s">
        <v>74</v>
      </c>
      <c r="X772" t="s">
        <v>74</v>
      </c>
      <c r="Y772" t="s">
        <v>74</v>
      </c>
      <c r="Z772" t="s">
        <v>74</v>
      </c>
      <c r="AA772" t="s">
        <v>4508</v>
      </c>
      <c r="AB772" t="s">
        <v>4509</v>
      </c>
      <c r="AC772" t="s">
        <v>74</v>
      </c>
      <c r="AD772" t="s">
        <v>74</v>
      </c>
      <c r="AE772" t="s">
        <v>74</v>
      </c>
      <c r="AF772" t="s">
        <v>74</v>
      </c>
      <c r="AG772" t="s">
        <v>74</v>
      </c>
      <c r="AH772" t="s">
        <v>74</v>
      </c>
      <c r="AI772" t="s">
        <v>74</v>
      </c>
      <c r="AJ772" t="s">
        <v>74</v>
      </c>
      <c r="AK772" t="s">
        <v>74</v>
      </c>
      <c r="AL772" t="s">
        <v>74</v>
      </c>
      <c r="AM772" t="s">
        <v>74</v>
      </c>
      <c r="AN772" t="s">
        <v>74</v>
      </c>
      <c r="AO772" t="s">
        <v>5692</v>
      </c>
      <c r="AP772" t="s">
        <v>74</v>
      </c>
      <c r="AQ772" t="s">
        <v>74</v>
      </c>
      <c r="AR772" t="s">
        <v>74</v>
      </c>
      <c r="AS772" t="s">
        <v>74</v>
      </c>
      <c r="AT772" t="s">
        <v>406</v>
      </c>
      <c r="AU772">
        <v>2006</v>
      </c>
      <c r="AV772">
        <v>34</v>
      </c>
      <c r="AW772">
        <v>5</v>
      </c>
      <c r="AX772" t="s">
        <v>74</v>
      </c>
      <c r="AY772" t="s">
        <v>74</v>
      </c>
      <c r="AZ772" t="s">
        <v>74</v>
      </c>
      <c r="BA772" t="s">
        <v>74</v>
      </c>
      <c r="BB772">
        <v>474</v>
      </c>
      <c r="BC772">
        <v>479</v>
      </c>
      <c r="BD772" t="s">
        <v>74</v>
      </c>
      <c r="BE772" t="s">
        <v>5693</v>
      </c>
      <c r="BF772" t="str">
        <f>HYPERLINK("http://dx.doi.org/10.1002/aheh.200600642","http://dx.doi.org/10.1002/aheh.200600642")</f>
        <v>http://dx.doi.org/10.1002/aheh.200600642</v>
      </c>
      <c r="BG772" t="s">
        <v>74</v>
      </c>
      <c r="BH772" t="s">
        <v>74</v>
      </c>
      <c r="BI772" t="s">
        <v>74</v>
      </c>
      <c r="BJ772" t="s">
        <v>74</v>
      </c>
      <c r="BK772" t="s">
        <v>74</v>
      </c>
      <c r="BL772" t="s">
        <v>74</v>
      </c>
      <c r="BM772" t="s">
        <v>74</v>
      </c>
      <c r="BN772" t="s">
        <v>74</v>
      </c>
      <c r="BO772" t="s">
        <v>74</v>
      </c>
      <c r="BP772" t="s">
        <v>74</v>
      </c>
      <c r="BQ772" t="s">
        <v>74</v>
      </c>
      <c r="BR772" t="s">
        <v>74</v>
      </c>
      <c r="BS772" t="s">
        <v>5694</v>
      </c>
      <c r="BT772" t="str">
        <f>HYPERLINK("https%3A%2F%2Fwww.webofscience.com%2Fwos%2Fwoscc%2Ffull-record%2FWOS:000241779200007","View Full Record in Web of Science")</f>
        <v>View Full Record in Web of Science</v>
      </c>
    </row>
    <row r="773" spans="1:72" x14ac:dyDescent="0.2">
      <c r="A773" t="s">
        <v>72</v>
      </c>
      <c r="B773" t="s">
        <v>5695</v>
      </c>
      <c r="C773" t="s">
        <v>74</v>
      </c>
      <c r="D773" t="s">
        <v>74</v>
      </c>
      <c r="E773" t="s">
        <v>74</v>
      </c>
      <c r="F773" t="s">
        <v>5696</v>
      </c>
      <c r="G773" t="s">
        <v>74</v>
      </c>
      <c r="H773" t="s">
        <v>74</v>
      </c>
      <c r="I773" t="s">
        <v>5697</v>
      </c>
      <c r="J773" t="s">
        <v>124</v>
      </c>
      <c r="K773" t="s">
        <v>74</v>
      </c>
      <c r="L773" t="s">
        <v>74</v>
      </c>
      <c r="M773" t="s">
        <v>74</v>
      </c>
      <c r="N773" t="s">
        <v>74</v>
      </c>
      <c r="O773" t="s">
        <v>74</v>
      </c>
      <c r="P773" t="s">
        <v>74</v>
      </c>
      <c r="Q773" t="s">
        <v>74</v>
      </c>
      <c r="R773" t="s">
        <v>74</v>
      </c>
      <c r="S773" t="s">
        <v>74</v>
      </c>
      <c r="T773" t="s">
        <v>74</v>
      </c>
      <c r="U773" t="s">
        <v>74</v>
      </c>
      <c r="V773" t="s">
        <v>74</v>
      </c>
      <c r="W773" t="s">
        <v>74</v>
      </c>
      <c r="X773" t="s">
        <v>74</v>
      </c>
      <c r="Y773" t="s">
        <v>74</v>
      </c>
      <c r="Z773" t="s">
        <v>74</v>
      </c>
      <c r="AA773" t="s">
        <v>5698</v>
      </c>
      <c r="AB773" t="s">
        <v>5699</v>
      </c>
      <c r="AC773" t="s">
        <v>74</v>
      </c>
      <c r="AD773" t="s">
        <v>74</v>
      </c>
      <c r="AE773" t="s">
        <v>74</v>
      </c>
      <c r="AF773" t="s">
        <v>74</v>
      </c>
      <c r="AG773" t="s">
        <v>74</v>
      </c>
      <c r="AH773" t="s">
        <v>74</v>
      </c>
      <c r="AI773" t="s">
        <v>74</v>
      </c>
      <c r="AJ773" t="s">
        <v>74</v>
      </c>
      <c r="AK773" t="s">
        <v>74</v>
      </c>
      <c r="AL773" t="s">
        <v>74</v>
      </c>
      <c r="AM773" t="s">
        <v>74</v>
      </c>
      <c r="AN773" t="s">
        <v>74</v>
      </c>
      <c r="AO773" t="s">
        <v>127</v>
      </c>
      <c r="AP773" t="s">
        <v>74</v>
      </c>
      <c r="AQ773" t="s">
        <v>74</v>
      </c>
      <c r="AR773" t="s">
        <v>74</v>
      </c>
      <c r="AS773" t="s">
        <v>74</v>
      </c>
      <c r="AT773" t="s">
        <v>406</v>
      </c>
      <c r="AU773">
        <v>2006</v>
      </c>
      <c r="AV773">
        <v>569</v>
      </c>
      <c r="AW773" t="s">
        <v>74</v>
      </c>
      <c r="AX773" t="s">
        <v>74</v>
      </c>
      <c r="AY773" t="s">
        <v>74</v>
      </c>
      <c r="AZ773" t="s">
        <v>74</v>
      </c>
      <c r="BA773" t="s">
        <v>74</v>
      </c>
      <c r="BB773">
        <v>209</v>
      </c>
      <c r="BC773">
        <v>221</v>
      </c>
      <c r="BD773" t="s">
        <v>74</v>
      </c>
      <c r="BE773" t="s">
        <v>5700</v>
      </c>
      <c r="BF773" t="str">
        <f>HYPERLINK("http://dx.doi.org/10.1007/s10750-006-0133-0","http://dx.doi.org/10.1007/s10750-006-0133-0")</f>
        <v>http://dx.doi.org/10.1007/s10750-006-0133-0</v>
      </c>
      <c r="BG773" t="s">
        <v>74</v>
      </c>
      <c r="BH773" t="s">
        <v>74</v>
      </c>
      <c r="BI773" t="s">
        <v>74</v>
      </c>
      <c r="BJ773" t="s">
        <v>74</v>
      </c>
      <c r="BK773" t="s">
        <v>74</v>
      </c>
      <c r="BL773" t="s">
        <v>74</v>
      </c>
      <c r="BM773" t="s">
        <v>74</v>
      </c>
      <c r="BN773" t="s">
        <v>74</v>
      </c>
      <c r="BO773" t="s">
        <v>74</v>
      </c>
      <c r="BP773" t="s">
        <v>74</v>
      </c>
      <c r="BQ773" t="s">
        <v>74</v>
      </c>
      <c r="BR773" t="s">
        <v>74</v>
      </c>
      <c r="BS773" t="s">
        <v>5701</v>
      </c>
      <c r="BT773" t="str">
        <f>HYPERLINK("https%3A%2F%2Fwww.webofscience.com%2Fwos%2Fwoscc%2Ffull-record%2FWOS:000240576200016","View Full Record in Web of Science")</f>
        <v>View Full Record in Web of Science</v>
      </c>
    </row>
    <row r="774" spans="1:72" x14ac:dyDescent="0.2">
      <c r="A774" t="s">
        <v>72</v>
      </c>
      <c r="B774" t="s">
        <v>5702</v>
      </c>
      <c r="C774" t="s">
        <v>74</v>
      </c>
      <c r="D774" t="s">
        <v>74</v>
      </c>
      <c r="E774" t="s">
        <v>74</v>
      </c>
      <c r="F774" t="s">
        <v>5703</v>
      </c>
      <c r="G774" t="s">
        <v>74</v>
      </c>
      <c r="H774" t="s">
        <v>74</v>
      </c>
      <c r="I774" t="s">
        <v>5704</v>
      </c>
      <c r="J774" t="s">
        <v>5705</v>
      </c>
      <c r="K774" t="s">
        <v>74</v>
      </c>
      <c r="L774" t="s">
        <v>74</v>
      </c>
      <c r="M774" t="s">
        <v>74</v>
      </c>
      <c r="N774" t="s">
        <v>74</v>
      </c>
      <c r="O774" t="s">
        <v>74</v>
      </c>
      <c r="P774" t="s">
        <v>74</v>
      </c>
      <c r="Q774" t="s">
        <v>74</v>
      </c>
      <c r="R774" t="s">
        <v>74</v>
      </c>
      <c r="S774" t="s">
        <v>74</v>
      </c>
      <c r="T774" t="s">
        <v>74</v>
      </c>
      <c r="U774" t="s">
        <v>74</v>
      </c>
      <c r="V774" t="s">
        <v>74</v>
      </c>
      <c r="W774" t="s">
        <v>74</v>
      </c>
      <c r="X774" t="s">
        <v>74</v>
      </c>
      <c r="Y774" t="s">
        <v>74</v>
      </c>
      <c r="Z774" t="s">
        <v>74</v>
      </c>
      <c r="AA774" t="s">
        <v>7167</v>
      </c>
      <c r="AB774" t="s">
        <v>7168</v>
      </c>
      <c r="AC774" t="s">
        <v>74</v>
      </c>
      <c r="AD774" t="s">
        <v>74</v>
      </c>
      <c r="AE774" t="s">
        <v>74</v>
      </c>
      <c r="AF774" t="s">
        <v>74</v>
      </c>
      <c r="AG774" t="s">
        <v>74</v>
      </c>
      <c r="AH774" t="s">
        <v>74</v>
      </c>
      <c r="AI774" t="s">
        <v>74</v>
      </c>
      <c r="AJ774" t="s">
        <v>74</v>
      </c>
      <c r="AK774" t="s">
        <v>74</v>
      </c>
      <c r="AL774" t="s">
        <v>74</v>
      </c>
      <c r="AM774" t="s">
        <v>74</v>
      </c>
      <c r="AN774" t="s">
        <v>74</v>
      </c>
      <c r="AO774" t="s">
        <v>5706</v>
      </c>
      <c r="AP774" t="s">
        <v>74</v>
      </c>
      <c r="AQ774" t="s">
        <v>74</v>
      </c>
      <c r="AR774" t="s">
        <v>74</v>
      </c>
      <c r="AS774" t="s">
        <v>74</v>
      </c>
      <c r="AT774" t="s">
        <v>451</v>
      </c>
      <c r="AU774">
        <v>2006</v>
      </c>
      <c r="AV774">
        <v>25</v>
      </c>
      <c r="AW774">
        <v>3</v>
      </c>
      <c r="AX774" t="s">
        <v>74</v>
      </c>
      <c r="AY774" t="s">
        <v>74</v>
      </c>
      <c r="AZ774" t="s">
        <v>74</v>
      </c>
      <c r="BA774" t="s">
        <v>74</v>
      </c>
      <c r="BB774">
        <v>616</v>
      </c>
      <c r="BC774">
        <v>631</v>
      </c>
      <c r="BD774" t="s">
        <v>74</v>
      </c>
      <c r="BE774" t="s">
        <v>5707</v>
      </c>
      <c r="BF774" t="str">
        <f>HYPERLINK("http://dx.doi.org/10.1899/0887-3593(2006)25[616:PRTNAI]2.0.CO;2","http://dx.doi.org/10.1899/0887-3593(2006)25[616:PRTNAI]2.0.CO;2")</f>
        <v>http://dx.doi.org/10.1899/0887-3593(2006)25[616:PRTNAI]2.0.CO;2</v>
      </c>
      <c r="BG774" t="s">
        <v>74</v>
      </c>
      <c r="BH774" t="s">
        <v>74</v>
      </c>
      <c r="BI774" t="s">
        <v>74</v>
      </c>
      <c r="BJ774" t="s">
        <v>74</v>
      </c>
      <c r="BK774" t="s">
        <v>74</v>
      </c>
      <c r="BL774" t="s">
        <v>74</v>
      </c>
      <c r="BM774" t="s">
        <v>74</v>
      </c>
      <c r="BN774" t="s">
        <v>74</v>
      </c>
      <c r="BO774" t="s">
        <v>74</v>
      </c>
      <c r="BP774" t="s">
        <v>74</v>
      </c>
      <c r="BQ774" t="s">
        <v>74</v>
      </c>
      <c r="BR774" t="s">
        <v>74</v>
      </c>
      <c r="BS774" t="s">
        <v>5708</v>
      </c>
      <c r="BT774" t="str">
        <f>HYPERLINK("https%3A%2F%2Fwww.webofscience.com%2Fwos%2Fwoscc%2Ffull-record%2FWOS:000239769000008","View Full Record in Web of Science")</f>
        <v>View Full Record in Web of Science</v>
      </c>
    </row>
    <row r="775" spans="1:72" x14ac:dyDescent="0.2">
      <c r="A775" t="s">
        <v>72</v>
      </c>
      <c r="B775" t="s">
        <v>234</v>
      </c>
      <c r="C775" t="s">
        <v>74</v>
      </c>
      <c r="D775" t="s">
        <v>74</v>
      </c>
      <c r="E775" t="s">
        <v>74</v>
      </c>
      <c r="F775" t="s">
        <v>235</v>
      </c>
      <c r="G775" t="s">
        <v>74</v>
      </c>
      <c r="H775" t="s">
        <v>74</v>
      </c>
      <c r="I775" t="s">
        <v>5709</v>
      </c>
      <c r="J775" t="s">
        <v>5710</v>
      </c>
      <c r="K775" t="s">
        <v>74</v>
      </c>
      <c r="L775" t="s">
        <v>74</v>
      </c>
      <c r="M775" t="s">
        <v>74</v>
      </c>
      <c r="N775" t="s">
        <v>74</v>
      </c>
      <c r="O775" t="s">
        <v>74</v>
      </c>
      <c r="P775" t="s">
        <v>74</v>
      </c>
      <c r="Q775" t="s">
        <v>74</v>
      </c>
      <c r="R775" t="s">
        <v>74</v>
      </c>
      <c r="S775" t="s">
        <v>74</v>
      </c>
      <c r="T775" t="s">
        <v>74</v>
      </c>
      <c r="U775" t="s">
        <v>74</v>
      </c>
      <c r="V775" t="s">
        <v>74</v>
      </c>
      <c r="W775" t="s">
        <v>74</v>
      </c>
      <c r="X775" t="s">
        <v>74</v>
      </c>
      <c r="Y775" t="s">
        <v>74</v>
      </c>
      <c r="Z775" t="s">
        <v>74</v>
      </c>
      <c r="AA775" t="s">
        <v>74</v>
      </c>
      <c r="AB775" t="s">
        <v>237</v>
      </c>
      <c r="AC775" t="s">
        <v>74</v>
      </c>
      <c r="AD775" t="s">
        <v>74</v>
      </c>
      <c r="AE775" t="s">
        <v>74</v>
      </c>
      <c r="AF775" t="s">
        <v>74</v>
      </c>
      <c r="AG775" t="s">
        <v>74</v>
      </c>
      <c r="AH775" t="s">
        <v>74</v>
      </c>
      <c r="AI775" t="s">
        <v>74</v>
      </c>
      <c r="AJ775" t="s">
        <v>74</v>
      </c>
      <c r="AK775" t="s">
        <v>74</v>
      </c>
      <c r="AL775" t="s">
        <v>74</v>
      </c>
      <c r="AM775" t="s">
        <v>74</v>
      </c>
      <c r="AN775" t="s">
        <v>74</v>
      </c>
      <c r="AO775" t="s">
        <v>5711</v>
      </c>
      <c r="AP775" t="s">
        <v>74</v>
      </c>
      <c r="AQ775" t="s">
        <v>74</v>
      </c>
      <c r="AR775" t="s">
        <v>74</v>
      </c>
      <c r="AS775" t="s">
        <v>74</v>
      </c>
      <c r="AT775" t="s">
        <v>451</v>
      </c>
      <c r="AU775">
        <v>2006</v>
      </c>
      <c r="AV775">
        <v>167</v>
      </c>
      <c r="AW775" t="s">
        <v>5089</v>
      </c>
      <c r="AX775" t="s">
        <v>74</v>
      </c>
      <c r="AY775" t="s">
        <v>74</v>
      </c>
      <c r="AZ775" t="s">
        <v>74</v>
      </c>
      <c r="BA775" t="s">
        <v>74</v>
      </c>
      <c r="BB775">
        <v>371</v>
      </c>
      <c r="BC775">
        <v>402</v>
      </c>
      <c r="BD775" t="s">
        <v>74</v>
      </c>
      <c r="BE775" t="s">
        <v>5712</v>
      </c>
      <c r="BF775" t="str">
        <f>HYPERLINK("http://dx.doi.org/10.1127/0003-9136/2006/0167-0371","http://dx.doi.org/10.1127/0003-9136/2006/0167-0371")</f>
        <v>http://dx.doi.org/10.1127/0003-9136/2006/0167-0371</v>
      </c>
      <c r="BG775" t="s">
        <v>74</v>
      </c>
      <c r="BH775" t="s">
        <v>74</v>
      </c>
      <c r="BI775" t="s">
        <v>74</v>
      </c>
      <c r="BJ775" t="s">
        <v>74</v>
      </c>
      <c r="BK775" t="s">
        <v>74</v>
      </c>
      <c r="BL775" t="s">
        <v>74</v>
      </c>
      <c r="BM775" t="s">
        <v>74</v>
      </c>
      <c r="BN775" t="s">
        <v>74</v>
      </c>
      <c r="BO775" t="s">
        <v>74</v>
      </c>
      <c r="BP775" t="s">
        <v>74</v>
      </c>
      <c r="BQ775" t="s">
        <v>74</v>
      </c>
      <c r="BR775" t="s">
        <v>74</v>
      </c>
      <c r="BS775" t="s">
        <v>5713</v>
      </c>
      <c r="BT775" t="str">
        <f>HYPERLINK("https%3A%2F%2Fwww.webofscience.com%2Fwos%2Fwoscc%2Ffull-record%2FWOS:000241402800023","View Full Record in Web of Science")</f>
        <v>View Full Record in Web of Science</v>
      </c>
    </row>
    <row r="776" spans="1:72" x14ac:dyDescent="0.2">
      <c r="A776" t="s">
        <v>72</v>
      </c>
      <c r="B776" t="s">
        <v>5714</v>
      </c>
      <c r="C776" t="s">
        <v>74</v>
      </c>
      <c r="D776" t="s">
        <v>74</v>
      </c>
      <c r="E776" t="s">
        <v>74</v>
      </c>
      <c r="F776" t="s">
        <v>5715</v>
      </c>
      <c r="G776" t="s">
        <v>74</v>
      </c>
      <c r="H776" t="s">
        <v>74</v>
      </c>
      <c r="I776" t="s">
        <v>5716</v>
      </c>
      <c r="J776" t="s">
        <v>5717</v>
      </c>
      <c r="K776" t="s">
        <v>74</v>
      </c>
      <c r="L776" t="s">
        <v>74</v>
      </c>
      <c r="M776" t="s">
        <v>74</v>
      </c>
      <c r="N776" t="s">
        <v>74</v>
      </c>
      <c r="O776" t="s">
        <v>5718</v>
      </c>
      <c r="P776" t="s">
        <v>5719</v>
      </c>
      <c r="Q776" t="s">
        <v>5720</v>
      </c>
      <c r="R776" t="s">
        <v>74</v>
      </c>
      <c r="S776" t="s">
        <v>74</v>
      </c>
      <c r="T776" t="s">
        <v>74</v>
      </c>
      <c r="U776" t="s">
        <v>74</v>
      </c>
      <c r="V776" t="s">
        <v>74</v>
      </c>
      <c r="W776" t="s">
        <v>74</v>
      </c>
      <c r="X776" t="s">
        <v>74</v>
      </c>
      <c r="Y776" t="s">
        <v>74</v>
      </c>
      <c r="Z776" t="s">
        <v>74</v>
      </c>
      <c r="AA776" t="s">
        <v>5721</v>
      </c>
      <c r="AB776" t="s">
        <v>5722</v>
      </c>
      <c r="AC776" t="s">
        <v>74</v>
      </c>
      <c r="AD776" t="s">
        <v>74</v>
      </c>
      <c r="AE776" t="s">
        <v>74</v>
      </c>
      <c r="AF776" t="s">
        <v>74</v>
      </c>
      <c r="AG776" t="s">
        <v>74</v>
      </c>
      <c r="AH776" t="s">
        <v>74</v>
      </c>
      <c r="AI776" t="s">
        <v>74</v>
      </c>
      <c r="AJ776" t="s">
        <v>74</v>
      </c>
      <c r="AK776" t="s">
        <v>74</v>
      </c>
      <c r="AL776" t="s">
        <v>74</v>
      </c>
      <c r="AM776" t="s">
        <v>74</v>
      </c>
      <c r="AN776" t="s">
        <v>74</v>
      </c>
      <c r="AO776" t="s">
        <v>5723</v>
      </c>
      <c r="AP776" t="s">
        <v>5724</v>
      </c>
      <c r="AQ776" t="s">
        <v>74</v>
      </c>
      <c r="AR776" t="s">
        <v>74</v>
      </c>
      <c r="AS776" t="s">
        <v>74</v>
      </c>
      <c r="AT776" t="s">
        <v>2585</v>
      </c>
      <c r="AU776">
        <v>2006</v>
      </c>
      <c r="AV776">
        <v>16</v>
      </c>
      <c r="AW776">
        <v>5</v>
      </c>
      <c r="AX776" t="s">
        <v>74</v>
      </c>
      <c r="AY776" t="s">
        <v>74</v>
      </c>
      <c r="AZ776" t="s">
        <v>74</v>
      </c>
      <c r="BA776" t="s">
        <v>74</v>
      </c>
      <c r="BB776">
        <v>469</v>
      </c>
      <c r="BC776">
        <v>482</v>
      </c>
      <c r="BD776" t="s">
        <v>74</v>
      </c>
      <c r="BE776" t="s">
        <v>5725</v>
      </c>
      <c r="BF776" t="str">
        <f>HYPERLINK("http://dx.doi.org/10.1002/aqc.769","http://dx.doi.org/10.1002/aqc.769")</f>
        <v>http://dx.doi.org/10.1002/aqc.769</v>
      </c>
      <c r="BG776" t="s">
        <v>74</v>
      </c>
      <c r="BH776" t="s">
        <v>74</v>
      </c>
      <c r="BI776" t="s">
        <v>74</v>
      </c>
      <c r="BJ776" t="s">
        <v>74</v>
      </c>
      <c r="BK776" t="s">
        <v>74</v>
      </c>
      <c r="BL776" t="s">
        <v>74</v>
      </c>
      <c r="BM776" t="s">
        <v>74</v>
      </c>
      <c r="BN776" t="s">
        <v>74</v>
      </c>
      <c r="BO776" t="s">
        <v>74</v>
      </c>
      <c r="BP776" t="s">
        <v>74</v>
      </c>
      <c r="BQ776" t="s">
        <v>74</v>
      </c>
      <c r="BR776" t="s">
        <v>74</v>
      </c>
      <c r="BS776" t="s">
        <v>5726</v>
      </c>
      <c r="BT776" t="str">
        <f>HYPERLINK("https%3A%2F%2Fwww.webofscience.com%2Fwos%2Fwoscc%2Ffull-record%2FWOS:000239357000004","View Full Record in Web of Science")</f>
        <v>View Full Record in Web of Science</v>
      </c>
    </row>
    <row r="777" spans="1:72" x14ac:dyDescent="0.2">
      <c r="A777" t="s">
        <v>72</v>
      </c>
      <c r="B777" t="s">
        <v>5727</v>
      </c>
      <c r="C777" t="s">
        <v>74</v>
      </c>
      <c r="D777" t="s">
        <v>74</v>
      </c>
      <c r="E777" t="s">
        <v>74</v>
      </c>
      <c r="F777" t="s">
        <v>5728</v>
      </c>
      <c r="G777" t="s">
        <v>74</v>
      </c>
      <c r="H777" t="s">
        <v>74</v>
      </c>
      <c r="I777" t="s">
        <v>5729</v>
      </c>
      <c r="J777" t="s">
        <v>106</v>
      </c>
      <c r="K777" t="s">
        <v>74</v>
      </c>
      <c r="L777" t="s">
        <v>74</v>
      </c>
      <c r="M777" t="s">
        <v>74</v>
      </c>
      <c r="N777" t="s">
        <v>74</v>
      </c>
      <c r="O777" t="s">
        <v>74</v>
      </c>
      <c r="P777" t="s">
        <v>74</v>
      </c>
      <c r="Q777" t="s">
        <v>74</v>
      </c>
      <c r="R777" t="s">
        <v>74</v>
      </c>
      <c r="S777" t="s">
        <v>74</v>
      </c>
      <c r="T777" t="s">
        <v>74</v>
      </c>
      <c r="U777" t="s">
        <v>74</v>
      </c>
      <c r="V777" t="s">
        <v>74</v>
      </c>
      <c r="W777" t="s">
        <v>74</v>
      </c>
      <c r="X777" t="s">
        <v>74</v>
      </c>
      <c r="Y777" t="s">
        <v>74</v>
      </c>
      <c r="Z777" t="s">
        <v>74</v>
      </c>
      <c r="AA777" t="s">
        <v>5730</v>
      </c>
      <c r="AB777" t="s">
        <v>5731</v>
      </c>
      <c r="AC777" t="s">
        <v>74</v>
      </c>
      <c r="AD777" t="s">
        <v>74</v>
      </c>
      <c r="AE777" t="s">
        <v>74</v>
      </c>
      <c r="AF777" t="s">
        <v>74</v>
      </c>
      <c r="AG777" t="s">
        <v>74</v>
      </c>
      <c r="AH777" t="s">
        <v>74</v>
      </c>
      <c r="AI777" t="s">
        <v>74</v>
      </c>
      <c r="AJ777" t="s">
        <v>74</v>
      </c>
      <c r="AK777" t="s">
        <v>74</v>
      </c>
      <c r="AL777" t="s">
        <v>74</v>
      </c>
      <c r="AM777" t="s">
        <v>74</v>
      </c>
      <c r="AN777" t="s">
        <v>74</v>
      </c>
      <c r="AO777" t="s">
        <v>107</v>
      </c>
      <c r="AP777" t="s">
        <v>108</v>
      </c>
      <c r="AQ777" t="s">
        <v>74</v>
      </c>
      <c r="AR777" t="s">
        <v>74</v>
      </c>
      <c r="AS777" t="s">
        <v>74</v>
      </c>
      <c r="AT777" t="s">
        <v>624</v>
      </c>
      <c r="AU777">
        <v>2006</v>
      </c>
      <c r="AV777">
        <v>28</v>
      </c>
      <c r="AW777">
        <v>7</v>
      </c>
      <c r="AX777" t="s">
        <v>74</v>
      </c>
      <c r="AY777" t="s">
        <v>74</v>
      </c>
      <c r="AZ777" t="s">
        <v>74</v>
      </c>
      <c r="BA777" t="s">
        <v>74</v>
      </c>
      <c r="BB777">
        <v>695</v>
      </c>
      <c r="BC777">
        <v>705</v>
      </c>
      <c r="BD777" t="s">
        <v>74</v>
      </c>
      <c r="BE777" t="s">
        <v>5732</v>
      </c>
      <c r="BF777" t="str">
        <f>HYPERLINK("http://dx.doi.org/10.1093/plankt/fbl006","http://dx.doi.org/10.1093/plankt/fbl006")</f>
        <v>http://dx.doi.org/10.1093/plankt/fbl006</v>
      </c>
      <c r="BG777" t="s">
        <v>74</v>
      </c>
      <c r="BH777" t="s">
        <v>74</v>
      </c>
      <c r="BI777" t="s">
        <v>74</v>
      </c>
      <c r="BJ777" t="s">
        <v>74</v>
      </c>
      <c r="BK777" t="s">
        <v>74</v>
      </c>
      <c r="BL777" t="s">
        <v>74</v>
      </c>
      <c r="BM777" t="s">
        <v>74</v>
      </c>
      <c r="BN777" t="s">
        <v>74</v>
      </c>
      <c r="BO777" t="s">
        <v>74</v>
      </c>
      <c r="BP777" t="s">
        <v>74</v>
      </c>
      <c r="BQ777" t="s">
        <v>74</v>
      </c>
      <c r="BR777" t="s">
        <v>74</v>
      </c>
      <c r="BS777" t="s">
        <v>5733</v>
      </c>
      <c r="BT777" t="str">
        <f>HYPERLINK("https%3A%2F%2Fwww.webofscience.com%2Fwos%2Fwoscc%2Ffull-record%2FWOS:000238949400007","View Full Record in Web of Science")</f>
        <v>View Full Record in Web of Science</v>
      </c>
    </row>
    <row r="778" spans="1:72" x14ac:dyDescent="0.2">
      <c r="A778" t="s">
        <v>72</v>
      </c>
      <c r="B778" t="s">
        <v>5734</v>
      </c>
      <c r="C778" t="s">
        <v>74</v>
      </c>
      <c r="D778" t="s">
        <v>74</v>
      </c>
      <c r="E778" t="s">
        <v>74</v>
      </c>
      <c r="F778" t="s">
        <v>5735</v>
      </c>
      <c r="G778" t="s">
        <v>74</v>
      </c>
      <c r="H778" t="s">
        <v>74</v>
      </c>
      <c r="I778" t="s">
        <v>5736</v>
      </c>
      <c r="J778" t="s">
        <v>227</v>
      </c>
      <c r="K778" t="s">
        <v>74</v>
      </c>
      <c r="L778" t="s">
        <v>74</v>
      </c>
      <c r="M778" t="s">
        <v>74</v>
      </c>
      <c r="N778" t="s">
        <v>74</v>
      </c>
      <c r="O778" t="s">
        <v>74</v>
      </c>
      <c r="P778" t="s">
        <v>74</v>
      </c>
      <c r="Q778" t="s">
        <v>74</v>
      </c>
      <c r="R778" t="s">
        <v>74</v>
      </c>
      <c r="S778" t="s">
        <v>74</v>
      </c>
      <c r="T778" t="s">
        <v>74</v>
      </c>
      <c r="U778" t="s">
        <v>74</v>
      </c>
      <c r="V778" t="s">
        <v>74</v>
      </c>
      <c r="W778" t="s">
        <v>74</v>
      </c>
      <c r="X778" t="s">
        <v>74</v>
      </c>
      <c r="Y778" t="s">
        <v>74</v>
      </c>
      <c r="Z778" t="s">
        <v>74</v>
      </c>
      <c r="AA778" t="s">
        <v>74</v>
      </c>
      <c r="AB778" t="s">
        <v>237</v>
      </c>
      <c r="AC778" t="s">
        <v>74</v>
      </c>
      <c r="AD778" t="s">
        <v>74</v>
      </c>
      <c r="AE778" t="s">
        <v>74</v>
      </c>
      <c r="AF778" t="s">
        <v>74</v>
      </c>
      <c r="AG778" t="s">
        <v>74</v>
      </c>
      <c r="AH778" t="s">
        <v>74</v>
      </c>
      <c r="AI778" t="s">
        <v>74</v>
      </c>
      <c r="AJ778" t="s">
        <v>74</v>
      </c>
      <c r="AK778" t="s">
        <v>74</v>
      </c>
      <c r="AL778" t="s">
        <v>74</v>
      </c>
      <c r="AM778" t="s">
        <v>74</v>
      </c>
      <c r="AN778" t="s">
        <v>74</v>
      </c>
      <c r="AO778" t="s">
        <v>230</v>
      </c>
      <c r="AP778" t="s">
        <v>74</v>
      </c>
      <c r="AQ778" t="s">
        <v>74</v>
      </c>
      <c r="AR778" t="s">
        <v>74</v>
      </c>
      <c r="AS778" t="s">
        <v>74</v>
      </c>
      <c r="AT778" t="s">
        <v>624</v>
      </c>
      <c r="AU778">
        <v>2006</v>
      </c>
      <c r="AV778">
        <v>51</v>
      </c>
      <c r="AW778">
        <v>4</v>
      </c>
      <c r="AX778" t="s">
        <v>74</v>
      </c>
      <c r="AY778" t="s">
        <v>74</v>
      </c>
      <c r="AZ778" t="s">
        <v>74</v>
      </c>
      <c r="BA778" t="s">
        <v>74</v>
      </c>
      <c r="BB778">
        <v>1708</v>
      </c>
      <c r="BC778">
        <v>1715</v>
      </c>
      <c r="BD778" t="s">
        <v>74</v>
      </c>
      <c r="BE778" t="s">
        <v>5737</v>
      </c>
      <c r="BF778" t="str">
        <f>HYPERLINK("http://dx.doi.org/10.4319/lo.2006.51.4.1708","http://dx.doi.org/10.4319/lo.2006.51.4.1708")</f>
        <v>http://dx.doi.org/10.4319/lo.2006.51.4.1708</v>
      </c>
      <c r="BG778" t="s">
        <v>74</v>
      </c>
      <c r="BH778" t="s">
        <v>74</v>
      </c>
      <c r="BI778" t="s">
        <v>74</v>
      </c>
      <c r="BJ778" t="s">
        <v>74</v>
      </c>
      <c r="BK778" t="s">
        <v>74</v>
      </c>
      <c r="BL778" t="s">
        <v>74</v>
      </c>
      <c r="BM778" t="s">
        <v>74</v>
      </c>
      <c r="BN778" t="s">
        <v>74</v>
      </c>
      <c r="BO778" t="s">
        <v>74</v>
      </c>
      <c r="BP778" t="s">
        <v>74</v>
      </c>
      <c r="BQ778" t="s">
        <v>74</v>
      </c>
      <c r="BR778" t="s">
        <v>74</v>
      </c>
      <c r="BS778" t="s">
        <v>5738</v>
      </c>
      <c r="BT778" t="str">
        <f>HYPERLINK("https%3A%2F%2Fwww.webofscience.com%2Fwos%2Fwoscc%2Ffull-record%2FWOS:000239262200015","View Full Record in Web of Science")</f>
        <v>View Full Record in Web of Science</v>
      </c>
    </row>
    <row r="779" spans="1:72" x14ac:dyDescent="0.2">
      <c r="A779" t="s">
        <v>72</v>
      </c>
      <c r="B779" t="s">
        <v>5739</v>
      </c>
      <c r="C779" t="s">
        <v>74</v>
      </c>
      <c r="D779" t="s">
        <v>74</v>
      </c>
      <c r="E779" t="s">
        <v>74</v>
      </c>
      <c r="F779" t="s">
        <v>5739</v>
      </c>
      <c r="G779" t="s">
        <v>74</v>
      </c>
      <c r="H779" t="s">
        <v>74</v>
      </c>
      <c r="I779" t="s">
        <v>5740</v>
      </c>
      <c r="J779" t="s">
        <v>695</v>
      </c>
      <c r="K779" t="s">
        <v>74</v>
      </c>
      <c r="L779" t="s">
        <v>74</v>
      </c>
      <c r="M779" t="s">
        <v>74</v>
      </c>
      <c r="N779" t="s">
        <v>74</v>
      </c>
      <c r="O779" t="s">
        <v>74</v>
      </c>
      <c r="P779" t="s">
        <v>74</v>
      </c>
      <c r="Q779" t="s">
        <v>74</v>
      </c>
      <c r="R779" t="s">
        <v>74</v>
      </c>
      <c r="S779" t="s">
        <v>74</v>
      </c>
      <c r="T779" t="s">
        <v>74</v>
      </c>
      <c r="U779" t="s">
        <v>74</v>
      </c>
      <c r="V779" t="s">
        <v>74</v>
      </c>
      <c r="W779" t="s">
        <v>74</v>
      </c>
      <c r="X779" t="s">
        <v>74</v>
      </c>
      <c r="Y779" t="s">
        <v>74</v>
      </c>
      <c r="Z779" t="s">
        <v>74</v>
      </c>
      <c r="AA779" t="s">
        <v>5741</v>
      </c>
      <c r="AB779" t="s">
        <v>2920</v>
      </c>
      <c r="AC779" t="s">
        <v>74</v>
      </c>
      <c r="AD779" t="s">
        <v>74</v>
      </c>
      <c r="AE779" t="s">
        <v>74</v>
      </c>
      <c r="AF779" t="s">
        <v>74</v>
      </c>
      <c r="AG779" t="s">
        <v>74</v>
      </c>
      <c r="AH779" t="s">
        <v>74</v>
      </c>
      <c r="AI779" t="s">
        <v>74</v>
      </c>
      <c r="AJ779" t="s">
        <v>74</v>
      </c>
      <c r="AK779" t="s">
        <v>74</v>
      </c>
      <c r="AL779" t="s">
        <v>74</v>
      </c>
      <c r="AM779" t="s">
        <v>74</v>
      </c>
      <c r="AN779" t="s">
        <v>74</v>
      </c>
      <c r="AO779" t="s">
        <v>697</v>
      </c>
      <c r="AP779" t="s">
        <v>698</v>
      </c>
      <c r="AQ779" t="s">
        <v>74</v>
      </c>
      <c r="AR779" t="s">
        <v>74</v>
      </c>
      <c r="AS779" t="s">
        <v>74</v>
      </c>
      <c r="AT779" t="s">
        <v>416</v>
      </c>
      <c r="AU779">
        <v>2006</v>
      </c>
      <c r="AV779">
        <v>76</v>
      </c>
      <c r="AW779">
        <v>1</v>
      </c>
      <c r="AX779" t="s">
        <v>74</v>
      </c>
      <c r="AY779" t="s">
        <v>74</v>
      </c>
      <c r="AZ779" t="s">
        <v>74</v>
      </c>
      <c r="BA779" t="s">
        <v>74</v>
      </c>
      <c r="BB779">
        <v>57</v>
      </c>
      <c r="BC779">
        <v>72</v>
      </c>
      <c r="BD779" t="s">
        <v>74</v>
      </c>
      <c r="BE779" t="s">
        <v>5742</v>
      </c>
      <c r="BF779" t="str">
        <f>HYPERLINK("http://dx.doi.org/10.1890/04-1824","http://dx.doi.org/10.1890/04-1824")</f>
        <v>http://dx.doi.org/10.1890/04-1824</v>
      </c>
      <c r="BG779" t="s">
        <v>74</v>
      </c>
      <c r="BH779" t="s">
        <v>74</v>
      </c>
      <c r="BI779" t="s">
        <v>74</v>
      </c>
      <c r="BJ779" t="s">
        <v>74</v>
      </c>
      <c r="BK779" t="s">
        <v>74</v>
      </c>
      <c r="BL779" t="s">
        <v>74</v>
      </c>
      <c r="BM779" t="s">
        <v>74</v>
      </c>
      <c r="BN779" t="s">
        <v>74</v>
      </c>
      <c r="BO779" t="s">
        <v>74</v>
      </c>
      <c r="BP779" t="s">
        <v>74</v>
      </c>
      <c r="BQ779" t="s">
        <v>74</v>
      </c>
      <c r="BR779" t="s">
        <v>74</v>
      </c>
      <c r="BS779" t="s">
        <v>5743</v>
      </c>
      <c r="BT779" t="str">
        <f>HYPERLINK("https%3A%2F%2Fwww.webofscience.com%2Fwos%2Fwoscc%2Ffull-record%2FWOS:000236562100005","View Full Record in Web of Science")</f>
        <v>View Full Record in Web of Science</v>
      </c>
    </row>
    <row r="780" spans="1:72" x14ac:dyDescent="0.2">
      <c r="A780" t="s">
        <v>72</v>
      </c>
      <c r="B780" t="s">
        <v>5744</v>
      </c>
      <c r="C780" t="s">
        <v>74</v>
      </c>
      <c r="D780" t="s">
        <v>74</v>
      </c>
      <c r="E780" t="s">
        <v>74</v>
      </c>
      <c r="F780" t="s">
        <v>5745</v>
      </c>
      <c r="G780" t="s">
        <v>74</v>
      </c>
      <c r="H780" t="s">
        <v>74</v>
      </c>
      <c r="I780" t="s">
        <v>5746</v>
      </c>
      <c r="J780" t="s">
        <v>1323</v>
      </c>
      <c r="K780" t="s">
        <v>74</v>
      </c>
      <c r="L780" t="s">
        <v>74</v>
      </c>
      <c r="M780" t="s">
        <v>74</v>
      </c>
      <c r="N780" t="s">
        <v>74</v>
      </c>
      <c r="O780" t="s">
        <v>74</v>
      </c>
      <c r="P780" t="s">
        <v>74</v>
      </c>
      <c r="Q780" t="s">
        <v>74</v>
      </c>
      <c r="R780" t="s">
        <v>74</v>
      </c>
      <c r="S780" t="s">
        <v>74</v>
      </c>
      <c r="T780" t="s">
        <v>74</v>
      </c>
      <c r="U780" t="s">
        <v>74</v>
      </c>
      <c r="V780" t="s">
        <v>74</v>
      </c>
      <c r="W780" t="s">
        <v>74</v>
      </c>
      <c r="X780" t="s">
        <v>74</v>
      </c>
      <c r="Y780" t="s">
        <v>74</v>
      </c>
      <c r="Z780" t="s">
        <v>74</v>
      </c>
      <c r="AA780" t="s">
        <v>5747</v>
      </c>
      <c r="AB780" t="s">
        <v>5748</v>
      </c>
      <c r="AC780" t="s">
        <v>74</v>
      </c>
      <c r="AD780" t="s">
        <v>74</v>
      </c>
      <c r="AE780" t="s">
        <v>74</v>
      </c>
      <c r="AF780" t="s">
        <v>74</v>
      </c>
      <c r="AG780" t="s">
        <v>74</v>
      </c>
      <c r="AH780" t="s">
        <v>74</v>
      </c>
      <c r="AI780" t="s">
        <v>74</v>
      </c>
      <c r="AJ780" t="s">
        <v>74</v>
      </c>
      <c r="AK780" t="s">
        <v>74</v>
      </c>
      <c r="AL780" t="s">
        <v>74</v>
      </c>
      <c r="AM780" t="s">
        <v>74</v>
      </c>
      <c r="AN780" t="s">
        <v>74</v>
      </c>
      <c r="AO780" t="s">
        <v>1326</v>
      </c>
      <c r="AP780" t="s">
        <v>74</v>
      </c>
      <c r="AQ780" t="s">
        <v>74</v>
      </c>
      <c r="AR780" t="s">
        <v>74</v>
      </c>
      <c r="AS780" t="s">
        <v>74</v>
      </c>
      <c r="AT780" t="s">
        <v>74</v>
      </c>
      <c r="AU780">
        <v>2006</v>
      </c>
      <c r="AV780">
        <v>68</v>
      </c>
      <c r="AW780">
        <v>4</v>
      </c>
      <c r="AX780" t="s">
        <v>74</v>
      </c>
      <c r="AY780" t="s">
        <v>74</v>
      </c>
      <c r="AZ780" t="s">
        <v>74</v>
      </c>
      <c r="BA780" t="s">
        <v>74</v>
      </c>
      <c r="BB780">
        <v>425</v>
      </c>
      <c r="BC780">
        <v>433</v>
      </c>
      <c r="BD780" t="s">
        <v>74</v>
      </c>
      <c r="BE780" t="s">
        <v>5749</v>
      </c>
      <c r="BF780" t="str">
        <f>HYPERLINK("http://dx.doi.org/10.1007/s00027-006-0824-7","http://dx.doi.org/10.1007/s00027-006-0824-7")</f>
        <v>http://dx.doi.org/10.1007/s00027-006-0824-7</v>
      </c>
      <c r="BG780" t="s">
        <v>74</v>
      </c>
      <c r="BH780" t="s">
        <v>74</v>
      </c>
      <c r="BI780" t="s">
        <v>74</v>
      </c>
      <c r="BJ780" t="s">
        <v>74</v>
      </c>
      <c r="BK780" t="s">
        <v>74</v>
      </c>
      <c r="BL780" t="s">
        <v>74</v>
      </c>
      <c r="BM780" t="s">
        <v>74</v>
      </c>
      <c r="BN780" t="s">
        <v>74</v>
      </c>
      <c r="BO780" t="s">
        <v>74</v>
      </c>
      <c r="BP780" t="s">
        <v>74</v>
      </c>
      <c r="BQ780" t="s">
        <v>74</v>
      </c>
      <c r="BR780" t="s">
        <v>74</v>
      </c>
      <c r="BS780" t="s">
        <v>5750</v>
      </c>
      <c r="BT780" t="str">
        <f>HYPERLINK("https%3A%2F%2Fwww.webofscience.com%2Fwos%2Fwoscc%2Ffull-record%2FWOS:000242997400002","View Full Record in Web of Science")</f>
        <v>View Full Record in Web of Science</v>
      </c>
    </row>
    <row r="781" spans="1:72" x14ac:dyDescent="0.2">
      <c r="A781" t="s">
        <v>72</v>
      </c>
      <c r="B781" t="s">
        <v>5751</v>
      </c>
      <c r="C781" t="s">
        <v>74</v>
      </c>
      <c r="D781" t="s">
        <v>74</v>
      </c>
      <c r="E781" t="s">
        <v>74</v>
      </c>
      <c r="F781" t="s">
        <v>5752</v>
      </c>
      <c r="G781" t="s">
        <v>74</v>
      </c>
      <c r="H781" t="s">
        <v>74</v>
      </c>
      <c r="I781" t="s">
        <v>5753</v>
      </c>
      <c r="J781" t="s">
        <v>5754</v>
      </c>
      <c r="K781" t="s">
        <v>74</v>
      </c>
      <c r="L781" t="s">
        <v>74</v>
      </c>
      <c r="M781" t="s">
        <v>74</v>
      </c>
      <c r="N781" t="s">
        <v>74</v>
      </c>
      <c r="O781" t="s">
        <v>5755</v>
      </c>
      <c r="P781" t="s">
        <v>5756</v>
      </c>
      <c r="Q781" t="s">
        <v>5757</v>
      </c>
      <c r="R781" t="s">
        <v>74</v>
      </c>
      <c r="S781" t="s">
        <v>5758</v>
      </c>
      <c r="T781" t="s">
        <v>74</v>
      </c>
      <c r="U781" t="s">
        <v>74</v>
      </c>
      <c r="V781" t="s">
        <v>74</v>
      </c>
      <c r="W781" t="s">
        <v>74</v>
      </c>
      <c r="X781" t="s">
        <v>74</v>
      </c>
      <c r="Y781" t="s">
        <v>74</v>
      </c>
      <c r="Z781" t="s">
        <v>74</v>
      </c>
      <c r="AA781" t="s">
        <v>74</v>
      </c>
      <c r="AB781" t="s">
        <v>74</v>
      </c>
      <c r="AC781" t="s">
        <v>74</v>
      </c>
      <c r="AD781" t="s">
        <v>74</v>
      </c>
      <c r="AE781" t="s">
        <v>74</v>
      </c>
      <c r="AF781" t="s">
        <v>74</v>
      </c>
      <c r="AG781" t="s">
        <v>74</v>
      </c>
      <c r="AH781" t="s">
        <v>74</v>
      </c>
      <c r="AI781" t="s">
        <v>74</v>
      </c>
      <c r="AJ781" t="s">
        <v>74</v>
      </c>
      <c r="AK781" t="s">
        <v>74</v>
      </c>
      <c r="AL781" t="s">
        <v>74</v>
      </c>
      <c r="AM781" t="s">
        <v>74</v>
      </c>
      <c r="AN781" t="s">
        <v>74</v>
      </c>
      <c r="AO781" t="s">
        <v>5759</v>
      </c>
      <c r="AP781" t="s">
        <v>74</v>
      </c>
      <c r="AQ781" t="s">
        <v>74</v>
      </c>
      <c r="AR781" t="s">
        <v>74</v>
      </c>
      <c r="AS781" t="s">
        <v>74</v>
      </c>
      <c r="AT781" t="s">
        <v>74</v>
      </c>
      <c r="AU781">
        <v>2006</v>
      </c>
      <c r="AV781">
        <v>54</v>
      </c>
      <c r="AW781">
        <v>4</v>
      </c>
      <c r="AX781" t="s">
        <v>74</v>
      </c>
      <c r="AY781" t="s">
        <v>74</v>
      </c>
      <c r="AZ781" t="s">
        <v>74</v>
      </c>
      <c r="BA781" t="s">
        <v>74</v>
      </c>
      <c r="BB781">
        <v>607</v>
      </c>
      <c r="BC781">
        <v>620</v>
      </c>
      <c r="BD781" t="s">
        <v>74</v>
      </c>
      <c r="BE781" t="s">
        <v>74</v>
      </c>
      <c r="BF781" t="s">
        <v>74</v>
      </c>
      <c r="BG781" t="s">
        <v>74</v>
      </c>
      <c r="BH781" t="s">
        <v>74</v>
      </c>
      <c r="BI781" t="s">
        <v>74</v>
      </c>
      <c r="BJ781" t="s">
        <v>74</v>
      </c>
      <c r="BK781" t="s">
        <v>74</v>
      </c>
      <c r="BL781" t="s">
        <v>74</v>
      </c>
      <c r="BM781" t="s">
        <v>74</v>
      </c>
      <c r="BN781" t="s">
        <v>74</v>
      </c>
      <c r="BO781" t="s">
        <v>74</v>
      </c>
      <c r="BP781" t="s">
        <v>74</v>
      </c>
      <c r="BQ781" t="s">
        <v>74</v>
      </c>
      <c r="BR781" t="s">
        <v>74</v>
      </c>
      <c r="BS781" t="s">
        <v>5760</v>
      </c>
      <c r="BT781" t="str">
        <f>HYPERLINK("https%3A%2F%2Fwww.webofscience.com%2Fwos%2Fwoscc%2Ffull-record%2FWOS:000243236300006","View Full Record in Web of Science")</f>
        <v>View Full Record in Web of Science</v>
      </c>
    </row>
    <row r="782" spans="1:72" x14ac:dyDescent="0.2">
      <c r="A782" t="s">
        <v>72</v>
      </c>
      <c r="B782" t="s">
        <v>5761</v>
      </c>
      <c r="C782" t="s">
        <v>74</v>
      </c>
      <c r="D782" t="s">
        <v>74</v>
      </c>
      <c r="E782" t="s">
        <v>74</v>
      </c>
      <c r="F782" t="s">
        <v>5762</v>
      </c>
      <c r="G782" t="s">
        <v>74</v>
      </c>
      <c r="H782" t="s">
        <v>74</v>
      </c>
      <c r="I782" t="s">
        <v>5763</v>
      </c>
      <c r="J782" t="s">
        <v>2827</v>
      </c>
      <c r="K782" t="s">
        <v>74</v>
      </c>
      <c r="L782" t="s">
        <v>74</v>
      </c>
      <c r="M782" t="s">
        <v>74</v>
      </c>
      <c r="N782" t="s">
        <v>74</v>
      </c>
      <c r="O782" t="s">
        <v>74</v>
      </c>
      <c r="P782" t="s">
        <v>74</v>
      </c>
      <c r="Q782" t="s">
        <v>74</v>
      </c>
      <c r="R782" t="s">
        <v>74</v>
      </c>
      <c r="S782" t="s">
        <v>74</v>
      </c>
      <c r="T782" t="s">
        <v>74</v>
      </c>
      <c r="U782" t="s">
        <v>74</v>
      </c>
      <c r="V782" t="s">
        <v>74</v>
      </c>
      <c r="W782" t="s">
        <v>74</v>
      </c>
      <c r="X782" t="s">
        <v>74</v>
      </c>
      <c r="Y782" t="s">
        <v>74</v>
      </c>
      <c r="Z782" t="s">
        <v>74</v>
      </c>
      <c r="AA782" t="s">
        <v>5764</v>
      </c>
      <c r="AB782" t="s">
        <v>74</v>
      </c>
      <c r="AC782" t="s">
        <v>74</v>
      </c>
      <c r="AD782" t="s">
        <v>74</v>
      </c>
      <c r="AE782" t="s">
        <v>74</v>
      </c>
      <c r="AF782" t="s">
        <v>74</v>
      </c>
      <c r="AG782" t="s">
        <v>74</v>
      </c>
      <c r="AH782" t="s">
        <v>74</v>
      </c>
      <c r="AI782" t="s">
        <v>74</v>
      </c>
      <c r="AJ782" t="s">
        <v>74</v>
      </c>
      <c r="AK782" t="s">
        <v>74</v>
      </c>
      <c r="AL782" t="s">
        <v>74</v>
      </c>
      <c r="AM782" t="s">
        <v>74</v>
      </c>
      <c r="AN782" t="s">
        <v>74</v>
      </c>
      <c r="AO782" t="s">
        <v>2828</v>
      </c>
      <c r="AP782" t="s">
        <v>74</v>
      </c>
      <c r="AQ782" t="s">
        <v>74</v>
      </c>
      <c r="AR782" t="s">
        <v>74</v>
      </c>
      <c r="AS782" t="s">
        <v>74</v>
      </c>
      <c r="AT782" t="s">
        <v>74</v>
      </c>
      <c r="AU782">
        <v>2006</v>
      </c>
      <c r="AV782">
        <v>328</v>
      </c>
      <c r="AW782" t="s">
        <v>74</v>
      </c>
      <c r="AX782" t="s">
        <v>74</v>
      </c>
      <c r="AY782" t="s">
        <v>74</v>
      </c>
      <c r="AZ782" t="s">
        <v>74</v>
      </c>
      <c r="BA782" t="s">
        <v>74</v>
      </c>
      <c r="BB782">
        <v>75</v>
      </c>
      <c r="BC782">
        <v>92</v>
      </c>
      <c r="BD782" t="s">
        <v>74</v>
      </c>
      <c r="BE782" t="s">
        <v>5765</v>
      </c>
      <c r="BF782" t="str">
        <f>HYPERLINK("http://dx.doi.org/10.3354/meps328075","http://dx.doi.org/10.3354/meps328075")</f>
        <v>http://dx.doi.org/10.3354/meps328075</v>
      </c>
      <c r="BG782" t="s">
        <v>74</v>
      </c>
      <c r="BH782" t="s">
        <v>74</v>
      </c>
      <c r="BI782" t="s">
        <v>74</v>
      </c>
      <c r="BJ782" t="s">
        <v>74</v>
      </c>
      <c r="BK782" t="s">
        <v>74</v>
      </c>
      <c r="BL782" t="s">
        <v>74</v>
      </c>
      <c r="BM782" t="s">
        <v>74</v>
      </c>
      <c r="BN782" t="s">
        <v>74</v>
      </c>
      <c r="BO782" t="s">
        <v>74</v>
      </c>
      <c r="BP782" t="s">
        <v>74</v>
      </c>
      <c r="BQ782" t="s">
        <v>74</v>
      </c>
      <c r="BR782" t="s">
        <v>74</v>
      </c>
      <c r="BS782" t="s">
        <v>5766</v>
      </c>
      <c r="BT782" t="str">
        <f>HYPERLINK("https%3A%2F%2Fwww.webofscience.com%2Fwos%2Fwoscc%2Ffull-record%2FWOS:000245319400007","View Full Record in Web of Science")</f>
        <v>View Full Record in Web of Science</v>
      </c>
    </row>
    <row r="783" spans="1:72" x14ac:dyDescent="0.2">
      <c r="A783" t="s">
        <v>2716</v>
      </c>
      <c r="B783" t="s">
        <v>5767</v>
      </c>
      <c r="C783" t="s">
        <v>74</v>
      </c>
      <c r="D783" t="s">
        <v>5768</v>
      </c>
      <c r="E783" t="s">
        <v>74</v>
      </c>
      <c r="F783" t="s">
        <v>5769</v>
      </c>
      <c r="G783" t="s">
        <v>74</v>
      </c>
      <c r="H783" t="s">
        <v>74</v>
      </c>
      <c r="I783" t="s">
        <v>5770</v>
      </c>
      <c r="J783" t="s">
        <v>5771</v>
      </c>
      <c r="K783" t="s">
        <v>74</v>
      </c>
      <c r="L783" t="s">
        <v>74</v>
      </c>
      <c r="M783" t="s">
        <v>74</v>
      </c>
      <c r="N783" t="s">
        <v>74</v>
      </c>
      <c r="O783" t="s">
        <v>74</v>
      </c>
      <c r="P783" t="s">
        <v>74</v>
      </c>
      <c r="Q783" t="s">
        <v>74</v>
      </c>
      <c r="R783" t="s">
        <v>74</v>
      </c>
      <c r="S783" t="s">
        <v>74</v>
      </c>
      <c r="T783" t="s">
        <v>74</v>
      </c>
      <c r="U783" t="s">
        <v>74</v>
      </c>
      <c r="V783" t="s">
        <v>74</v>
      </c>
      <c r="W783" t="s">
        <v>74</v>
      </c>
      <c r="X783" t="s">
        <v>74</v>
      </c>
      <c r="Y783" t="s">
        <v>74</v>
      </c>
      <c r="Z783" t="s">
        <v>74</v>
      </c>
      <c r="AA783" t="s">
        <v>5772</v>
      </c>
      <c r="AB783" t="s">
        <v>5773</v>
      </c>
      <c r="AC783" t="s">
        <v>74</v>
      </c>
      <c r="AD783" t="s">
        <v>74</v>
      </c>
      <c r="AE783" t="s">
        <v>74</v>
      </c>
      <c r="AF783" t="s">
        <v>74</v>
      </c>
      <c r="AG783" t="s">
        <v>74</v>
      </c>
      <c r="AH783" t="s">
        <v>74</v>
      </c>
      <c r="AI783" t="s">
        <v>74</v>
      </c>
      <c r="AJ783" t="s">
        <v>74</v>
      </c>
      <c r="AK783" t="s">
        <v>74</v>
      </c>
      <c r="AL783" t="s">
        <v>74</v>
      </c>
      <c r="AM783" t="s">
        <v>74</v>
      </c>
      <c r="AN783" t="s">
        <v>74</v>
      </c>
      <c r="AO783" t="s">
        <v>74</v>
      </c>
      <c r="AP783" t="s">
        <v>74</v>
      </c>
      <c r="AQ783" t="s">
        <v>5774</v>
      </c>
      <c r="AR783" t="s">
        <v>74</v>
      </c>
      <c r="AS783" t="s">
        <v>74</v>
      </c>
      <c r="AT783" t="s">
        <v>74</v>
      </c>
      <c r="AU783">
        <v>2006</v>
      </c>
      <c r="AV783" t="s">
        <v>74</v>
      </c>
      <c r="AW783" t="s">
        <v>74</v>
      </c>
      <c r="AX783" t="s">
        <v>74</v>
      </c>
      <c r="AY783" t="s">
        <v>74</v>
      </c>
      <c r="AZ783" t="s">
        <v>74</v>
      </c>
      <c r="BA783" t="s">
        <v>74</v>
      </c>
      <c r="BB783">
        <v>132</v>
      </c>
      <c r="BC783">
        <v>143</v>
      </c>
      <c r="BD783" t="s">
        <v>74</v>
      </c>
      <c r="BE783" t="s">
        <v>5775</v>
      </c>
      <c r="BF783" t="str">
        <f>HYPERLINK("http://dx.doi.org/10.1079/9780851990095.0132","http://dx.doi.org/10.1079/9780851990095.0132")</f>
        <v>http://dx.doi.org/10.1079/9780851990095.0132</v>
      </c>
      <c r="BG783" t="s">
        <v>74</v>
      </c>
      <c r="BH783" t="s">
        <v>74</v>
      </c>
      <c r="BI783" t="s">
        <v>74</v>
      </c>
      <c r="BJ783" t="s">
        <v>74</v>
      </c>
      <c r="BK783" t="s">
        <v>74</v>
      </c>
      <c r="BL783" t="s">
        <v>74</v>
      </c>
      <c r="BM783" t="s">
        <v>74</v>
      </c>
      <c r="BN783" t="s">
        <v>74</v>
      </c>
      <c r="BO783" t="s">
        <v>74</v>
      </c>
      <c r="BP783" t="s">
        <v>74</v>
      </c>
      <c r="BQ783" t="s">
        <v>74</v>
      </c>
      <c r="BR783" t="s">
        <v>74</v>
      </c>
      <c r="BS783" t="s">
        <v>5776</v>
      </c>
      <c r="BT783" t="str">
        <f>HYPERLINK("https%3A%2F%2Fwww.webofscience.com%2Fwos%2Fwoscc%2Ffull-record%2FWOS:000291209600010","View Full Record in Web of Science")</f>
        <v>View Full Record in Web of Science</v>
      </c>
    </row>
    <row r="784" spans="1:72" x14ac:dyDescent="0.2">
      <c r="A784" t="s">
        <v>72</v>
      </c>
      <c r="B784" t="s">
        <v>5777</v>
      </c>
      <c r="C784" t="s">
        <v>74</v>
      </c>
      <c r="D784" t="s">
        <v>74</v>
      </c>
      <c r="E784" t="s">
        <v>74</v>
      </c>
      <c r="F784" t="s">
        <v>5777</v>
      </c>
      <c r="G784" t="s">
        <v>74</v>
      </c>
      <c r="H784" t="s">
        <v>74</v>
      </c>
      <c r="I784" t="s">
        <v>5778</v>
      </c>
      <c r="J784" t="s">
        <v>106</v>
      </c>
      <c r="K784" t="s">
        <v>74</v>
      </c>
      <c r="L784" t="s">
        <v>74</v>
      </c>
      <c r="M784" t="s">
        <v>74</v>
      </c>
      <c r="N784" t="s">
        <v>74</v>
      </c>
      <c r="O784" t="s">
        <v>74</v>
      </c>
      <c r="P784" t="s">
        <v>74</v>
      </c>
      <c r="Q784" t="s">
        <v>74</v>
      </c>
      <c r="R784" t="s">
        <v>74</v>
      </c>
      <c r="S784" t="s">
        <v>74</v>
      </c>
      <c r="T784" t="s">
        <v>74</v>
      </c>
      <c r="U784" t="s">
        <v>74</v>
      </c>
      <c r="V784" t="s">
        <v>74</v>
      </c>
      <c r="W784" t="s">
        <v>74</v>
      </c>
      <c r="X784" t="s">
        <v>74</v>
      </c>
      <c r="Y784" t="s">
        <v>74</v>
      </c>
      <c r="Z784" t="s">
        <v>74</v>
      </c>
      <c r="AA784" t="s">
        <v>74</v>
      </c>
      <c r="AB784" t="s">
        <v>237</v>
      </c>
      <c r="AC784" t="s">
        <v>74</v>
      </c>
      <c r="AD784" t="s">
        <v>74</v>
      </c>
      <c r="AE784" t="s">
        <v>74</v>
      </c>
      <c r="AF784" t="s">
        <v>74</v>
      </c>
      <c r="AG784" t="s">
        <v>74</v>
      </c>
      <c r="AH784" t="s">
        <v>74</v>
      </c>
      <c r="AI784" t="s">
        <v>74</v>
      </c>
      <c r="AJ784" t="s">
        <v>74</v>
      </c>
      <c r="AK784" t="s">
        <v>74</v>
      </c>
      <c r="AL784" t="s">
        <v>74</v>
      </c>
      <c r="AM784" t="s">
        <v>74</v>
      </c>
      <c r="AN784" t="s">
        <v>74</v>
      </c>
      <c r="AO784" t="s">
        <v>107</v>
      </c>
      <c r="AP784" t="s">
        <v>74</v>
      </c>
      <c r="AQ784" t="s">
        <v>74</v>
      </c>
      <c r="AR784" t="s">
        <v>74</v>
      </c>
      <c r="AS784" t="s">
        <v>74</v>
      </c>
      <c r="AT784" t="s">
        <v>315</v>
      </c>
      <c r="AU784">
        <v>2006</v>
      </c>
      <c r="AV784">
        <v>28</v>
      </c>
      <c r="AW784">
        <v>1</v>
      </c>
      <c r="AX784" t="s">
        <v>74</v>
      </c>
      <c r="AY784" t="s">
        <v>74</v>
      </c>
      <c r="AZ784" t="s">
        <v>74</v>
      </c>
      <c r="BA784" t="s">
        <v>74</v>
      </c>
      <c r="BB784">
        <v>55</v>
      </c>
      <c r="BC784">
        <v>63</v>
      </c>
      <c r="BD784" t="s">
        <v>74</v>
      </c>
      <c r="BE784" t="s">
        <v>5779</v>
      </c>
      <c r="BF784" t="str">
        <f>HYPERLINK("http://dx.doi.org/10.1093/plankt/fbi100","http://dx.doi.org/10.1093/plankt/fbi100")</f>
        <v>http://dx.doi.org/10.1093/plankt/fbi100</v>
      </c>
      <c r="BG784" t="s">
        <v>74</v>
      </c>
      <c r="BH784" t="s">
        <v>74</v>
      </c>
      <c r="BI784" t="s">
        <v>74</v>
      </c>
      <c r="BJ784" t="s">
        <v>74</v>
      </c>
      <c r="BK784" t="s">
        <v>74</v>
      </c>
      <c r="BL784" t="s">
        <v>74</v>
      </c>
      <c r="BM784" t="s">
        <v>74</v>
      </c>
      <c r="BN784" t="s">
        <v>74</v>
      </c>
      <c r="BO784" t="s">
        <v>74</v>
      </c>
      <c r="BP784" t="s">
        <v>74</v>
      </c>
      <c r="BQ784" t="s">
        <v>74</v>
      </c>
      <c r="BR784" t="s">
        <v>74</v>
      </c>
      <c r="BS784" t="s">
        <v>5780</v>
      </c>
      <c r="BT784" t="str">
        <f>HYPERLINK("https%3A%2F%2Fwww.webofscience.com%2Fwos%2Fwoscc%2Ffull-record%2FWOS:000235606600004","View Full Record in Web of Science")</f>
        <v>View Full Record in Web of Science</v>
      </c>
    </row>
    <row r="785" spans="1:72" x14ac:dyDescent="0.2">
      <c r="A785" t="s">
        <v>72</v>
      </c>
      <c r="B785" t="s">
        <v>5781</v>
      </c>
      <c r="C785" t="s">
        <v>74</v>
      </c>
      <c r="D785" t="s">
        <v>74</v>
      </c>
      <c r="E785" t="s">
        <v>74</v>
      </c>
      <c r="F785" t="s">
        <v>5781</v>
      </c>
      <c r="G785" t="s">
        <v>74</v>
      </c>
      <c r="H785" t="s">
        <v>74</v>
      </c>
      <c r="I785" t="s">
        <v>5782</v>
      </c>
      <c r="J785" t="s">
        <v>5783</v>
      </c>
      <c r="K785" t="s">
        <v>74</v>
      </c>
      <c r="L785" t="s">
        <v>74</v>
      </c>
      <c r="M785" t="s">
        <v>74</v>
      </c>
      <c r="N785" t="s">
        <v>74</v>
      </c>
      <c r="O785" t="s">
        <v>74</v>
      </c>
      <c r="P785" t="s">
        <v>74</v>
      </c>
      <c r="Q785" t="s">
        <v>74</v>
      </c>
      <c r="R785" t="s">
        <v>74</v>
      </c>
      <c r="S785" t="s">
        <v>74</v>
      </c>
      <c r="T785" t="s">
        <v>74</v>
      </c>
      <c r="U785" t="s">
        <v>74</v>
      </c>
      <c r="V785" t="s">
        <v>74</v>
      </c>
      <c r="W785" t="s">
        <v>74</v>
      </c>
      <c r="X785" t="s">
        <v>74</v>
      </c>
      <c r="Y785" t="s">
        <v>74</v>
      </c>
      <c r="Z785" t="s">
        <v>74</v>
      </c>
      <c r="AA785" t="s">
        <v>74</v>
      </c>
      <c r="AB785" t="s">
        <v>5784</v>
      </c>
      <c r="AC785" t="s">
        <v>74</v>
      </c>
      <c r="AD785" t="s">
        <v>74</v>
      </c>
      <c r="AE785" t="s">
        <v>74</v>
      </c>
      <c r="AF785" t="s">
        <v>74</v>
      </c>
      <c r="AG785" t="s">
        <v>74</v>
      </c>
      <c r="AH785" t="s">
        <v>74</v>
      </c>
      <c r="AI785" t="s">
        <v>74</v>
      </c>
      <c r="AJ785" t="s">
        <v>74</v>
      </c>
      <c r="AK785" t="s">
        <v>74</v>
      </c>
      <c r="AL785" t="s">
        <v>74</v>
      </c>
      <c r="AM785" t="s">
        <v>74</v>
      </c>
      <c r="AN785" t="s">
        <v>74</v>
      </c>
      <c r="AO785" t="s">
        <v>5785</v>
      </c>
      <c r="AP785" t="s">
        <v>74</v>
      </c>
      <c r="AQ785" t="s">
        <v>74</v>
      </c>
      <c r="AR785" t="s">
        <v>74</v>
      </c>
      <c r="AS785" t="s">
        <v>74</v>
      </c>
      <c r="AT785" t="s">
        <v>82</v>
      </c>
      <c r="AU785">
        <v>2005</v>
      </c>
      <c r="AV785">
        <v>28</v>
      </c>
      <c r="AW785">
        <v>6</v>
      </c>
      <c r="AX785" t="s">
        <v>74</v>
      </c>
      <c r="AY785" t="s">
        <v>74</v>
      </c>
      <c r="AZ785" t="s">
        <v>74</v>
      </c>
      <c r="BA785" t="s">
        <v>74</v>
      </c>
      <c r="BB785">
        <v>884</v>
      </c>
      <c r="BC785">
        <v>895</v>
      </c>
      <c r="BD785" t="s">
        <v>74</v>
      </c>
      <c r="BE785" t="s">
        <v>5786</v>
      </c>
      <c r="BF785" t="str">
        <f>HYPERLINK("http://dx.doi.org/10.1007/BF02696017","http://dx.doi.org/10.1007/BF02696017")</f>
        <v>http://dx.doi.org/10.1007/BF02696017</v>
      </c>
      <c r="BG785" t="s">
        <v>74</v>
      </c>
      <c r="BH785" t="s">
        <v>74</v>
      </c>
      <c r="BI785" t="s">
        <v>74</v>
      </c>
      <c r="BJ785" t="s">
        <v>74</v>
      </c>
      <c r="BK785" t="s">
        <v>74</v>
      </c>
      <c r="BL785" t="s">
        <v>74</v>
      </c>
      <c r="BM785" t="s">
        <v>74</v>
      </c>
      <c r="BN785" t="s">
        <v>74</v>
      </c>
      <c r="BO785" t="s">
        <v>74</v>
      </c>
      <c r="BP785" t="s">
        <v>74</v>
      </c>
      <c r="BQ785" t="s">
        <v>74</v>
      </c>
      <c r="BR785" t="s">
        <v>74</v>
      </c>
      <c r="BS785" t="s">
        <v>5787</v>
      </c>
      <c r="BT785" t="str">
        <f>HYPERLINK("https%3A%2F%2Fwww.webofscience.com%2Fwos%2Fwoscc%2Ffull-record%2FWOS:000234637800008","View Full Record in Web of Science")</f>
        <v>View Full Record in Web of Science</v>
      </c>
    </row>
    <row r="786" spans="1:72" x14ac:dyDescent="0.2">
      <c r="A786" t="s">
        <v>72</v>
      </c>
      <c r="B786" t="s">
        <v>5788</v>
      </c>
      <c r="C786" t="s">
        <v>74</v>
      </c>
      <c r="D786" t="s">
        <v>74</v>
      </c>
      <c r="E786" t="s">
        <v>74</v>
      </c>
      <c r="F786" t="s">
        <v>5788</v>
      </c>
      <c r="G786" t="s">
        <v>74</v>
      </c>
      <c r="H786" t="s">
        <v>74</v>
      </c>
      <c r="I786" t="s">
        <v>5789</v>
      </c>
      <c r="J786" t="s">
        <v>97</v>
      </c>
      <c r="K786" t="s">
        <v>74</v>
      </c>
      <c r="L786" t="s">
        <v>74</v>
      </c>
      <c r="M786" t="s">
        <v>74</v>
      </c>
      <c r="N786" t="s">
        <v>74</v>
      </c>
      <c r="O786" t="s">
        <v>74</v>
      </c>
      <c r="P786" t="s">
        <v>74</v>
      </c>
      <c r="Q786" t="s">
        <v>74</v>
      </c>
      <c r="R786" t="s">
        <v>74</v>
      </c>
      <c r="S786" t="s">
        <v>74</v>
      </c>
      <c r="T786" t="s">
        <v>74</v>
      </c>
      <c r="U786" t="s">
        <v>74</v>
      </c>
      <c r="V786" t="s">
        <v>74</v>
      </c>
      <c r="W786" t="s">
        <v>74</v>
      </c>
      <c r="X786" t="s">
        <v>74</v>
      </c>
      <c r="Y786" t="s">
        <v>74</v>
      </c>
      <c r="Z786" t="s">
        <v>74</v>
      </c>
      <c r="AA786" t="s">
        <v>5790</v>
      </c>
      <c r="AB786" t="s">
        <v>74</v>
      </c>
      <c r="AC786" t="s">
        <v>74</v>
      </c>
      <c r="AD786" t="s">
        <v>74</v>
      </c>
      <c r="AE786" t="s">
        <v>74</v>
      </c>
      <c r="AF786" t="s">
        <v>74</v>
      </c>
      <c r="AG786" t="s">
        <v>74</v>
      </c>
      <c r="AH786" t="s">
        <v>74</v>
      </c>
      <c r="AI786" t="s">
        <v>74</v>
      </c>
      <c r="AJ786" t="s">
        <v>74</v>
      </c>
      <c r="AK786" t="s">
        <v>74</v>
      </c>
      <c r="AL786" t="s">
        <v>74</v>
      </c>
      <c r="AM786" t="s">
        <v>74</v>
      </c>
      <c r="AN786" t="s">
        <v>74</v>
      </c>
      <c r="AO786" t="s">
        <v>98</v>
      </c>
      <c r="AP786" t="s">
        <v>99</v>
      </c>
      <c r="AQ786" t="s">
        <v>74</v>
      </c>
      <c r="AR786" t="s">
        <v>74</v>
      </c>
      <c r="AS786" t="s">
        <v>74</v>
      </c>
      <c r="AT786" t="s">
        <v>82</v>
      </c>
      <c r="AU786">
        <v>2005</v>
      </c>
      <c r="AV786">
        <v>39</v>
      </c>
      <c r="AW786">
        <v>4</v>
      </c>
      <c r="AX786" t="s">
        <v>74</v>
      </c>
      <c r="AY786" t="s">
        <v>74</v>
      </c>
      <c r="AZ786" t="s">
        <v>74</v>
      </c>
      <c r="BA786" t="s">
        <v>74</v>
      </c>
      <c r="BB786">
        <v>447</v>
      </c>
      <c r="BC786">
        <v>454</v>
      </c>
      <c r="BD786" t="s">
        <v>74</v>
      </c>
      <c r="BE786" t="s">
        <v>5791</v>
      </c>
      <c r="BF786" t="str">
        <f>HYPERLINK("http://dx.doi.org/10.1007/s10452-005-9003-5","http://dx.doi.org/10.1007/s10452-005-9003-5")</f>
        <v>http://dx.doi.org/10.1007/s10452-005-9003-5</v>
      </c>
      <c r="BG786" t="s">
        <v>74</v>
      </c>
      <c r="BH786" t="s">
        <v>74</v>
      </c>
      <c r="BI786" t="s">
        <v>74</v>
      </c>
      <c r="BJ786" t="s">
        <v>74</v>
      </c>
      <c r="BK786" t="s">
        <v>74</v>
      </c>
      <c r="BL786" t="s">
        <v>74</v>
      </c>
      <c r="BM786" t="s">
        <v>74</v>
      </c>
      <c r="BN786" t="s">
        <v>74</v>
      </c>
      <c r="BO786" t="s">
        <v>74</v>
      </c>
      <c r="BP786" t="s">
        <v>74</v>
      </c>
      <c r="BQ786" t="s">
        <v>74</v>
      </c>
      <c r="BR786" t="s">
        <v>74</v>
      </c>
      <c r="BS786" t="s">
        <v>5792</v>
      </c>
      <c r="BT786" t="str">
        <f>HYPERLINK("https%3A%2F%2Fwww.webofscience.com%2Fwos%2Fwoscc%2Ffull-record%2FWOS:000233733400006","View Full Record in Web of Science")</f>
        <v>View Full Record in Web of Science</v>
      </c>
    </row>
    <row r="787" spans="1:72" x14ac:dyDescent="0.2">
      <c r="A787" t="s">
        <v>72</v>
      </c>
      <c r="B787" t="s">
        <v>5793</v>
      </c>
      <c r="C787" t="s">
        <v>74</v>
      </c>
      <c r="D787" t="s">
        <v>74</v>
      </c>
      <c r="E787" t="s">
        <v>74</v>
      </c>
      <c r="F787" t="s">
        <v>5793</v>
      </c>
      <c r="G787" t="s">
        <v>74</v>
      </c>
      <c r="H787" t="s">
        <v>74</v>
      </c>
      <c r="I787" t="s">
        <v>5794</v>
      </c>
      <c r="J787" t="s">
        <v>1716</v>
      </c>
      <c r="K787" t="s">
        <v>74</v>
      </c>
      <c r="L787" t="s">
        <v>74</v>
      </c>
      <c r="M787" t="s">
        <v>74</v>
      </c>
      <c r="N787" t="s">
        <v>74</v>
      </c>
      <c r="O787" t="s">
        <v>74</v>
      </c>
      <c r="P787" t="s">
        <v>74</v>
      </c>
      <c r="Q787" t="s">
        <v>74</v>
      </c>
      <c r="R787" t="s">
        <v>74</v>
      </c>
      <c r="S787" t="s">
        <v>74</v>
      </c>
      <c r="T787" t="s">
        <v>74</v>
      </c>
      <c r="U787" t="s">
        <v>74</v>
      </c>
      <c r="V787" t="s">
        <v>74</v>
      </c>
      <c r="W787" t="s">
        <v>74</v>
      </c>
      <c r="X787" t="s">
        <v>74</v>
      </c>
      <c r="Y787" t="s">
        <v>74</v>
      </c>
      <c r="Z787" t="s">
        <v>74</v>
      </c>
      <c r="AA787" t="s">
        <v>74</v>
      </c>
      <c r="AB787" t="s">
        <v>74</v>
      </c>
      <c r="AC787" t="s">
        <v>74</v>
      </c>
      <c r="AD787" t="s">
        <v>74</v>
      </c>
      <c r="AE787" t="s">
        <v>74</v>
      </c>
      <c r="AF787" t="s">
        <v>74</v>
      </c>
      <c r="AG787" t="s">
        <v>74</v>
      </c>
      <c r="AH787" t="s">
        <v>74</v>
      </c>
      <c r="AI787" t="s">
        <v>74</v>
      </c>
      <c r="AJ787" t="s">
        <v>74</v>
      </c>
      <c r="AK787" t="s">
        <v>74</v>
      </c>
      <c r="AL787" t="s">
        <v>74</v>
      </c>
      <c r="AM787" t="s">
        <v>74</v>
      </c>
      <c r="AN787" t="s">
        <v>74</v>
      </c>
      <c r="AO787" t="s">
        <v>1717</v>
      </c>
      <c r="AP787" t="s">
        <v>1718</v>
      </c>
      <c r="AQ787" t="s">
        <v>74</v>
      </c>
      <c r="AR787" t="s">
        <v>74</v>
      </c>
      <c r="AS787" t="s">
        <v>74</v>
      </c>
      <c r="AT787" t="s">
        <v>82</v>
      </c>
      <c r="AU787">
        <v>2005</v>
      </c>
      <c r="AV787">
        <v>41</v>
      </c>
      <c r="AW787">
        <v>6</v>
      </c>
      <c r="AX787" t="s">
        <v>74</v>
      </c>
      <c r="AY787" t="s">
        <v>74</v>
      </c>
      <c r="AZ787" t="s">
        <v>74</v>
      </c>
      <c r="BA787" t="s">
        <v>74</v>
      </c>
      <c r="BB787">
        <v>1099</v>
      </c>
      <c r="BC787">
        <v>1109</v>
      </c>
      <c r="BD787" t="s">
        <v>74</v>
      </c>
      <c r="BE787" t="s">
        <v>5795</v>
      </c>
      <c r="BF787" t="str">
        <f>HYPERLINK("http://dx.doi.org/10.1111/j.1529-8817.2005.00137.x","http://dx.doi.org/10.1111/j.1529-8817.2005.00137.x")</f>
        <v>http://dx.doi.org/10.1111/j.1529-8817.2005.00137.x</v>
      </c>
      <c r="BG787" t="s">
        <v>74</v>
      </c>
      <c r="BH787" t="s">
        <v>74</v>
      </c>
      <c r="BI787" t="s">
        <v>74</v>
      </c>
      <c r="BJ787" t="s">
        <v>74</v>
      </c>
      <c r="BK787" t="s">
        <v>74</v>
      </c>
      <c r="BL787" t="s">
        <v>74</v>
      </c>
      <c r="BM787" t="s">
        <v>74</v>
      </c>
      <c r="BN787" t="s">
        <v>74</v>
      </c>
      <c r="BO787" t="s">
        <v>74</v>
      </c>
      <c r="BP787" t="s">
        <v>74</v>
      </c>
      <c r="BQ787" t="s">
        <v>74</v>
      </c>
      <c r="BR787" t="s">
        <v>74</v>
      </c>
      <c r="BS787" t="s">
        <v>5796</v>
      </c>
      <c r="BT787" t="str">
        <f>HYPERLINK("https%3A%2F%2Fwww.webofscience.com%2Fwos%2Fwoscc%2Ffull-record%2FWOS:000233829500005","View Full Record in Web of Science")</f>
        <v>View Full Record in Web of Science</v>
      </c>
    </row>
    <row r="788" spans="1:72" x14ac:dyDescent="0.2">
      <c r="A788" t="s">
        <v>72</v>
      </c>
      <c r="B788" t="s">
        <v>5797</v>
      </c>
      <c r="C788" t="s">
        <v>74</v>
      </c>
      <c r="D788" t="s">
        <v>74</v>
      </c>
      <c r="E788" t="s">
        <v>74</v>
      </c>
      <c r="F788" t="s">
        <v>5797</v>
      </c>
      <c r="G788" t="s">
        <v>74</v>
      </c>
      <c r="H788" t="s">
        <v>74</v>
      </c>
      <c r="I788" t="s">
        <v>5798</v>
      </c>
      <c r="J788" t="s">
        <v>1789</v>
      </c>
      <c r="K788" t="s">
        <v>74</v>
      </c>
      <c r="L788" t="s">
        <v>74</v>
      </c>
      <c r="M788" t="s">
        <v>74</v>
      </c>
      <c r="N788" t="s">
        <v>74</v>
      </c>
      <c r="O788" t="s">
        <v>74</v>
      </c>
      <c r="P788" t="s">
        <v>74</v>
      </c>
      <c r="Q788" t="s">
        <v>74</v>
      </c>
      <c r="R788" t="s">
        <v>74</v>
      </c>
      <c r="S788" t="s">
        <v>74</v>
      </c>
      <c r="T788" t="s">
        <v>74</v>
      </c>
      <c r="U788" t="s">
        <v>74</v>
      </c>
      <c r="V788" t="s">
        <v>74</v>
      </c>
      <c r="W788" t="s">
        <v>74</v>
      </c>
      <c r="X788" t="s">
        <v>74</v>
      </c>
      <c r="Y788" t="s">
        <v>74</v>
      </c>
      <c r="Z788" t="s">
        <v>74</v>
      </c>
      <c r="AA788" t="s">
        <v>74</v>
      </c>
      <c r="AB788" t="s">
        <v>5799</v>
      </c>
      <c r="AC788" t="s">
        <v>74</v>
      </c>
      <c r="AD788" t="s">
        <v>74</v>
      </c>
      <c r="AE788" t="s">
        <v>74</v>
      </c>
      <c r="AF788" t="s">
        <v>74</v>
      </c>
      <c r="AG788" t="s">
        <v>74</v>
      </c>
      <c r="AH788" t="s">
        <v>74</v>
      </c>
      <c r="AI788" t="s">
        <v>74</v>
      </c>
      <c r="AJ788" t="s">
        <v>74</v>
      </c>
      <c r="AK788" t="s">
        <v>74</v>
      </c>
      <c r="AL788" t="s">
        <v>74</v>
      </c>
      <c r="AM788" t="s">
        <v>74</v>
      </c>
      <c r="AN788" t="s">
        <v>74</v>
      </c>
      <c r="AO788" t="s">
        <v>1791</v>
      </c>
      <c r="AP788" t="s">
        <v>74</v>
      </c>
      <c r="AQ788" t="s">
        <v>74</v>
      </c>
      <c r="AR788" t="s">
        <v>74</v>
      </c>
      <c r="AS788" t="s">
        <v>74</v>
      </c>
      <c r="AT788" t="s">
        <v>335</v>
      </c>
      <c r="AU788">
        <v>2005</v>
      </c>
      <c r="AV788">
        <v>20</v>
      </c>
      <c r="AW788">
        <v>6</v>
      </c>
      <c r="AX788" t="s">
        <v>74</v>
      </c>
      <c r="AY788" t="s">
        <v>74</v>
      </c>
      <c r="AZ788" t="s">
        <v>74</v>
      </c>
      <c r="BA788" t="s">
        <v>74</v>
      </c>
      <c r="BB788">
        <v>726</v>
      </c>
      <c r="BC788">
        <v>732</v>
      </c>
      <c r="BD788" t="s">
        <v>74</v>
      </c>
      <c r="BE788" t="s">
        <v>5800</v>
      </c>
      <c r="BF788" t="str">
        <f>HYPERLINK("http://dx.doi.org/10.1007/s11284-005-0089-y","http://dx.doi.org/10.1007/s11284-005-0089-y")</f>
        <v>http://dx.doi.org/10.1007/s11284-005-0089-y</v>
      </c>
      <c r="BG788" t="s">
        <v>74</v>
      </c>
      <c r="BH788" t="s">
        <v>74</v>
      </c>
      <c r="BI788" t="s">
        <v>74</v>
      </c>
      <c r="BJ788" t="s">
        <v>74</v>
      </c>
      <c r="BK788" t="s">
        <v>74</v>
      </c>
      <c r="BL788" t="s">
        <v>74</v>
      </c>
      <c r="BM788" t="s">
        <v>74</v>
      </c>
      <c r="BN788" t="s">
        <v>74</v>
      </c>
      <c r="BO788" t="s">
        <v>74</v>
      </c>
      <c r="BP788" t="s">
        <v>74</v>
      </c>
      <c r="BQ788" t="s">
        <v>74</v>
      </c>
      <c r="BR788" t="s">
        <v>74</v>
      </c>
      <c r="BS788" t="s">
        <v>5801</v>
      </c>
      <c r="BT788" t="str">
        <f>HYPERLINK("https%3A%2F%2Fwww.webofscience.com%2Fwos%2Fwoscc%2Ffull-record%2FWOS:000233245400012","View Full Record in Web of Science")</f>
        <v>View Full Record in Web of Science</v>
      </c>
    </row>
    <row r="789" spans="1:72" x14ac:dyDescent="0.2">
      <c r="A789" t="s">
        <v>72</v>
      </c>
      <c r="B789" t="s">
        <v>5802</v>
      </c>
      <c r="C789" t="s">
        <v>74</v>
      </c>
      <c r="D789" t="s">
        <v>74</v>
      </c>
      <c r="E789" t="s">
        <v>74</v>
      </c>
      <c r="F789" t="s">
        <v>5802</v>
      </c>
      <c r="G789" t="s">
        <v>74</v>
      </c>
      <c r="H789" t="s">
        <v>74</v>
      </c>
      <c r="I789" t="s">
        <v>5803</v>
      </c>
      <c r="J789" t="s">
        <v>836</v>
      </c>
      <c r="K789" t="s">
        <v>74</v>
      </c>
      <c r="L789" t="s">
        <v>74</v>
      </c>
      <c r="M789" t="s">
        <v>74</v>
      </c>
      <c r="N789" t="s">
        <v>74</v>
      </c>
      <c r="O789" t="s">
        <v>74</v>
      </c>
      <c r="P789" t="s">
        <v>74</v>
      </c>
      <c r="Q789" t="s">
        <v>74</v>
      </c>
      <c r="R789" t="s">
        <v>74</v>
      </c>
      <c r="S789" t="s">
        <v>74</v>
      </c>
      <c r="T789" t="s">
        <v>74</v>
      </c>
      <c r="U789" t="s">
        <v>74</v>
      </c>
      <c r="V789" t="s">
        <v>74</v>
      </c>
      <c r="W789" t="s">
        <v>74</v>
      </c>
      <c r="X789" t="s">
        <v>74</v>
      </c>
      <c r="Y789" t="s">
        <v>74</v>
      </c>
      <c r="Z789" t="s">
        <v>74</v>
      </c>
      <c r="AA789" t="s">
        <v>74</v>
      </c>
      <c r="AB789" t="s">
        <v>74</v>
      </c>
      <c r="AC789" t="s">
        <v>74</v>
      </c>
      <c r="AD789" t="s">
        <v>74</v>
      </c>
      <c r="AE789" t="s">
        <v>74</v>
      </c>
      <c r="AF789" t="s">
        <v>74</v>
      </c>
      <c r="AG789" t="s">
        <v>74</v>
      </c>
      <c r="AH789" t="s">
        <v>74</v>
      </c>
      <c r="AI789" t="s">
        <v>74</v>
      </c>
      <c r="AJ789" t="s">
        <v>74</v>
      </c>
      <c r="AK789" t="s">
        <v>74</v>
      </c>
      <c r="AL789" t="s">
        <v>74</v>
      </c>
      <c r="AM789" t="s">
        <v>74</v>
      </c>
      <c r="AN789" t="s">
        <v>74</v>
      </c>
      <c r="AO789" t="s">
        <v>837</v>
      </c>
      <c r="AP789" t="s">
        <v>838</v>
      </c>
      <c r="AQ789" t="s">
        <v>74</v>
      </c>
      <c r="AR789" t="s">
        <v>74</v>
      </c>
      <c r="AS789" t="s">
        <v>74</v>
      </c>
      <c r="AT789" t="s">
        <v>335</v>
      </c>
      <c r="AU789">
        <v>2005</v>
      </c>
      <c r="AV789">
        <v>4</v>
      </c>
      <c r="AW789">
        <v>6</v>
      </c>
      <c r="AX789" t="s">
        <v>74</v>
      </c>
      <c r="AY789" t="s">
        <v>74</v>
      </c>
      <c r="AZ789" t="s">
        <v>74</v>
      </c>
      <c r="BA789" t="s">
        <v>74</v>
      </c>
      <c r="BB789">
        <v>1033</v>
      </c>
      <c r="BC789">
        <v>1043</v>
      </c>
      <c r="BD789" t="s">
        <v>74</v>
      </c>
      <c r="BE789" t="s">
        <v>5804</v>
      </c>
      <c r="BF789" t="str">
        <f>HYPERLINK("http://dx.doi.org/10.1016/j.hal.2005.03.001","http://dx.doi.org/10.1016/j.hal.2005.03.001")</f>
        <v>http://dx.doi.org/10.1016/j.hal.2005.03.001</v>
      </c>
      <c r="BG789" t="s">
        <v>74</v>
      </c>
      <c r="BH789" t="s">
        <v>74</v>
      </c>
      <c r="BI789" t="s">
        <v>74</v>
      </c>
      <c r="BJ789" t="s">
        <v>74</v>
      </c>
      <c r="BK789" t="s">
        <v>74</v>
      </c>
      <c r="BL789" t="s">
        <v>74</v>
      </c>
      <c r="BM789" t="s">
        <v>74</v>
      </c>
      <c r="BN789" t="s">
        <v>74</v>
      </c>
      <c r="BO789" t="s">
        <v>74</v>
      </c>
      <c r="BP789" t="s">
        <v>74</v>
      </c>
      <c r="BQ789" t="s">
        <v>74</v>
      </c>
      <c r="BR789" t="s">
        <v>74</v>
      </c>
      <c r="BS789" t="s">
        <v>5805</v>
      </c>
      <c r="BT789" t="str">
        <f>HYPERLINK("https%3A%2F%2Fwww.webofscience.com%2Fwos%2Fwoscc%2Ffull-record%2FWOS:000233325900007","View Full Record in Web of Science")</f>
        <v>View Full Record in Web of Science</v>
      </c>
    </row>
    <row r="790" spans="1:72" x14ac:dyDescent="0.2">
      <c r="A790" t="s">
        <v>72</v>
      </c>
      <c r="B790" t="s">
        <v>5806</v>
      </c>
      <c r="C790" t="s">
        <v>74</v>
      </c>
      <c r="D790" t="s">
        <v>74</v>
      </c>
      <c r="E790" t="s">
        <v>74</v>
      </c>
      <c r="F790" t="s">
        <v>5806</v>
      </c>
      <c r="G790" t="s">
        <v>74</v>
      </c>
      <c r="H790" t="s">
        <v>74</v>
      </c>
      <c r="I790" t="s">
        <v>5807</v>
      </c>
      <c r="J790" t="s">
        <v>5808</v>
      </c>
      <c r="K790" t="s">
        <v>74</v>
      </c>
      <c r="L790" t="s">
        <v>74</v>
      </c>
      <c r="M790" t="s">
        <v>74</v>
      </c>
      <c r="N790" t="s">
        <v>74</v>
      </c>
      <c r="O790" t="s">
        <v>74</v>
      </c>
      <c r="P790" t="s">
        <v>74</v>
      </c>
      <c r="Q790" t="s">
        <v>74</v>
      </c>
      <c r="R790" t="s">
        <v>74</v>
      </c>
      <c r="S790" t="s">
        <v>74</v>
      </c>
      <c r="T790" t="s">
        <v>74</v>
      </c>
      <c r="U790" t="s">
        <v>74</v>
      </c>
      <c r="V790" t="s">
        <v>74</v>
      </c>
      <c r="W790" t="s">
        <v>74</v>
      </c>
      <c r="X790" t="s">
        <v>74</v>
      </c>
      <c r="Y790" t="s">
        <v>74</v>
      </c>
      <c r="Z790" t="s">
        <v>74</v>
      </c>
      <c r="AA790" t="s">
        <v>7169</v>
      </c>
      <c r="AB790" t="s">
        <v>5809</v>
      </c>
      <c r="AC790" t="s">
        <v>74</v>
      </c>
      <c r="AD790" t="s">
        <v>74</v>
      </c>
      <c r="AE790" t="s">
        <v>74</v>
      </c>
      <c r="AF790" t="s">
        <v>74</v>
      </c>
      <c r="AG790" t="s">
        <v>74</v>
      </c>
      <c r="AH790" t="s">
        <v>74</v>
      </c>
      <c r="AI790" t="s">
        <v>74</v>
      </c>
      <c r="AJ790" t="s">
        <v>74</v>
      </c>
      <c r="AK790" t="s">
        <v>74</v>
      </c>
      <c r="AL790" t="s">
        <v>74</v>
      </c>
      <c r="AM790" t="s">
        <v>74</v>
      </c>
      <c r="AN790" t="s">
        <v>74</v>
      </c>
      <c r="AO790" t="s">
        <v>5810</v>
      </c>
      <c r="AP790" t="s">
        <v>5811</v>
      </c>
      <c r="AQ790" t="s">
        <v>74</v>
      </c>
      <c r="AR790" t="s">
        <v>74</v>
      </c>
      <c r="AS790" t="s">
        <v>74</v>
      </c>
      <c r="AT790" t="s">
        <v>406</v>
      </c>
      <c r="AU790">
        <v>2005</v>
      </c>
      <c r="AV790">
        <v>154</v>
      </c>
      <c r="AW790">
        <v>2</v>
      </c>
      <c r="AX790" t="s">
        <v>74</v>
      </c>
      <c r="AY790" t="s">
        <v>74</v>
      </c>
      <c r="AZ790" t="s">
        <v>74</v>
      </c>
      <c r="BA790" t="s">
        <v>74</v>
      </c>
      <c r="BB790">
        <v>459</v>
      </c>
      <c r="BC790">
        <v>470</v>
      </c>
      <c r="BD790" t="s">
        <v>74</v>
      </c>
      <c r="BE790" t="s">
        <v>5812</v>
      </c>
      <c r="BF790" t="str">
        <f>HYPERLINK("http://dx.doi.org/10.1674/0003-0031(2005)154[0459:TAPAOS]2.0.CO;2","http://dx.doi.org/10.1674/0003-0031(2005)154[0459:TAPAOS]2.0.CO;2")</f>
        <v>http://dx.doi.org/10.1674/0003-0031(2005)154[0459:TAPAOS]2.0.CO;2</v>
      </c>
      <c r="BG790" t="s">
        <v>74</v>
      </c>
      <c r="BH790" t="s">
        <v>74</v>
      </c>
      <c r="BI790" t="s">
        <v>74</v>
      </c>
      <c r="BJ790" t="s">
        <v>74</v>
      </c>
      <c r="BK790" t="s">
        <v>74</v>
      </c>
      <c r="BL790" t="s">
        <v>74</v>
      </c>
      <c r="BM790" t="s">
        <v>74</v>
      </c>
      <c r="BN790" t="s">
        <v>74</v>
      </c>
      <c r="BO790" t="s">
        <v>74</v>
      </c>
      <c r="BP790" t="s">
        <v>74</v>
      </c>
      <c r="BQ790" t="s">
        <v>74</v>
      </c>
      <c r="BR790" t="s">
        <v>74</v>
      </c>
      <c r="BS790" t="s">
        <v>5813</v>
      </c>
      <c r="BT790" t="str">
        <f>HYPERLINK("https%3A%2F%2Fwww.webofscience.com%2Fwos%2Fwoscc%2Ffull-record%2FWOS:000232670900017","View Full Record in Web of Science")</f>
        <v>View Full Record in Web of Science</v>
      </c>
    </row>
    <row r="791" spans="1:72" x14ac:dyDescent="0.2">
      <c r="A791" t="s">
        <v>72</v>
      </c>
      <c r="B791" t="s">
        <v>5814</v>
      </c>
      <c r="C791" t="s">
        <v>74</v>
      </c>
      <c r="D791" t="s">
        <v>74</v>
      </c>
      <c r="E791" t="s">
        <v>74</v>
      </c>
      <c r="F791" t="s">
        <v>5814</v>
      </c>
      <c r="G791" t="s">
        <v>74</v>
      </c>
      <c r="H791" t="s">
        <v>74</v>
      </c>
      <c r="I791" t="s">
        <v>5815</v>
      </c>
      <c r="J791" t="s">
        <v>3919</v>
      </c>
      <c r="K791" t="s">
        <v>74</v>
      </c>
      <c r="L791" t="s">
        <v>74</v>
      </c>
      <c r="M791" t="s">
        <v>74</v>
      </c>
      <c r="N791" t="s">
        <v>74</v>
      </c>
      <c r="O791" t="s">
        <v>74</v>
      </c>
      <c r="P791" t="s">
        <v>74</v>
      </c>
      <c r="Q791" t="s">
        <v>74</v>
      </c>
      <c r="R791" t="s">
        <v>74</v>
      </c>
      <c r="S791" t="s">
        <v>74</v>
      </c>
      <c r="T791" t="s">
        <v>74</v>
      </c>
      <c r="U791" t="s">
        <v>74</v>
      </c>
      <c r="V791" t="s">
        <v>74</v>
      </c>
      <c r="W791" t="s">
        <v>74</v>
      </c>
      <c r="X791" t="s">
        <v>74</v>
      </c>
      <c r="Y791" t="s">
        <v>74</v>
      </c>
      <c r="Z791" t="s">
        <v>74</v>
      </c>
      <c r="AA791" t="s">
        <v>74</v>
      </c>
      <c r="AB791" t="s">
        <v>74</v>
      </c>
      <c r="AC791" t="s">
        <v>74</v>
      </c>
      <c r="AD791" t="s">
        <v>74</v>
      </c>
      <c r="AE791" t="s">
        <v>74</v>
      </c>
      <c r="AF791" t="s">
        <v>74</v>
      </c>
      <c r="AG791" t="s">
        <v>74</v>
      </c>
      <c r="AH791" t="s">
        <v>74</v>
      </c>
      <c r="AI791" t="s">
        <v>74</v>
      </c>
      <c r="AJ791" t="s">
        <v>74</v>
      </c>
      <c r="AK791" t="s">
        <v>74</v>
      </c>
      <c r="AL791" t="s">
        <v>74</v>
      </c>
      <c r="AM791" t="s">
        <v>74</v>
      </c>
      <c r="AN791" t="s">
        <v>74</v>
      </c>
      <c r="AO791" t="s">
        <v>3920</v>
      </c>
      <c r="AP791" t="s">
        <v>3921</v>
      </c>
      <c r="AQ791" t="s">
        <v>74</v>
      </c>
      <c r="AR791" t="s">
        <v>74</v>
      </c>
      <c r="AS791" t="s">
        <v>74</v>
      </c>
      <c r="AT791" t="s">
        <v>406</v>
      </c>
      <c r="AU791">
        <v>2005</v>
      </c>
      <c r="AV791">
        <v>71</v>
      </c>
      <c r="AW791">
        <v>10</v>
      </c>
      <c r="AX791" t="s">
        <v>74</v>
      </c>
      <c r="AY791" t="s">
        <v>74</v>
      </c>
      <c r="AZ791" t="s">
        <v>74</v>
      </c>
      <c r="BA791" t="s">
        <v>74</v>
      </c>
      <c r="BB791">
        <v>5828</v>
      </c>
      <c r="BC791">
        <v>5836</v>
      </c>
      <c r="BD791" t="s">
        <v>74</v>
      </c>
      <c r="BE791" t="s">
        <v>5816</v>
      </c>
      <c r="BF791" t="str">
        <f>HYPERLINK("http://dx.doi.org/10.1128/AEM.71.10.5828-5836.2005","http://dx.doi.org/10.1128/AEM.71.10.5828-5836.2005")</f>
        <v>http://dx.doi.org/10.1128/AEM.71.10.5828-5836.2005</v>
      </c>
      <c r="BG791" t="s">
        <v>74</v>
      </c>
      <c r="BH791" t="s">
        <v>74</v>
      </c>
      <c r="BI791" t="s">
        <v>74</v>
      </c>
      <c r="BJ791" t="s">
        <v>74</v>
      </c>
      <c r="BK791" t="s">
        <v>74</v>
      </c>
      <c r="BL791" t="s">
        <v>74</v>
      </c>
      <c r="BM791" t="s">
        <v>74</v>
      </c>
      <c r="BN791">
        <v>16204494</v>
      </c>
      <c r="BO791" t="s">
        <v>74</v>
      </c>
      <c r="BP791" t="s">
        <v>74</v>
      </c>
      <c r="BQ791" t="s">
        <v>74</v>
      </c>
      <c r="BR791" t="s">
        <v>74</v>
      </c>
      <c r="BS791" t="s">
        <v>5817</v>
      </c>
      <c r="BT791" t="str">
        <f>HYPERLINK("https%3A%2F%2Fwww.webofscience.com%2Fwos%2Fwoscc%2Ffull-record%2FWOS:000232504000021","View Full Record in Web of Science")</f>
        <v>View Full Record in Web of Science</v>
      </c>
    </row>
    <row r="792" spans="1:72" x14ac:dyDescent="0.2">
      <c r="A792" t="s">
        <v>72</v>
      </c>
      <c r="B792" t="s">
        <v>5818</v>
      </c>
      <c r="C792" t="s">
        <v>74</v>
      </c>
      <c r="D792" t="s">
        <v>74</v>
      </c>
      <c r="E792" t="s">
        <v>74</v>
      </c>
      <c r="F792" t="s">
        <v>5818</v>
      </c>
      <c r="G792" t="s">
        <v>74</v>
      </c>
      <c r="H792" t="s">
        <v>74</v>
      </c>
      <c r="I792" t="s">
        <v>5819</v>
      </c>
      <c r="J792" t="s">
        <v>973</v>
      </c>
      <c r="K792" t="s">
        <v>74</v>
      </c>
      <c r="L792" t="s">
        <v>74</v>
      </c>
      <c r="M792" t="s">
        <v>74</v>
      </c>
      <c r="N792" t="s">
        <v>74</v>
      </c>
      <c r="O792" t="s">
        <v>74</v>
      </c>
      <c r="P792" t="s">
        <v>74</v>
      </c>
      <c r="Q792" t="s">
        <v>74</v>
      </c>
      <c r="R792" t="s">
        <v>74</v>
      </c>
      <c r="S792" t="s">
        <v>74</v>
      </c>
      <c r="T792" t="s">
        <v>74</v>
      </c>
      <c r="U792" t="s">
        <v>74</v>
      </c>
      <c r="V792" t="s">
        <v>74</v>
      </c>
      <c r="W792" t="s">
        <v>74</v>
      </c>
      <c r="X792" t="s">
        <v>74</v>
      </c>
      <c r="Y792" t="s">
        <v>74</v>
      </c>
      <c r="Z792" t="s">
        <v>74</v>
      </c>
      <c r="AA792" t="s">
        <v>7170</v>
      </c>
      <c r="AB792" t="s">
        <v>4705</v>
      </c>
      <c r="AC792" t="s">
        <v>74</v>
      </c>
      <c r="AD792" t="s">
        <v>74</v>
      </c>
      <c r="AE792" t="s">
        <v>74</v>
      </c>
      <c r="AF792" t="s">
        <v>74</v>
      </c>
      <c r="AG792" t="s">
        <v>74</v>
      </c>
      <c r="AH792" t="s">
        <v>74</v>
      </c>
      <c r="AI792" t="s">
        <v>74</v>
      </c>
      <c r="AJ792" t="s">
        <v>74</v>
      </c>
      <c r="AK792" t="s">
        <v>74</v>
      </c>
      <c r="AL792" t="s">
        <v>74</v>
      </c>
      <c r="AM792" t="s">
        <v>74</v>
      </c>
      <c r="AN792" t="s">
        <v>74</v>
      </c>
      <c r="AO792" t="s">
        <v>974</v>
      </c>
      <c r="AP792" t="s">
        <v>74</v>
      </c>
      <c r="AQ792" t="s">
        <v>74</v>
      </c>
      <c r="AR792" t="s">
        <v>74</v>
      </c>
      <c r="AS792" t="s">
        <v>74</v>
      </c>
      <c r="AT792" t="s">
        <v>520</v>
      </c>
      <c r="AU792">
        <v>2005</v>
      </c>
      <c r="AV792">
        <v>64</v>
      </c>
      <c r="AW792" t="s">
        <v>5820</v>
      </c>
      <c r="AX792" t="s">
        <v>74</v>
      </c>
      <c r="AY792" t="s">
        <v>74</v>
      </c>
      <c r="AZ792" t="s">
        <v>74</v>
      </c>
      <c r="BA792" t="s">
        <v>74</v>
      </c>
      <c r="BB792">
        <v>249</v>
      </c>
      <c r="BC792">
        <v>260</v>
      </c>
      <c r="BD792" t="s">
        <v>74</v>
      </c>
      <c r="BE792" t="s">
        <v>5821</v>
      </c>
      <c r="BF792" t="str">
        <f>HYPERLINK("http://dx.doi.org/10.1016/j.ecss.2005.02.017","http://dx.doi.org/10.1016/j.ecss.2005.02.017")</f>
        <v>http://dx.doi.org/10.1016/j.ecss.2005.02.017</v>
      </c>
      <c r="BG792" t="s">
        <v>74</v>
      </c>
      <c r="BH792" t="s">
        <v>74</v>
      </c>
      <c r="BI792" t="s">
        <v>74</v>
      </c>
      <c r="BJ792" t="s">
        <v>74</v>
      </c>
      <c r="BK792" t="s">
        <v>74</v>
      </c>
      <c r="BL792" t="s">
        <v>74</v>
      </c>
      <c r="BM792" t="s">
        <v>74</v>
      </c>
      <c r="BN792" t="s">
        <v>74</v>
      </c>
      <c r="BO792" t="s">
        <v>74</v>
      </c>
      <c r="BP792" t="s">
        <v>74</v>
      </c>
      <c r="BQ792" t="s">
        <v>74</v>
      </c>
      <c r="BR792" t="s">
        <v>74</v>
      </c>
      <c r="BS792" t="s">
        <v>5822</v>
      </c>
      <c r="BT792" t="str">
        <f>HYPERLINK("https%3A%2F%2Fwww.webofscience.com%2Fwos%2Fwoscc%2Ffull-record%2FWOS:000230873200011","View Full Record in Web of Science")</f>
        <v>View Full Record in Web of Science</v>
      </c>
    </row>
    <row r="793" spans="1:72" x14ac:dyDescent="0.2">
      <c r="A793" t="s">
        <v>72</v>
      </c>
      <c r="B793" t="s">
        <v>5823</v>
      </c>
      <c r="C793" t="s">
        <v>74</v>
      </c>
      <c r="D793" t="s">
        <v>74</v>
      </c>
      <c r="E793" t="s">
        <v>74</v>
      </c>
      <c r="F793" t="s">
        <v>5823</v>
      </c>
      <c r="G793" t="s">
        <v>74</v>
      </c>
      <c r="H793" t="s">
        <v>74</v>
      </c>
      <c r="I793" t="s">
        <v>5824</v>
      </c>
      <c r="J793" t="s">
        <v>106</v>
      </c>
      <c r="K793" t="s">
        <v>74</v>
      </c>
      <c r="L793" t="s">
        <v>74</v>
      </c>
      <c r="M793" t="s">
        <v>74</v>
      </c>
      <c r="N793" t="s">
        <v>74</v>
      </c>
      <c r="O793" t="s">
        <v>74</v>
      </c>
      <c r="P793" t="s">
        <v>74</v>
      </c>
      <c r="Q793" t="s">
        <v>74</v>
      </c>
      <c r="R793" t="s">
        <v>74</v>
      </c>
      <c r="S793" t="s">
        <v>74</v>
      </c>
      <c r="T793" t="s">
        <v>74</v>
      </c>
      <c r="U793" t="s">
        <v>74</v>
      </c>
      <c r="V793" t="s">
        <v>74</v>
      </c>
      <c r="W793" t="s">
        <v>74</v>
      </c>
      <c r="X793" t="s">
        <v>74</v>
      </c>
      <c r="Y793" t="s">
        <v>74</v>
      </c>
      <c r="Z793" t="s">
        <v>74</v>
      </c>
      <c r="AA793" t="s">
        <v>74</v>
      </c>
      <c r="AB793" t="s">
        <v>5825</v>
      </c>
      <c r="AC793" t="s">
        <v>74</v>
      </c>
      <c r="AD793" t="s">
        <v>74</v>
      </c>
      <c r="AE793" t="s">
        <v>74</v>
      </c>
      <c r="AF793" t="s">
        <v>74</v>
      </c>
      <c r="AG793" t="s">
        <v>74</v>
      </c>
      <c r="AH793" t="s">
        <v>74</v>
      </c>
      <c r="AI793" t="s">
        <v>74</v>
      </c>
      <c r="AJ793" t="s">
        <v>74</v>
      </c>
      <c r="AK793" t="s">
        <v>74</v>
      </c>
      <c r="AL793" t="s">
        <v>74</v>
      </c>
      <c r="AM793" t="s">
        <v>74</v>
      </c>
      <c r="AN793" t="s">
        <v>74</v>
      </c>
      <c r="AO793" t="s">
        <v>107</v>
      </c>
      <c r="AP793" t="s">
        <v>74</v>
      </c>
      <c r="AQ793" t="s">
        <v>74</v>
      </c>
      <c r="AR793" t="s">
        <v>74</v>
      </c>
      <c r="AS793" t="s">
        <v>74</v>
      </c>
      <c r="AT793" t="s">
        <v>520</v>
      </c>
      <c r="AU793">
        <v>2005</v>
      </c>
      <c r="AV793">
        <v>27</v>
      </c>
      <c r="AW793">
        <v>8</v>
      </c>
      <c r="AX793" t="s">
        <v>74</v>
      </c>
      <c r="AY793" t="s">
        <v>74</v>
      </c>
      <c r="AZ793" t="s">
        <v>74</v>
      </c>
      <c r="BA793" t="s">
        <v>74</v>
      </c>
      <c r="BB793">
        <v>811</v>
      </c>
      <c r="BC793">
        <v>823</v>
      </c>
      <c r="BD793" t="s">
        <v>74</v>
      </c>
      <c r="BE793" t="s">
        <v>5826</v>
      </c>
      <c r="BF793" t="str">
        <f>HYPERLINK("http://dx.doi.org/10.1093/plankt/fbi055","http://dx.doi.org/10.1093/plankt/fbi055")</f>
        <v>http://dx.doi.org/10.1093/plankt/fbi055</v>
      </c>
      <c r="BG793" t="s">
        <v>74</v>
      </c>
      <c r="BH793" t="s">
        <v>74</v>
      </c>
      <c r="BI793" t="s">
        <v>74</v>
      </c>
      <c r="BJ793" t="s">
        <v>74</v>
      </c>
      <c r="BK793" t="s">
        <v>74</v>
      </c>
      <c r="BL793" t="s">
        <v>74</v>
      </c>
      <c r="BM793" t="s">
        <v>74</v>
      </c>
      <c r="BN793" t="s">
        <v>74</v>
      </c>
      <c r="BO793" t="s">
        <v>74</v>
      </c>
      <c r="BP793" t="s">
        <v>74</v>
      </c>
      <c r="BQ793" t="s">
        <v>74</v>
      </c>
      <c r="BR793" t="s">
        <v>74</v>
      </c>
      <c r="BS793" t="s">
        <v>5827</v>
      </c>
      <c r="BT793" t="str">
        <f>HYPERLINK("https%3A%2F%2Fwww.webofscience.com%2Fwos%2Fwoscc%2Ffull-record%2FWOS:000232593000009","View Full Record in Web of Science")</f>
        <v>View Full Record in Web of Science</v>
      </c>
    </row>
    <row r="794" spans="1:72" x14ac:dyDescent="0.2">
      <c r="A794" t="s">
        <v>72</v>
      </c>
      <c r="B794" t="s">
        <v>5828</v>
      </c>
      <c r="C794" t="s">
        <v>74</v>
      </c>
      <c r="D794" t="s">
        <v>74</v>
      </c>
      <c r="E794" t="s">
        <v>74</v>
      </c>
      <c r="F794" t="s">
        <v>5828</v>
      </c>
      <c r="G794" t="s">
        <v>74</v>
      </c>
      <c r="H794" t="s">
        <v>74</v>
      </c>
      <c r="I794" t="s">
        <v>5829</v>
      </c>
      <c r="J794" t="s">
        <v>180</v>
      </c>
      <c r="K794" t="s">
        <v>74</v>
      </c>
      <c r="L794" t="s">
        <v>74</v>
      </c>
      <c r="M794" t="s">
        <v>74</v>
      </c>
      <c r="N794" t="s">
        <v>74</v>
      </c>
      <c r="O794" t="s">
        <v>74</v>
      </c>
      <c r="P794" t="s">
        <v>74</v>
      </c>
      <c r="Q794" t="s">
        <v>74</v>
      </c>
      <c r="R794" t="s">
        <v>74</v>
      </c>
      <c r="S794" t="s">
        <v>74</v>
      </c>
      <c r="T794" t="s">
        <v>74</v>
      </c>
      <c r="U794" t="s">
        <v>74</v>
      </c>
      <c r="V794" t="s">
        <v>74</v>
      </c>
      <c r="W794" t="s">
        <v>74</v>
      </c>
      <c r="X794" t="s">
        <v>74</v>
      </c>
      <c r="Y794" t="s">
        <v>74</v>
      </c>
      <c r="Z794" t="s">
        <v>74</v>
      </c>
      <c r="AA794" t="s">
        <v>5830</v>
      </c>
      <c r="AB794" t="s">
        <v>5831</v>
      </c>
      <c r="AC794" t="s">
        <v>74</v>
      </c>
      <c r="AD794" t="s">
        <v>74</v>
      </c>
      <c r="AE794" t="s">
        <v>74</v>
      </c>
      <c r="AF794" t="s">
        <v>74</v>
      </c>
      <c r="AG794" t="s">
        <v>74</v>
      </c>
      <c r="AH794" t="s">
        <v>74</v>
      </c>
      <c r="AI794" t="s">
        <v>74</v>
      </c>
      <c r="AJ794" t="s">
        <v>74</v>
      </c>
      <c r="AK794" t="s">
        <v>74</v>
      </c>
      <c r="AL794" t="s">
        <v>74</v>
      </c>
      <c r="AM794" t="s">
        <v>74</v>
      </c>
      <c r="AN794" t="s">
        <v>74</v>
      </c>
      <c r="AO794" t="s">
        <v>182</v>
      </c>
      <c r="AP794" t="s">
        <v>183</v>
      </c>
      <c r="AQ794" t="s">
        <v>74</v>
      </c>
      <c r="AR794" t="s">
        <v>74</v>
      </c>
      <c r="AS794" t="s">
        <v>74</v>
      </c>
      <c r="AT794" t="s">
        <v>624</v>
      </c>
      <c r="AU794">
        <v>2005</v>
      </c>
      <c r="AV794">
        <v>110</v>
      </c>
      <c r="AW794">
        <v>1</v>
      </c>
      <c r="AX794" t="s">
        <v>74</v>
      </c>
      <c r="AY794" t="s">
        <v>74</v>
      </c>
      <c r="AZ794" t="s">
        <v>74</v>
      </c>
      <c r="BA794" t="s">
        <v>74</v>
      </c>
      <c r="BB794">
        <v>43</v>
      </c>
      <c r="BC794">
        <v>54</v>
      </c>
      <c r="BD794" t="s">
        <v>74</v>
      </c>
      <c r="BE794" t="s">
        <v>5832</v>
      </c>
      <c r="BF794" t="str">
        <f>HYPERLINK("http://dx.doi.org/10.1111/j.0030-1299.2005.13341.x","http://dx.doi.org/10.1111/j.0030-1299.2005.13341.x")</f>
        <v>http://dx.doi.org/10.1111/j.0030-1299.2005.13341.x</v>
      </c>
      <c r="BG794" t="s">
        <v>74</v>
      </c>
      <c r="BH794" t="s">
        <v>74</v>
      </c>
      <c r="BI794" t="s">
        <v>74</v>
      </c>
      <c r="BJ794" t="s">
        <v>74</v>
      </c>
      <c r="BK794" t="s">
        <v>74</v>
      </c>
      <c r="BL794" t="s">
        <v>74</v>
      </c>
      <c r="BM794" t="s">
        <v>74</v>
      </c>
      <c r="BN794" t="s">
        <v>74</v>
      </c>
      <c r="BO794" t="s">
        <v>74</v>
      </c>
      <c r="BP794" t="s">
        <v>74</v>
      </c>
      <c r="BQ794" t="s">
        <v>74</v>
      </c>
      <c r="BR794" t="s">
        <v>74</v>
      </c>
      <c r="BS794" t="s">
        <v>5833</v>
      </c>
      <c r="BT794" t="str">
        <f>HYPERLINK("https%3A%2F%2Fwww.webofscience.com%2Fwos%2Fwoscc%2Ffull-record%2FWOS:000229069700004","View Full Record in Web of Science")</f>
        <v>View Full Record in Web of Science</v>
      </c>
    </row>
    <row r="795" spans="1:72" x14ac:dyDescent="0.2">
      <c r="A795" t="s">
        <v>72</v>
      </c>
      <c r="B795" t="s">
        <v>5834</v>
      </c>
      <c r="C795" t="s">
        <v>74</v>
      </c>
      <c r="D795" t="s">
        <v>74</v>
      </c>
      <c r="E795" t="s">
        <v>74</v>
      </c>
      <c r="F795" t="s">
        <v>5834</v>
      </c>
      <c r="G795" t="s">
        <v>74</v>
      </c>
      <c r="H795" t="s">
        <v>74</v>
      </c>
      <c r="I795" t="s">
        <v>5835</v>
      </c>
      <c r="J795" t="s">
        <v>124</v>
      </c>
      <c r="K795" t="s">
        <v>74</v>
      </c>
      <c r="L795" t="s">
        <v>74</v>
      </c>
      <c r="M795" t="s">
        <v>74</v>
      </c>
      <c r="N795" t="s">
        <v>74</v>
      </c>
      <c r="O795" t="s">
        <v>74</v>
      </c>
      <c r="P795" t="s">
        <v>74</v>
      </c>
      <c r="Q795" t="s">
        <v>74</v>
      </c>
      <c r="R795" t="s">
        <v>74</v>
      </c>
      <c r="S795" t="s">
        <v>74</v>
      </c>
      <c r="T795" t="s">
        <v>74</v>
      </c>
      <c r="U795" t="s">
        <v>74</v>
      </c>
      <c r="V795" t="s">
        <v>74</v>
      </c>
      <c r="W795" t="s">
        <v>74</v>
      </c>
      <c r="X795" t="s">
        <v>74</v>
      </c>
      <c r="Y795" t="s">
        <v>74</v>
      </c>
      <c r="Z795" t="s">
        <v>74</v>
      </c>
      <c r="AA795" t="s">
        <v>7171</v>
      </c>
      <c r="AB795" t="s">
        <v>5836</v>
      </c>
      <c r="AC795" t="s">
        <v>74</v>
      </c>
      <c r="AD795" t="s">
        <v>74</v>
      </c>
      <c r="AE795" t="s">
        <v>74</v>
      </c>
      <c r="AF795" t="s">
        <v>74</v>
      </c>
      <c r="AG795" t="s">
        <v>74</v>
      </c>
      <c r="AH795" t="s">
        <v>74</v>
      </c>
      <c r="AI795" t="s">
        <v>74</v>
      </c>
      <c r="AJ795" t="s">
        <v>74</v>
      </c>
      <c r="AK795" t="s">
        <v>74</v>
      </c>
      <c r="AL795" t="s">
        <v>74</v>
      </c>
      <c r="AM795" t="s">
        <v>74</v>
      </c>
      <c r="AN795" t="s">
        <v>74</v>
      </c>
      <c r="AO795" t="s">
        <v>127</v>
      </c>
      <c r="AP795" t="s">
        <v>128</v>
      </c>
      <c r="AQ795" t="s">
        <v>74</v>
      </c>
      <c r="AR795" t="s">
        <v>74</v>
      </c>
      <c r="AS795" t="s">
        <v>74</v>
      </c>
      <c r="AT795" t="s">
        <v>5837</v>
      </c>
      <c r="AU795">
        <v>2005</v>
      </c>
      <c r="AV795">
        <v>542</v>
      </c>
      <c r="AW795" t="s">
        <v>74</v>
      </c>
      <c r="AX795" t="s">
        <v>74</v>
      </c>
      <c r="AY795" t="s">
        <v>74</v>
      </c>
      <c r="AZ795" t="s">
        <v>74</v>
      </c>
      <c r="BA795" t="s">
        <v>74</v>
      </c>
      <c r="BB795">
        <v>315</v>
      </c>
      <c r="BC795">
        <v>333</v>
      </c>
      <c r="BD795" t="s">
        <v>74</v>
      </c>
      <c r="BE795" t="s">
        <v>5838</v>
      </c>
      <c r="BF795" t="str">
        <f>HYPERLINK("http://dx.doi.org/10.1007/s10750-004-3247-2","http://dx.doi.org/10.1007/s10750-004-3247-2")</f>
        <v>http://dx.doi.org/10.1007/s10750-004-3247-2</v>
      </c>
      <c r="BG795" t="s">
        <v>74</v>
      </c>
      <c r="BH795" t="s">
        <v>74</v>
      </c>
      <c r="BI795" t="s">
        <v>74</v>
      </c>
      <c r="BJ795" t="s">
        <v>74</v>
      </c>
      <c r="BK795" t="s">
        <v>74</v>
      </c>
      <c r="BL795" t="s">
        <v>74</v>
      </c>
      <c r="BM795" t="s">
        <v>74</v>
      </c>
      <c r="BN795" t="s">
        <v>74</v>
      </c>
      <c r="BO795" t="s">
        <v>74</v>
      </c>
      <c r="BP795" t="s">
        <v>74</v>
      </c>
      <c r="BQ795" t="s">
        <v>74</v>
      </c>
      <c r="BR795" t="s">
        <v>74</v>
      </c>
      <c r="BS795" t="s">
        <v>5839</v>
      </c>
      <c r="BT795" t="str">
        <f>HYPERLINK("https%3A%2F%2Fwww.webofscience.com%2Fwos%2Fwoscc%2Ffull-record%2FWOS:000231879200030","View Full Record in Web of Science")</f>
        <v>View Full Record in Web of Science</v>
      </c>
    </row>
    <row r="796" spans="1:72" x14ac:dyDescent="0.2">
      <c r="A796" t="s">
        <v>72</v>
      </c>
      <c r="B796" t="s">
        <v>5840</v>
      </c>
      <c r="C796" t="s">
        <v>74</v>
      </c>
      <c r="D796" t="s">
        <v>74</v>
      </c>
      <c r="E796" t="s">
        <v>74</v>
      </c>
      <c r="F796" t="s">
        <v>5840</v>
      </c>
      <c r="G796" t="s">
        <v>74</v>
      </c>
      <c r="H796" t="s">
        <v>74</v>
      </c>
      <c r="I796" t="s">
        <v>5841</v>
      </c>
      <c r="J796" t="s">
        <v>5142</v>
      </c>
      <c r="K796" t="s">
        <v>74</v>
      </c>
      <c r="L796" t="s">
        <v>74</v>
      </c>
      <c r="M796" t="s">
        <v>74</v>
      </c>
      <c r="N796" t="s">
        <v>74</v>
      </c>
      <c r="O796" t="s">
        <v>74</v>
      </c>
      <c r="P796" t="s">
        <v>74</v>
      </c>
      <c r="Q796" t="s">
        <v>74</v>
      </c>
      <c r="R796" t="s">
        <v>74</v>
      </c>
      <c r="S796" t="s">
        <v>74</v>
      </c>
      <c r="T796" t="s">
        <v>74</v>
      </c>
      <c r="U796" t="s">
        <v>74</v>
      </c>
      <c r="V796" t="s">
        <v>74</v>
      </c>
      <c r="W796" t="s">
        <v>74</v>
      </c>
      <c r="X796" t="s">
        <v>74</v>
      </c>
      <c r="Y796" t="s">
        <v>74</v>
      </c>
      <c r="Z796" t="s">
        <v>74</v>
      </c>
      <c r="AA796" t="s">
        <v>5842</v>
      </c>
      <c r="AB796" t="s">
        <v>5843</v>
      </c>
      <c r="AC796" t="s">
        <v>74</v>
      </c>
      <c r="AD796" t="s">
        <v>74</v>
      </c>
      <c r="AE796" t="s">
        <v>74</v>
      </c>
      <c r="AF796" t="s">
        <v>74</v>
      </c>
      <c r="AG796" t="s">
        <v>74</v>
      </c>
      <c r="AH796" t="s">
        <v>74</v>
      </c>
      <c r="AI796" t="s">
        <v>74</v>
      </c>
      <c r="AJ796" t="s">
        <v>74</v>
      </c>
      <c r="AK796" t="s">
        <v>74</v>
      </c>
      <c r="AL796" t="s">
        <v>74</v>
      </c>
      <c r="AM796" t="s">
        <v>74</v>
      </c>
      <c r="AN796" t="s">
        <v>74</v>
      </c>
      <c r="AO796" t="s">
        <v>5143</v>
      </c>
      <c r="AP796" t="s">
        <v>5144</v>
      </c>
      <c r="AQ796" t="s">
        <v>74</v>
      </c>
      <c r="AR796" t="s">
        <v>74</v>
      </c>
      <c r="AS796" t="s">
        <v>74</v>
      </c>
      <c r="AT796" t="s">
        <v>1208</v>
      </c>
      <c r="AU796">
        <v>2005</v>
      </c>
      <c r="AV796">
        <v>73</v>
      </c>
      <c r="AW796">
        <v>2</v>
      </c>
      <c r="AX796" t="s">
        <v>74</v>
      </c>
      <c r="AY796" t="s">
        <v>74</v>
      </c>
      <c r="AZ796" t="s">
        <v>74</v>
      </c>
      <c r="BA796" t="s">
        <v>74</v>
      </c>
      <c r="BB796">
        <v>210</v>
      </c>
      <c r="BC796">
        <v>220</v>
      </c>
      <c r="BD796" t="s">
        <v>74</v>
      </c>
      <c r="BE796" t="s">
        <v>5844</v>
      </c>
      <c r="BF796" t="str">
        <f>HYPERLINK("http://dx.doi.org/10.1016/j.aquatox.2005.03.011","http://dx.doi.org/10.1016/j.aquatox.2005.03.011")</f>
        <v>http://dx.doi.org/10.1016/j.aquatox.2005.03.011</v>
      </c>
      <c r="BG796" t="s">
        <v>74</v>
      </c>
      <c r="BH796" t="s">
        <v>74</v>
      </c>
      <c r="BI796" t="s">
        <v>74</v>
      </c>
      <c r="BJ796" t="s">
        <v>74</v>
      </c>
      <c r="BK796" t="s">
        <v>74</v>
      </c>
      <c r="BL796" t="s">
        <v>74</v>
      </c>
      <c r="BM796" t="s">
        <v>74</v>
      </c>
      <c r="BN796">
        <v>15917095</v>
      </c>
      <c r="BO796" t="s">
        <v>74</v>
      </c>
      <c r="BP796" t="s">
        <v>74</v>
      </c>
      <c r="BQ796" t="s">
        <v>74</v>
      </c>
      <c r="BR796" t="s">
        <v>74</v>
      </c>
      <c r="BS796" t="s">
        <v>5845</v>
      </c>
      <c r="BT796" t="str">
        <f>HYPERLINK("https%3A%2F%2Fwww.webofscience.com%2Fwos%2Fwoscc%2Ffull-record%2FWOS:000229719500008","View Full Record in Web of Science")</f>
        <v>View Full Record in Web of Science</v>
      </c>
    </row>
    <row r="797" spans="1:72" x14ac:dyDescent="0.2">
      <c r="A797" t="s">
        <v>72</v>
      </c>
      <c r="B797" t="s">
        <v>5846</v>
      </c>
      <c r="C797" t="s">
        <v>74</v>
      </c>
      <c r="D797" t="s">
        <v>74</v>
      </c>
      <c r="E797" t="s">
        <v>74</v>
      </c>
      <c r="F797" t="s">
        <v>5846</v>
      </c>
      <c r="G797" t="s">
        <v>74</v>
      </c>
      <c r="H797" t="s">
        <v>74</v>
      </c>
      <c r="I797" t="s">
        <v>5847</v>
      </c>
      <c r="J797" t="s">
        <v>844</v>
      </c>
      <c r="K797" t="s">
        <v>74</v>
      </c>
      <c r="L797" t="s">
        <v>74</v>
      </c>
      <c r="M797" t="s">
        <v>74</v>
      </c>
      <c r="N797" t="s">
        <v>74</v>
      </c>
      <c r="O797" t="s">
        <v>74</v>
      </c>
      <c r="P797" t="s">
        <v>74</v>
      </c>
      <c r="Q797" t="s">
        <v>74</v>
      </c>
      <c r="R797" t="s">
        <v>74</v>
      </c>
      <c r="S797" t="s">
        <v>74</v>
      </c>
      <c r="T797" t="s">
        <v>74</v>
      </c>
      <c r="U797" t="s">
        <v>74</v>
      </c>
      <c r="V797" t="s">
        <v>74</v>
      </c>
      <c r="W797" t="s">
        <v>74</v>
      </c>
      <c r="X797" t="s">
        <v>74</v>
      </c>
      <c r="Y797" t="s">
        <v>74</v>
      </c>
      <c r="Z797" t="s">
        <v>74</v>
      </c>
      <c r="AA797" t="s">
        <v>74</v>
      </c>
      <c r="AB797" t="s">
        <v>5848</v>
      </c>
      <c r="AC797" t="s">
        <v>74</v>
      </c>
      <c r="AD797" t="s">
        <v>74</v>
      </c>
      <c r="AE797" t="s">
        <v>74</v>
      </c>
      <c r="AF797" t="s">
        <v>74</v>
      </c>
      <c r="AG797" t="s">
        <v>74</v>
      </c>
      <c r="AH797" t="s">
        <v>74</v>
      </c>
      <c r="AI797" t="s">
        <v>74</v>
      </c>
      <c r="AJ797" t="s">
        <v>74</v>
      </c>
      <c r="AK797" t="s">
        <v>74</v>
      </c>
      <c r="AL797" t="s">
        <v>74</v>
      </c>
      <c r="AM797" t="s">
        <v>74</v>
      </c>
      <c r="AN797" t="s">
        <v>74</v>
      </c>
      <c r="AO797" t="s">
        <v>847</v>
      </c>
      <c r="AP797" t="s">
        <v>848</v>
      </c>
      <c r="AQ797" t="s">
        <v>74</v>
      </c>
      <c r="AR797" t="s">
        <v>74</v>
      </c>
      <c r="AS797" t="s">
        <v>74</v>
      </c>
      <c r="AT797" t="s">
        <v>575</v>
      </c>
      <c r="AU797">
        <v>2005</v>
      </c>
      <c r="AV797">
        <v>24</v>
      </c>
      <c r="AW797">
        <v>5</v>
      </c>
      <c r="AX797" t="s">
        <v>74</v>
      </c>
      <c r="AY797" t="s">
        <v>74</v>
      </c>
      <c r="AZ797" t="s">
        <v>74</v>
      </c>
      <c r="BA797" t="s">
        <v>74</v>
      </c>
      <c r="BB797">
        <v>1116</v>
      </c>
      <c r="BC797">
        <v>1124</v>
      </c>
      <c r="BD797" t="s">
        <v>74</v>
      </c>
      <c r="BE797" t="s">
        <v>5849</v>
      </c>
      <c r="BF797" t="str">
        <f>HYPERLINK("http://dx.doi.org/10.1897/04-228R.1","http://dx.doi.org/10.1897/04-228R.1")</f>
        <v>http://dx.doi.org/10.1897/04-228R.1</v>
      </c>
      <c r="BG797" t="s">
        <v>74</v>
      </c>
      <c r="BH797" t="s">
        <v>74</v>
      </c>
      <c r="BI797" t="s">
        <v>74</v>
      </c>
      <c r="BJ797" t="s">
        <v>74</v>
      </c>
      <c r="BK797" t="s">
        <v>74</v>
      </c>
      <c r="BL797" t="s">
        <v>74</v>
      </c>
      <c r="BM797" t="s">
        <v>74</v>
      </c>
      <c r="BN797">
        <v>16110989</v>
      </c>
      <c r="BO797" t="s">
        <v>74</v>
      </c>
      <c r="BP797" t="s">
        <v>74</v>
      </c>
      <c r="BQ797" t="s">
        <v>74</v>
      </c>
      <c r="BR797" t="s">
        <v>74</v>
      </c>
      <c r="BS797" t="s">
        <v>5850</v>
      </c>
      <c r="BT797" t="str">
        <f>HYPERLINK("https%3A%2F%2Fwww.webofscience.com%2Fwos%2Fwoscc%2Ffull-record%2FWOS:000228627100014","View Full Record in Web of Science")</f>
        <v>View Full Record in Web of Science</v>
      </c>
    </row>
    <row r="798" spans="1:72" x14ac:dyDescent="0.2">
      <c r="A798" t="s">
        <v>72</v>
      </c>
      <c r="B798" t="s">
        <v>5851</v>
      </c>
      <c r="C798" t="s">
        <v>74</v>
      </c>
      <c r="D798" t="s">
        <v>74</v>
      </c>
      <c r="E798" t="s">
        <v>74</v>
      </c>
      <c r="F798" t="s">
        <v>5851</v>
      </c>
      <c r="G798" t="s">
        <v>74</v>
      </c>
      <c r="H798" t="s">
        <v>74</v>
      </c>
      <c r="I798" t="s">
        <v>5852</v>
      </c>
      <c r="J798" t="s">
        <v>423</v>
      </c>
      <c r="K798" t="s">
        <v>74</v>
      </c>
      <c r="L798" t="s">
        <v>74</v>
      </c>
      <c r="M798" t="s">
        <v>74</v>
      </c>
      <c r="N798" t="s">
        <v>74</v>
      </c>
      <c r="O798" t="s">
        <v>74</v>
      </c>
      <c r="P798" t="s">
        <v>74</v>
      </c>
      <c r="Q798" t="s">
        <v>74</v>
      </c>
      <c r="R798" t="s">
        <v>74</v>
      </c>
      <c r="S798" t="s">
        <v>74</v>
      </c>
      <c r="T798" t="s">
        <v>74</v>
      </c>
      <c r="U798" t="s">
        <v>74</v>
      </c>
      <c r="V798" t="s">
        <v>74</v>
      </c>
      <c r="W798" t="s">
        <v>74</v>
      </c>
      <c r="X798" t="s">
        <v>74</v>
      </c>
      <c r="Y798" t="s">
        <v>74</v>
      </c>
      <c r="Z798" t="s">
        <v>74</v>
      </c>
      <c r="AA798" t="s">
        <v>74</v>
      </c>
      <c r="AB798" t="s">
        <v>74</v>
      </c>
      <c r="AC798" t="s">
        <v>74</v>
      </c>
      <c r="AD798" t="s">
        <v>74</v>
      </c>
      <c r="AE798" t="s">
        <v>74</v>
      </c>
      <c r="AF798" t="s">
        <v>74</v>
      </c>
      <c r="AG798" t="s">
        <v>74</v>
      </c>
      <c r="AH798" t="s">
        <v>74</v>
      </c>
      <c r="AI798" t="s">
        <v>74</v>
      </c>
      <c r="AJ798" t="s">
        <v>74</v>
      </c>
      <c r="AK798" t="s">
        <v>74</v>
      </c>
      <c r="AL798" t="s">
        <v>74</v>
      </c>
      <c r="AM798" t="s">
        <v>74</v>
      </c>
      <c r="AN798" t="s">
        <v>74</v>
      </c>
      <c r="AO798" t="s">
        <v>425</v>
      </c>
      <c r="AP798" t="s">
        <v>426</v>
      </c>
      <c r="AQ798" t="s">
        <v>74</v>
      </c>
      <c r="AR798" t="s">
        <v>74</v>
      </c>
      <c r="AS798" t="s">
        <v>74</v>
      </c>
      <c r="AT798" t="s">
        <v>575</v>
      </c>
      <c r="AU798">
        <v>2005</v>
      </c>
      <c r="AV798">
        <v>50</v>
      </c>
      <c r="AW798">
        <v>5</v>
      </c>
      <c r="AX798" t="s">
        <v>74</v>
      </c>
      <c r="AY798" t="s">
        <v>74</v>
      </c>
      <c r="AZ798" t="s">
        <v>74</v>
      </c>
      <c r="BA798" t="s">
        <v>74</v>
      </c>
      <c r="BB798">
        <v>742</v>
      </c>
      <c r="BC798">
        <v>747</v>
      </c>
      <c r="BD798" t="s">
        <v>74</v>
      </c>
      <c r="BE798" t="s">
        <v>5853</v>
      </c>
      <c r="BF798" t="str">
        <f>HYPERLINK("http://dx.doi.org/10.1111/j.1365-2427.2005.01362.x","http://dx.doi.org/10.1111/j.1365-2427.2005.01362.x")</f>
        <v>http://dx.doi.org/10.1111/j.1365-2427.2005.01362.x</v>
      </c>
      <c r="BG798" t="s">
        <v>74</v>
      </c>
      <c r="BH798" t="s">
        <v>74</v>
      </c>
      <c r="BI798" t="s">
        <v>74</v>
      </c>
      <c r="BJ798" t="s">
        <v>74</v>
      </c>
      <c r="BK798" t="s">
        <v>74</v>
      </c>
      <c r="BL798" t="s">
        <v>74</v>
      </c>
      <c r="BM798" t="s">
        <v>74</v>
      </c>
      <c r="BN798" t="s">
        <v>74</v>
      </c>
      <c r="BO798" t="s">
        <v>74</v>
      </c>
      <c r="BP798" t="s">
        <v>74</v>
      </c>
      <c r="BQ798" t="s">
        <v>74</v>
      </c>
      <c r="BR798" t="s">
        <v>74</v>
      </c>
      <c r="BS798" t="s">
        <v>5854</v>
      </c>
      <c r="BT798" t="str">
        <f>HYPERLINK("https%3A%2F%2Fwww.webofscience.com%2Fwos%2Fwoscc%2Ffull-record%2FWOS:000228690300002","View Full Record in Web of Science")</f>
        <v>View Full Record in Web of Science</v>
      </c>
    </row>
    <row r="799" spans="1:72" x14ac:dyDescent="0.2">
      <c r="A799" t="s">
        <v>72</v>
      </c>
      <c r="B799" t="s">
        <v>5855</v>
      </c>
      <c r="C799" t="s">
        <v>74</v>
      </c>
      <c r="D799" t="s">
        <v>74</v>
      </c>
      <c r="E799" t="s">
        <v>74</v>
      </c>
      <c r="F799" t="s">
        <v>5855</v>
      </c>
      <c r="G799" t="s">
        <v>74</v>
      </c>
      <c r="H799" t="s">
        <v>74</v>
      </c>
      <c r="I799" t="s">
        <v>5856</v>
      </c>
      <c r="J799" t="s">
        <v>1299</v>
      </c>
      <c r="K799" t="s">
        <v>74</v>
      </c>
      <c r="L799" t="s">
        <v>74</v>
      </c>
      <c r="M799" t="s">
        <v>74</v>
      </c>
      <c r="N799" t="s">
        <v>74</v>
      </c>
      <c r="O799" t="s">
        <v>74</v>
      </c>
      <c r="P799" t="s">
        <v>74</v>
      </c>
      <c r="Q799" t="s">
        <v>74</v>
      </c>
      <c r="R799" t="s">
        <v>74</v>
      </c>
      <c r="S799" t="s">
        <v>74</v>
      </c>
      <c r="T799" t="s">
        <v>74</v>
      </c>
      <c r="U799" t="s">
        <v>74</v>
      </c>
      <c r="V799" t="s">
        <v>74</v>
      </c>
      <c r="W799" t="s">
        <v>74</v>
      </c>
      <c r="X799" t="s">
        <v>74</v>
      </c>
      <c r="Y799" t="s">
        <v>74</v>
      </c>
      <c r="Z799" t="s">
        <v>74</v>
      </c>
      <c r="AA799" t="s">
        <v>7172</v>
      </c>
      <c r="AB799" t="s">
        <v>7173</v>
      </c>
      <c r="AC799" t="s">
        <v>74</v>
      </c>
      <c r="AD799" t="s">
        <v>74</v>
      </c>
      <c r="AE799" t="s">
        <v>74</v>
      </c>
      <c r="AF799" t="s">
        <v>74</v>
      </c>
      <c r="AG799" t="s">
        <v>74</v>
      </c>
      <c r="AH799" t="s">
        <v>74</v>
      </c>
      <c r="AI799" t="s">
        <v>74</v>
      </c>
      <c r="AJ799" t="s">
        <v>74</v>
      </c>
      <c r="AK799" t="s">
        <v>74</v>
      </c>
      <c r="AL799" t="s">
        <v>74</v>
      </c>
      <c r="AM799" t="s">
        <v>74</v>
      </c>
      <c r="AN799" t="s">
        <v>74</v>
      </c>
      <c r="AO799" t="s">
        <v>1302</v>
      </c>
      <c r="AP799" t="s">
        <v>1303</v>
      </c>
      <c r="AQ799" t="s">
        <v>74</v>
      </c>
      <c r="AR799" t="s">
        <v>74</v>
      </c>
      <c r="AS799" t="s">
        <v>74</v>
      </c>
      <c r="AT799" t="s">
        <v>575</v>
      </c>
      <c r="AU799">
        <v>2005</v>
      </c>
      <c r="AV799">
        <v>143</v>
      </c>
      <c r="AW799">
        <v>4</v>
      </c>
      <c r="AX799" t="s">
        <v>74</v>
      </c>
      <c r="AY799" t="s">
        <v>74</v>
      </c>
      <c r="AZ799" t="s">
        <v>74</v>
      </c>
      <c r="BA799" t="s">
        <v>74</v>
      </c>
      <c r="BB799">
        <v>537</v>
      </c>
      <c r="BC799">
        <v>547</v>
      </c>
      <c r="BD799" t="s">
        <v>74</v>
      </c>
      <c r="BE799" t="s">
        <v>5857</v>
      </c>
      <c r="BF799" t="str">
        <f>HYPERLINK("http://dx.doi.org/10.1007/s00442-005-0003-x","http://dx.doi.org/10.1007/s00442-005-0003-x")</f>
        <v>http://dx.doi.org/10.1007/s00442-005-0003-x</v>
      </c>
      <c r="BG799" t="s">
        <v>74</v>
      </c>
      <c r="BH799" t="s">
        <v>74</v>
      </c>
      <c r="BI799" t="s">
        <v>74</v>
      </c>
      <c r="BJ799" t="s">
        <v>74</v>
      </c>
      <c r="BK799" t="s">
        <v>74</v>
      </c>
      <c r="BL799" t="s">
        <v>74</v>
      </c>
      <c r="BM799" t="s">
        <v>74</v>
      </c>
      <c r="BN799">
        <v>15791427</v>
      </c>
      <c r="BO799" t="s">
        <v>74</v>
      </c>
      <c r="BP799" t="s">
        <v>74</v>
      </c>
      <c r="BQ799" t="s">
        <v>74</v>
      </c>
      <c r="BR799" t="s">
        <v>74</v>
      </c>
      <c r="BS799" t="s">
        <v>5858</v>
      </c>
      <c r="BT799" t="str">
        <f>HYPERLINK("https%3A%2F%2Fwww.webofscience.com%2Fwos%2Fwoscc%2Ffull-record%2FWOS:000229781100006","View Full Record in Web of Science")</f>
        <v>View Full Record in Web of Science</v>
      </c>
    </row>
    <row r="800" spans="1:72" x14ac:dyDescent="0.2">
      <c r="A800" t="s">
        <v>72</v>
      </c>
      <c r="B800" t="s">
        <v>5859</v>
      </c>
      <c r="C800" t="s">
        <v>74</v>
      </c>
      <c r="D800" t="s">
        <v>74</v>
      </c>
      <c r="E800" t="s">
        <v>74</v>
      </c>
      <c r="F800" t="s">
        <v>5859</v>
      </c>
      <c r="G800" t="s">
        <v>74</v>
      </c>
      <c r="H800" t="s">
        <v>74</v>
      </c>
      <c r="I800" t="s">
        <v>5860</v>
      </c>
      <c r="J800" t="s">
        <v>1716</v>
      </c>
      <c r="K800" t="s">
        <v>74</v>
      </c>
      <c r="L800" t="s">
        <v>74</v>
      </c>
      <c r="M800" t="s">
        <v>74</v>
      </c>
      <c r="N800" t="s">
        <v>74</v>
      </c>
      <c r="O800" t="s">
        <v>74</v>
      </c>
      <c r="P800" t="s">
        <v>74</v>
      </c>
      <c r="Q800" t="s">
        <v>74</v>
      </c>
      <c r="R800" t="s">
        <v>74</v>
      </c>
      <c r="S800" t="s">
        <v>74</v>
      </c>
      <c r="T800" t="s">
        <v>74</v>
      </c>
      <c r="U800" t="s">
        <v>74</v>
      </c>
      <c r="V800" t="s">
        <v>74</v>
      </c>
      <c r="W800" t="s">
        <v>74</v>
      </c>
      <c r="X800" t="s">
        <v>74</v>
      </c>
      <c r="Y800" t="s">
        <v>74</v>
      </c>
      <c r="Z800" t="s">
        <v>74</v>
      </c>
      <c r="AA800" t="s">
        <v>5861</v>
      </c>
      <c r="AB800" t="s">
        <v>5862</v>
      </c>
      <c r="AC800" t="s">
        <v>74</v>
      </c>
      <c r="AD800" t="s">
        <v>74</v>
      </c>
      <c r="AE800" t="s">
        <v>74</v>
      </c>
      <c r="AF800" t="s">
        <v>74</v>
      </c>
      <c r="AG800" t="s">
        <v>74</v>
      </c>
      <c r="AH800" t="s">
        <v>74</v>
      </c>
      <c r="AI800" t="s">
        <v>74</v>
      </c>
      <c r="AJ800" t="s">
        <v>74</v>
      </c>
      <c r="AK800" t="s">
        <v>74</v>
      </c>
      <c r="AL800" t="s">
        <v>74</v>
      </c>
      <c r="AM800" t="s">
        <v>74</v>
      </c>
      <c r="AN800" t="s">
        <v>74</v>
      </c>
      <c r="AO800" t="s">
        <v>1717</v>
      </c>
      <c r="AP800" t="s">
        <v>1718</v>
      </c>
      <c r="AQ800" t="s">
        <v>74</v>
      </c>
      <c r="AR800" t="s">
        <v>74</v>
      </c>
      <c r="AS800" t="s">
        <v>74</v>
      </c>
      <c r="AT800" t="s">
        <v>203</v>
      </c>
      <c r="AU800">
        <v>2005</v>
      </c>
      <c r="AV800">
        <v>41</v>
      </c>
      <c r="AW800">
        <v>2</v>
      </c>
      <c r="AX800" t="s">
        <v>74</v>
      </c>
      <c r="AY800" t="s">
        <v>74</v>
      </c>
      <c r="AZ800" t="s">
        <v>74</v>
      </c>
      <c r="BA800" t="s">
        <v>74</v>
      </c>
      <c r="BB800">
        <v>439</v>
      </c>
      <c r="BC800">
        <v>446</v>
      </c>
      <c r="BD800" t="s">
        <v>74</v>
      </c>
      <c r="BE800" t="s">
        <v>5863</v>
      </c>
      <c r="BF800" t="str">
        <f>HYPERLINK("http://dx.doi.org/10.1111/j.1529-8817.2005.04162.x","http://dx.doi.org/10.1111/j.1529-8817.2005.04162.x")</f>
        <v>http://dx.doi.org/10.1111/j.1529-8817.2005.04162.x</v>
      </c>
      <c r="BG800" t="s">
        <v>74</v>
      </c>
      <c r="BH800" t="s">
        <v>74</v>
      </c>
      <c r="BI800" t="s">
        <v>74</v>
      </c>
      <c r="BJ800" t="s">
        <v>74</v>
      </c>
      <c r="BK800" t="s">
        <v>74</v>
      </c>
      <c r="BL800" t="s">
        <v>74</v>
      </c>
      <c r="BM800" t="s">
        <v>74</v>
      </c>
      <c r="BN800" t="s">
        <v>74</v>
      </c>
      <c r="BO800" t="s">
        <v>74</v>
      </c>
      <c r="BP800" t="s">
        <v>74</v>
      </c>
      <c r="BQ800" t="s">
        <v>74</v>
      </c>
      <c r="BR800" t="s">
        <v>74</v>
      </c>
      <c r="BS800" t="s">
        <v>5864</v>
      </c>
      <c r="BT800" t="str">
        <f>HYPERLINK("https%3A%2F%2Fwww.webofscience.com%2Fwos%2Fwoscc%2Ffull-record%2FWOS:000227859400021","View Full Record in Web of Science")</f>
        <v>View Full Record in Web of Science</v>
      </c>
    </row>
    <row r="801" spans="1:72" x14ac:dyDescent="0.2">
      <c r="A801" t="s">
        <v>72</v>
      </c>
      <c r="B801" t="s">
        <v>5865</v>
      </c>
      <c r="C801" t="s">
        <v>74</v>
      </c>
      <c r="D801" t="s">
        <v>74</v>
      </c>
      <c r="E801" t="s">
        <v>74</v>
      </c>
      <c r="F801" t="s">
        <v>5865</v>
      </c>
      <c r="G801" t="s">
        <v>74</v>
      </c>
      <c r="H801" t="s">
        <v>74</v>
      </c>
      <c r="I801" t="s">
        <v>5866</v>
      </c>
      <c r="J801" t="s">
        <v>5867</v>
      </c>
      <c r="K801" t="s">
        <v>74</v>
      </c>
      <c r="L801" t="s">
        <v>74</v>
      </c>
      <c r="M801" t="s">
        <v>74</v>
      </c>
      <c r="N801" t="s">
        <v>74</v>
      </c>
      <c r="O801" t="s">
        <v>74</v>
      </c>
      <c r="P801" t="s">
        <v>74</v>
      </c>
      <c r="Q801" t="s">
        <v>74</v>
      </c>
      <c r="R801" t="s">
        <v>74</v>
      </c>
      <c r="S801" t="s">
        <v>74</v>
      </c>
      <c r="T801" t="s">
        <v>74</v>
      </c>
      <c r="U801" t="s">
        <v>74</v>
      </c>
      <c r="V801" t="s">
        <v>74</v>
      </c>
      <c r="W801" t="s">
        <v>74</v>
      </c>
      <c r="X801" t="s">
        <v>74</v>
      </c>
      <c r="Y801" t="s">
        <v>74</v>
      </c>
      <c r="Z801" t="s">
        <v>74</v>
      </c>
      <c r="AA801" t="s">
        <v>74</v>
      </c>
      <c r="AB801" t="s">
        <v>74</v>
      </c>
      <c r="AC801" t="s">
        <v>74</v>
      </c>
      <c r="AD801" t="s">
        <v>74</v>
      </c>
      <c r="AE801" t="s">
        <v>74</v>
      </c>
      <c r="AF801" t="s">
        <v>74</v>
      </c>
      <c r="AG801" t="s">
        <v>74</v>
      </c>
      <c r="AH801" t="s">
        <v>74</v>
      </c>
      <c r="AI801" t="s">
        <v>74</v>
      </c>
      <c r="AJ801" t="s">
        <v>74</v>
      </c>
      <c r="AK801" t="s">
        <v>74</v>
      </c>
      <c r="AL801" t="s">
        <v>74</v>
      </c>
      <c r="AM801" t="s">
        <v>74</v>
      </c>
      <c r="AN801" t="s">
        <v>74</v>
      </c>
      <c r="AO801" t="s">
        <v>5868</v>
      </c>
      <c r="AP801" t="s">
        <v>5869</v>
      </c>
      <c r="AQ801" t="s">
        <v>74</v>
      </c>
      <c r="AR801" t="s">
        <v>74</v>
      </c>
      <c r="AS801" t="s">
        <v>74</v>
      </c>
      <c r="AT801" t="s">
        <v>157</v>
      </c>
      <c r="AU801">
        <v>2005</v>
      </c>
      <c r="AV801">
        <v>59</v>
      </c>
      <c r="AW801">
        <v>3</v>
      </c>
      <c r="AX801" t="s">
        <v>74</v>
      </c>
      <c r="AY801" t="s">
        <v>74</v>
      </c>
      <c r="AZ801" t="s">
        <v>74</v>
      </c>
      <c r="BA801" t="s">
        <v>74</v>
      </c>
      <c r="BB801">
        <v>565</v>
      </c>
      <c r="BC801">
        <v>576</v>
      </c>
      <c r="BD801" t="s">
        <v>74</v>
      </c>
      <c r="BE801" t="s">
        <v>74</v>
      </c>
      <c r="BF801" t="s">
        <v>74</v>
      </c>
      <c r="BG801" t="s">
        <v>74</v>
      </c>
      <c r="BH801" t="s">
        <v>74</v>
      </c>
      <c r="BI801" t="s">
        <v>74</v>
      </c>
      <c r="BJ801" t="s">
        <v>74</v>
      </c>
      <c r="BK801" t="s">
        <v>74</v>
      </c>
      <c r="BL801" t="s">
        <v>74</v>
      </c>
      <c r="BM801" t="s">
        <v>74</v>
      </c>
      <c r="BN801">
        <v>15856699</v>
      </c>
      <c r="BO801" t="s">
        <v>74</v>
      </c>
      <c r="BP801" t="s">
        <v>74</v>
      </c>
      <c r="BQ801" t="s">
        <v>74</v>
      </c>
      <c r="BR801" t="s">
        <v>74</v>
      </c>
      <c r="BS801" t="s">
        <v>5870</v>
      </c>
      <c r="BT801" t="str">
        <f>HYPERLINK("https%3A%2F%2Fwww.webofscience.com%2Fwos%2Fwoscc%2Ffull-record%2FWOS:000227943400009","View Full Record in Web of Science")</f>
        <v>View Full Record in Web of Science</v>
      </c>
    </row>
    <row r="802" spans="1:72" x14ac:dyDescent="0.2">
      <c r="A802" t="s">
        <v>72</v>
      </c>
      <c r="B802" t="s">
        <v>5871</v>
      </c>
      <c r="C802" t="s">
        <v>74</v>
      </c>
      <c r="D802" t="s">
        <v>74</v>
      </c>
      <c r="E802" t="s">
        <v>74</v>
      </c>
      <c r="F802" t="s">
        <v>5871</v>
      </c>
      <c r="G802" t="s">
        <v>74</v>
      </c>
      <c r="H802" t="s">
        <v>74</v>
      </c>
      <c r="I802" t="s">
        <v>5872</v>
      </c>
      <c r="J802" t="s">
        <v>5783</v>
      </c>
      <c r="K802" t="s">
        <v>74</v>
      </c>
      <c r="L802" t="s">
        <v>74</v>
      </c>
      <c r="M802" t="s">
        <v>74</v>
      </c>
      <c r="N802" t="s">
        <v>74</v>
      </c>
      <c r="O802" t="s">
        <v>74</v>
      </c>
      <c r="P802" t="s">
        <v>74</v>
      </c>
      <c r="Q802" t="s">
        <v>74</v>
      </c>
      <c r="R802" t="s">
        <v>74</v>
      </c>
      <c r="S802" t="s">
        <v>74</v>
      </c>
      <c r="T802" t="s">
        <v>74</v>
      </c>
      <c r="U802" t="s">
        <v>74</v>
      </c>
      <c r="V802" t="s">
        <v>74</v>
      </c>
      <c r="W802" t="s">
        <v>74</v>
      </c>
      <c r="X802" t="s">
        <v>74</v>
      </c>
      <c r="Y802" t="s">
        <v>74</v>
      </c>
      <c r="Z802" t="s">
        <v>74</v>
      </c>
      <c r="AA802" t="s">
        <v>74</v>
      </c>
      <c r="AB802" t="s">
        <v>5873</v>
      </c>
      <c r="AC802" t="s">
        <v>74</v>
      </c>
      <c r="AD802" t="s">
        <v>74</v>
      </c>
      <c r="AE802" t="s">
        <v>74</v>
      </c>
      <c r="AF802" t="s">
        <v>74</v>
      </c>
      <c r="AG802" t="s">
        <v>74</v>
      </c>
      <c r="AH802" t="s">
        <v>74</v>
      </c>
      <c r="AI802" t="s">
        <v>74</v>
      </c>
      <c r="AJ802" t="s">
        <v>74</v>
      </c>
      <c r="AK802" t="s">
        <v>74</v>
      </c>
      <c r="AL802" t="s">
        <v>74</v>
      </c>
      <c r="AM802" t="s">
        <v>74</v>
      </c>
      <c r="AN802" t="s">
        <v>74</v>
      </c>
      <c r="AO802" t="s">
        <v>5785</v>
      </c>
      <c r="AP802" t="s">
        <v>74</v>
      </c>
      <c r="AQ802" t="s">
        <v>74</v>
      </c>
      <c r="AR802" t="s">
        <v>74</v>
      </c>
      <c r="AS802" t="s">
        <v>74</v>
      </c>
      <c r="AT802" t="s">
        <v>416</v>
      </c>
      <c r="AU802">
        <v>2005</v>
      </c>
      <c r="AV802">
        <v>28</v>
      </c>
      <c r="AW802">
        <v>1</v>
      </c>
      <c r="AX802" t="s">
        <v>74</v>
      </c>
      <c r="AY802" t="s">
        <v>74</v>
      </c>
      <c r="AZ802" t="s">
        <v>74</v>
      </c>
      <c r="BA802" t="s">
        <v>74</v>
      </c>
      <c r="BB802">
        <v>138</v>
      </c>
      <c r="BC802">
        <v>159</v>
      </c>
      <c r="BD802" t="s">
        <v>74</v>
      </c>
      <c r="BE802" t="s">
        <v>5874</v>
      </c>
      <c r="BF802" t="str">
        <f>HYPERLINK("http://dx.doi.org/10.1007/BF02732760","http://dx.doi.org/10.1007/BF02732760")</f>
        <v>http://dx.doi.org/10.1007/BF02732760</v>
      </c>
      <c r="BG802" t="s">
        <v>74</v>
      </c>
      <c r="BH802" t="s">
        <v>74</v>
      </c>
      <c r="BI802" t="s">
        <v>74</v>
      </c>
      <c r="BJ802" t="s">
        <v>74</v>
      </c>
      <c r="BK802" t="s">
        <v>74</v>
      </c>
      <c r="BL802" t="s">
        <v>74</v>
      </c>
      <c r="BM802" t="s">
        <v>74</v>
      </c>
      <c r="BN802" t="s">
        <v>74</v>
      </c>
      <c r="BO802" t="s">
        <v>74</v>
      </c>
      <c r="BP802" t="s">
        <v>74</v>
      </c>
      <c r="BQ802" t="s">
        <v>74</v>
      </c>
      <c r="BR802" t="s">
        <v>74</v>
      </c>
      <c r="BS802" t="s">
        <v>5875</v>
      </c>
      <c r="BT802" t="str">
        <f>HYPERLINK("https%3A%2F%2Fwww.webofscience.com%2Fwos%2Fwoscc%2Ffull-record%2FWOS:000227944300011","View Full Record in Web of Science")</f>
        <v>View Full Record in Web of Science</v>
      </c>
    </row>
    <row r="803" spans="1:72" x14ac:dyDescent="0.2">
      <c r="A803" t="s">
        <v>72</v>
      </c>
      <c r="B803" t="s">
        <v>5876</v>
      </c>
      <c r="C803" t="s">
        <v>74</v>
      </c>
      <c r="D803" t="s">
        <v>74</v>
      </c>
      <c r="E803" t="s">
        <v>74</v>
      </c>
      <c r="F803" t="s">
        <v>5876</v>
      </c>
      <c r="G803" t="s">
        <v>74</v>
      </c>
      <c r="H803" t="s">
        <v>74</v>
      </c>
      <c r="I803" t="s">
        <v>5877</v>
      </c>
      <c r="J803" t="s">
        <v>5783</v>
      </c>
      <c r="K803" t="s">
        <v>74</v>
      </c>
      <c r="L803" t="s">
        <v>74</v>
      </c>
      <c r="M803" t="s">
        <v>74</v>
      </c>
      <c r="N803" t="s">
        <v>74</v>
      </c>
      <c r="O803" t="s">
        <v>74</v>
      </c>
      <c r="P803" t="s">
        <v>74</v>
      </c>
      <c r="Q803" t="s">
        <v>74</v>
      </c>
      <c r="R803" t="s">
        <v>74</v>
      </c>
      <c r="S803" t="s">
        <v>74</v>
      </c>
      <c r="T803" t="s">
        <v>74</v>
      </c>
      <c r="U803" t="s">
        <v>74</v>
      </c>
      <c r="V803" t="s">
        <v>74</v>
      </c>
      <c r="W803" t="s">
        <v>74</v>
      </c>
      <c r="X803" t="s">
        <v>74</v>
      </c>
      <c r="Y803" t="s">
        <v>74</v>
      </c>
      <c r="Z803" t="s">
        <v>74</v>
      </c>
      <c r="AA803" t="s">
        <v>7174</v>
      </c>
      <c r="AB803" t="s">
        <v>7175</v>
      </c>
      <c r="AC803" t="s">
        <v>74</v>
      </c>
      <c r="AD803" t="s">
        <v>74</v>
      </c>
      <c r="AE803" t="s">
        <v>74</v>
      </c>
      <c r="AF803" t="s">
        <v>74</v>
      </c>
      <c r="AG803" t="s">
        <v>74</v>
      </c>
      <c r="AH803" t="s">
        <v>74</v>
      </c>
      <c r="AI803" t="s">
        <v>74</v>
      </c>
      <c r="AJ803" t="s">
        <v>74</v>
      </c>
      <c r="AK803" t="s">
        <v>74</v>
      </c>
      <c r="AL803" t="s">
        <v>74</v>
      </c>
      <c r="AM803" t="s">
        <v>74</v>
      </c>
      <c r="AN803" t="s">
        <v>74</v>
      </c>
      <c r="AO803" t="s">
        <v>5785</v>
      </c>
      <c r="AP803" t="s">
        <v>74</v>
      </c>
      <c r="AQ803" t="s">
        <v>74</v>
      </c>
      <c r="AR803" t="s">
        <v>74</v>
      </c>
      <c r="AS803" t="s">
        <v>74</v>
      </c>
      <c r="AT803" t="s">
        <v>416</v>
      </c>
      <c r="AU803">
        <v>2005</v>
      </c>
      <c r="AV803">
        <v>28</v>
      </c>
      <c r="AW803">
        <v>1</v>
      </c>
      <c r="AX803" t="s">
        <v>74</v>
      </c>
      <c r="AY803" t="s">
        <v>74</v>
      </c>
      <c r="AZ803" t="s">
        <v>74</v>
      </c>
      <c r="BA803" t="s">
        <v>74</v>
      </c>
      <c r="BB803">
        <v>96</v>
      </c>
      <c r="BC803">
        <v>107</v>
      </c>
      <c r="BD803" t="s">
        <v>74</v>
      </c>
      <c r="BE803" t="s">
        <v>5878</v>
      </c>
      <c r="BF803" t="str">
        <f>HYPERLINK("http://dx.doi.org/10.1007/BF02732757","http://dx.doi.org/10.1007/BF02732757")</f>
        <v>http://dx.doi.org/10.1007/BF02732757</v>
      </c>
      <c r="BG803" t="s">
        <v>74</v>
      </c>
      <c r="BH803" t="s">
        <v>74</v>
      </c>
      <c r="BI803" t="s">
        <v>74</v>
      </c>
      <c r="BJ803" t="s">
        <v>74</v>
      </c>
      <c r="BK803" t="s">
        <v>74</v>
      </c>
      <c r="BL803" t="s">
        <v>74</v>
      </c>
      <c r="BM803" t="s">
        <v>74</v>
      </c>
      <c r="BN803" t="s">
        <v>74</v>
      </c>
      <c r="BO803" t="s">
        <v>74</v>
      </c>
      <c r="BP803" t="s">
        <v>74</v>
      </c>
      <c r="BQ803" t="s">
        <v>74</v>
      </c>
      <c r="BR803" t="s">
        <v>74</v>
      </c>
      <c r="BS803" t="s">
        <v>5879</v>
      </c>
      <c r="BT803" t="str">
        <f>HYPERLINK("https%3A%2F%2Fwww.webofscience.com%2Fwos%2Fwoscc%2Ffull-record%2FWOS:000227944300008","View Full Record in Web of Science")</f>
        <v>View Full Record in Web of Science</v>
      </c>
    </row>
    <row r="804" spans="1:72" x14ac:dyDescent="0.2">
      <c r="A804" t="s">
        <v>72</v>
      </c>
      <c r="B804" t="s">
        <v>5880</v>
      </c>
      <c r="C804" t="s">
        <v>74</v>
      </c>
      <c r="D804" t="s">
        <v>74</v>
      </c>
      <c r="E804" t="s">
        <v>74</v>
      </c>
      <c r="F804" t="s">
        <v>5880</v>
      </c>
      <c r="G804" t="s">
        <v>74</v>
      </c>
      <c r="H804" t="s">
        <v>74</v>
      </c>
      <c r="I804" t="s">
        <v>5881</v>
      </c>
      <c r="J804" t="s">
        <v>2421</v>
      </c>
      <c r="K804" t="s">
        <v>74</v>
      </c>
      <c r="L804" t="s">
        <v>74</v>
      </c>
      <c r="M804" t="s">
        <v>74</v>
      </c>
      <c r="N804" t="s">
        <v>74</v>
      </c>
      <c r="O804" t="s">
        <v>74</v>
      </c>
      <c r="P804" t="s">
        <v>74</v>
      </c>
      <c r="Q804" t="s">
        <v>74</v>
      </c>
      <c r="R804" t="s">
        <v>74</v>
      </c>
      <c r="S804" t="s">
        <v>74</v>
      </c>
      <c r="T804" t="s">
        <v>74</v>
      </c>
      <c r="U804" t="s">
        <v>74</v>
      </c>
      <c r="V804" t="s">
        <v>74</v>
      </c>
      <c r="W804" t="s">
        <v>74</v>
      </c>
      <c r="X804" t="s">
        <v>74</v>
      </c>
      <c r="Y804" t="s">
        <v>74</v>
      </c>
      <c r="Z804" t="s">
        <v>74</v>
      </c>
      <c r="AA804" t="s">
        <v>74</v>
      </c>
      <c r="AB804" t="s">
        <v>74</v>
      </c>
      <c r="AC804" t="s">
        <v>74</v>
      </c>
      <c r="AD804" t="s">
        <v>74</v>
      </c>
      <c r="AE804" t="s">
        <v>74</v>
      </c>
      <c r="AF804" t="s">
        <v>74</v>
      </c>
      <c r="AG804" t="s">
        <v>74</v>
      </c>
      <c r="AH804" t="s">
        <v>74</v>
      </c>
      <c r="AI804" t="s">
        <v>74</v>
      </c>
      <c r="AJ804" t="s">
        <v>74</v>
      </c>
      <c r="AK804" t="s">
        <v>74</v>
      </c>
      <c r="AL804" t="s">
        <v>74</v>
      </c>
      <c r="AM804" t="s">
        <v>74</v>
      </c>
      <c r="AN804" t="s">
        <v>74</v>
      </c>
      <c r="AO804" t="s">
        <v>2422</v>
      </c>
      <c r="AP804" t="s">
        <v>74</v>
      </c>
      <c r="AQ804" t="s">
        <v>74</v>
      </c>
      <c r="AR804" t="s">
        <v>74</v>
      </c>
      <c r="AS804" t="s">
        <v>74</v>
      </c>
      <c r="AT804" t="s">
        <v>74</v>
      </c>
      <c r="AU804">
        <v>2005</v>
      </c>
      <c r="AV804">
        <v>31</v>
      </c>
      <c r="AW804">
        <v>1</v>
      </c>
      <c r="AX804" t="s">
        <v>74</v>
      </c>
      <c r="AY804" t="s">
        <v>74</v>
      </c>
      <c r="AZ804" t="s">
        <v>74</v>
      </c>
      <c r="BA804" t="s">
        <v>74</v>
      </c>
      <c r="BB804">
        <v>87</v>
      </c>
      <c r="BC804">
        <v>96</v>
      </c>
      <c r="BD804" t="s">
        <v>74</v>
      </c>
      <c r="BE804" t="s">
        <v>5882</v>
      </c>
      <c r="BF804" t="str">
        <f>HYPERLINK("http://dx.doi.org/10.1016/S0380-1330(05)70240-9","http://dx.doi.org/10.1016/S0380-1330(05)70240-9")</f>
        <v>http://dx.doi.org/10.1016/S0380-1330(05)70240-9</v>
      </c>
      <c r="BG804" t="s">
        <v>74</v>
      </c>
      <c r="BH804" t="s">
        <v>74</v>
      </c>
      <c r="BI804" t="s">
        <v>74</v>
      </c>
      <c r="BJ804" t="s">
        <v>74</v>
      </c>
      <c r="BK804" t="s">
        <v>74</v>
      </c>
      <c r="BL804" t="s">
        <v>74</v>
      </c>
      <c r="BM804" t="s">
        <v>74</v>
      </c>
      <c r="BN804" t="s">
        <v>74</v>
      </c>
      <c r="BO804" t="s">
        <v>74</v>
      </c>
      <c r="BP804" t="s">
        <v>74</v>
      </c>
      <c r="BQ804" t="s">
        <v>74</v>
      </c>
      <c r="BR804" t="s">
        <v>74</v>
      </c>
      <c r="BS804" t="s">
        <v>5883</v>
      </c>
      <c r="BT804" t="str">
        <f>HYPERLINK("https%3A%2F%2Fwww.webofscience.com%2Fwos%2Fwoscc%2Ffull-record%2FWOS:000230145500008","View Full Record in Web of Science")</f>
        <v>View Full Record in Web of Science</v>
      </c>
    </row>
    <row r="805" spans="1:72" x14ac:dyDescent="0.2">
      <c r="A805" t="s">
        <v>72</v>
      </c>
      <c r="B805" t="s">
        <v>5884</v>
      </c>
      <c r="C805" t="s">
        <v>74</v>
      </c>
      <c r="D805" t="s">
        <v>74</v>
      </c>
      <c r="E805" t="s">
        <v>74</v>
      </c>
      <c r="F805" t="s">
        <v>5884</v>
      </c>
      <c r="G805" t="s">
        <v>74</v>
      </c>
      <c r="H805" t="s">
        <v>74</v>
      </c>
      <c r="I805" t="s">
        <v>5885</v>
      </c>
      <c r="J805" t="s">
        <v>1063</v>
      </c>
      <c r="K805" t="s">
        <v>74</v>
      </c>
      <c r="L805" t="s">
        <v>74</v>
      </c>
      <c r="M805" t="s">
        <v>74</v>
      </c>
      <c r="N805" t="s">
        <v>74</v>
      </c>
      <c r="O805" t="s">
        <v>74</v>
      </c>
      <c r="P805" t="s">
        <v>74</v>
      </c>
      <c r="Q805" t="s">
        <v>74</v>
      </c>
      <c r="R805" t="s">
        <v>74</v>
      </c>
      <c r="S805" t="s">
        <v>74</v>
      </c>
      <c r="T805" t="s">
        <v>74</v>
      </c>
      <c r="U805" t="s">
        <v>74</v>
      </c>
      <c r="V805" t="s">
        <v>74</v>
      </c>
      <c r="W805" t="s">
        <v>74</v>
      </c>
      <c r="X805" t="s">
        <v>74</v>
      </c>
      <c r="Y805" t="s">
        <v>74</v>
      </c>
      <c r="Z805" t="s">
        <v>74</v>
      </c>
      <c r="AA805" t="s">
        <v>5886</v>
      </c>
      <c r="AB805" t="s">
        <v>5887</v>
      </c>
      <c r="AC805" t="s">
        <v>74</v>
      </c>
      <c r="AD805" t="s">
        <v>74</v>
      </c>
      <c r="AE805" t="s">
        <v>74</v>
      </c>
      <c r="AF805" t="s">
        <v>74</v>
      </c>
      <c r="AG805" t="s">
        <v>74</v>
      </c>
      <c r="AH805" t="s">
        <v>74</v>
      </c>
      <c r="AI805" t="s">
        <v>74</v>
      </c>
      <c r="AJ805" t="s">
        <v>74</v>
      </c>
      <c r="AK805" t="s">
        <v>74</v>
      </c>
      <c r="AL805" t="s">
        <v>74</v>
      </c>
      <c r="AM805" t="s">
        <v>74</v>
      </c>
      <c r="AN805" t="s">
        <v>74</v>
      </c>
      <c r="AO805" t="s">
        <v>1065</v>
      </c>
      <c r="AP805" t="s">
        <v>1066</v>
      </c>
      <c r="AQ805" t="s">
        <v>74</v>
      </c>
      <c r="AR805" t="s">
        <v>74</v>
      </c>
      <c r="AS805" t="s">
        <v>74</v>
      </c>
      <c r="AT805" t="s">
        <v>82</v>
      </c>
      <c r="AU805">
        <v>2004</v>
      </c>
      <c r="AV805">
        <v>57</v>
      </c>
      <c r="AW805">
        <v>11</v>
      </c>
      <c r="AX805" t="s">
        <v>74</v>
      </c>
      <c r="AY805" t="s">
        <v>74</v>
      </c>
      <c r="AZ805" t="s">
        <v>74</v>
      </c>
      <c r="BA805" t="s">
        <v>74</v>
      </c>
      <c r="BB805">
        <v>1629</v>
      </c>
      <c r="BC805">
        <v>1636</v>
      </c>
      <c r="BD805" t="s">
        <v>74</v>
      </c>
      <c r="BE805" t="s">
        <v>5888</v>
      </c>
      <c r="BF805" t="str">
        <f>HYPERLINK("http://dx.doi.org/10.1016/j.chemosphere.2004.06.041","http://dx.doi.org/10.1016/j.chemosphere.2004.06.041")</f>
        <v>http://dx.doi.org/10.1016/j.chemosphere.2004.06.041</v>
      </c>
      <c r="BG805" t="s">
        <v>74</v>
      </c>
      <c r="BH805" t="s">
        <v>74</v>
      </c>
      <c r="BI805" t="s">
        <v>74</v>
      </c>
      <c r="BJ805" t="s">
        <v>74</v>
      </c>
      <c r="BK805" t="s">
        <v>74</v>
      </c>
      <c r="BL805" t="s">
        <v>74</v>
      </c>
      <c r="BM805" t="s">
        <v>74</v>
      </c>
      <c r="BN805">
        <v>15519408</v>
      </c>
      <c r="BO805" t="s">
        <v>74</v>
      </c>
      <c r="BP805" t="s">
        <v>74</v>
      </c>
      <c r="BQ805" t="s">
        <v>74</v>
      </c>
      <c r="BR805" t="s">
        <v>74</v>
      </c>
      <c r="BS805" t="s">
        <v>5889</v>
      </c>
      <c r="BT805" t="str">
        <f>HYPERLINK("https%3A%2F%2Fwww.webofscience.com%2Fwos%2Fwoscc%2Ffull-record%2FWOS:000225053400006","View Full Record in Web of Science")</f>
        <v>View Full Record in Web of Science</v>
      </c>
    </row>
    <row r="806" spans="1:72" x14ac:dyDescent="0.2">
      <c r="A806" t="s">
        <v>72</v>
      </c>
      <c r="B806" t="s">
        <v>5890</v>
      </c>
      <c r="C806" t="s">
        <v>74</v>
      </c>
      <c r="D806" t="s">
        <v>74</v>
      </c>
      <c r="E806" t="s">
        <v>74</v>
      </c>
      <c r="F806" t="s">
        <v>5890</v>
      </c>
      <c r="G806" t="s">
        <v>74</v>
      </c>
      <c r="H806" t="s">
        <v>74</v>
      </c>
      <c r="I806" t="s">
        <v>5891</v>
      </c>
      <c r="J806" t="s">
        <v>124</v>
      </c>
      <c r="K806" t="s">
        <v>74</v>
      </c>
      <c r="L806" t="s">
        <v>74</v>
      </c>
      <c r="M806" t="s">
        <v>74</v>
      </c>
      <c r="N806" t="s">
        <v>74</v>
      </c>
      <c r="O806" t="s">
        <v>5892</v>
      </c>
      <c r="P806" t="s">
        <v>5893</v>
      </c>
      <c r="Q806" t="s">
        <v>5894</v>
      </c>
      <c r="R806" t="s">
        <v>74</v>
      </c>
      <c r="S806" t="s">
        <v>5895</v>
      </c>
      <c r="T806" t="s">
        <v>74</v>
      </c>
      <c r="U806" t="s">
        <v>74</v>
      </c>
      <c r="V806" t="s">
        <v>74</v>
      </c>
      <c r="W806" t="s">
        <v>74</v>
      </c>
      <c r="X806" t="s">
        <v>74</v>
      </c>
      <c r="Y806" t="s">
        <v>74</v>
      </c>
      <c r="Z806" t="s">
        <v>74</v>
      </c>
      <c r="AA806" t="s">
        <v>74</v>
      </c>
      <c r="AB806" t="s">
        <v>74</v>
      </c>
      <c r="AC806" t="s">
        <v>74</v>
      </c>
      <c r="AD806" t="s">
        <v>74</v>
      </c>
      <c r="AE806" t="s">
        <v>74</v>
      </c>
      <c r="AF806" t="s">
        <v>74</v>
      </c>
      <c r="AG806" t="s">
        <v>74</v>
      </c>
      <c r="AH806" t="s">
        <v>74</v>
      </c>
      <c r="AI806" t="s">
        <v>74</v>
      </c>
      <c r="AJ806" t="s">
        <v>74</v>
      </c>
      <c r="AK806" t="s">
        <v>74</v>
      </c>
      <c r="AL806" t="s">
        <v>74</v>
      </c>
      <c r="AM806" t="s">
        <v>74</v>
      </c>
      <c r="AN806" t="s">
        <v>74</v>
      </c>
      <c r="AO806" t="s">
        <v>127</v>
      </c>
      <c r="AP806" t="s">
        <v>128</v>
      </c>
      <c r="AQ806" t="s">
        <v>74</v>
      </c>
      <c r="AR806" t="s">
        <v>74</v>
      </c>
      <c r="AS806" t="s">
        <v>74</v>
      </c>
      <c r="AT806" t="s">
        <v>1015</v>
      </c>
      <c r="AU806">
        <v>2004</v>
      </c>
      <c r="AV806">
        <v>530</v>
      </c>
      <c r="AW806" t="s">
        <v>74</v>
      </c>
      <c r="AX806" t="s">
        <v>74</v>
      </c>
      <c r="AY806" t="s">
        <v>74</v>
      </c>
      <c r="AZ806" t="s">
        <v>632</v>
      </c>
      <c r="BA806" t="s">
        <v>74</v>
      </c>
      <c r="BB806">
        <v>521</v>
      </c>
      <c r="BC806">
        <v>528</v>
      </c>
      <c r="BD806" t="s">
        <v>74</v>
      </c>
      <c r="BE806" t="s">
        <v>5896</v>
      </c>
      <c r="BF806" t="str">
        <f>HYPERLINK("http://dx.doi.org/10.1007/s10750-004-2648-6","http://dx.doi.org/10.1007/s10750-004-2648-6")</f>
        <v>http://dx.doi.org/10.1007/s10750-004-2648-6</v>
      </c>
      <c r="BG806" t="s">
        <v>74</v>
      </c>
      <c r="BH806" t="s">
        <v>74</v>
      </c>
      <c r="BI806" t="s">
        <v>74</v>
      </c>
      <c r="BJ806" t="s">
        <v>74</v>
      </c>
      <c r="BK806" t="s">
        <v>74</v>
      </c>
      <c r="BL806" t="s">
        <v>74</v>
      </c>
      <c r="BM806" t="s">
        <v>74</v>
      </c>
      <c r="BN806" t="s">
        <v>74</v>
      </c>
      <c r="BO806" t="s">
        <v>74</v>
      </c>
      <c r="BP806" t="s">
        <v>74</v>
      </c>
      <c r="BQ806" t="s">
        <v>74</v>
      </c>
      <c r="BR806" t="s">
        <v>74</v>
      </c>
      <c r="BS806" t="s">
        <v>5897</v>
      </c>
      <c r="BT806" t="str">
        <f>HYPERLINK("https%3A%2F%2Fwww.webofscience.com%2Fwos%2Fwoscc%2Ffull-record%2FWOS:000226416700060","View Full Record in Web of Science")</f>
        <v>View Full Record in Web of Science</v>
      </c>
    </row>
    <row r="807" spans="1:72" x14ac:dyDescent="0.2">
      <c r="A807" t="s">
        <v>72</v>
      </c>
      <c r="B807" t="s">
        <v>5898</v>
      </c>
      <c r="C807" t="s">
        <v>74</v>
      </c>
      <c r="D807" t="s">
        <v>74</v>
      </c>
      <c r="E807" t="s">
        <v>74</v>
      </c>
      <c r="F807" t="s">
        <v>5898</v>
      </c>
      <c r="G807" t="s">
        <v>74</v>
      </c>
      <c r="H807" t="s">
        <v>74</v>
      </c>
      <c r="I807" t="s">
        <v>5899</v>
      </c>
      <c r="J807" t="s">
        <v>5717</v>
      </c>
      <c r="K807" t="s">
        <v>74</v>
      </c>
      <c r="L807" t="s">
        <v>74</v>
      </c>
      <c r="M807" t="s">
        <v>74</v>
      </c>
      <c r="N807" t="s">
        <v>74</v>
      </c>
      <c r="O807" t="s">
        <v>74</v>
      </c>
      <c r="P807" t="s">
        <v>74</v>
      </c>
      <c r="Q807" t="s">
        <v>74</v>
      </c>
      <c r="R807" t="s">
        <v>74</v>
      </c>
      <c r="S807" t="s">
        <v>74</v>
      </c>
      <c r="T807" t="s">
        <v>74</v>
      </c>
      <c r="U807" t="s">
        <v>74</v>
      </c>
      <c r="V807" t="s">
        <v>74</v>
      </c>
      <c r="W807" t="s">
        <v>74</v>
      </c>
      <c r="X807" t="s">
        <v>74</v>
      </c>
      <c r="Y807" t="s">
        <v>74</v>
      </c>
      <c r="Z807" t="s">
        <v>74</v>
      </c>
      <c r="AA807" t="s">
        <v>5900</v>
      </c>
      <c r="AB807" t="s">
        <v>5901</v>
      </c>
      <c r="AC807" t="s">
        <v>74</v>
      </c>
      <c r="AD807" t="s">
        <v>74</v>
      </c>
      <c r="AE807" t="s">
        <v>74</v>
      </c>
      <c r="AF807" t="s">
        <v>74</v>
      </c>
      <c r="AG807" t="s">
        <v>74</v>
      </c>
      <c r="AH807" t="s">
        <v>74</v>
      </c>
      <c r="AI807" t="s">
        <v>74</v>
      </c>
      <c r="AJ807" t="s">
        <v>74</v>
      </c>
      <c r="AK807" t="s">
        <v>74</v>
      </c>
      <c r="AL807" t="s">
        <v>74</v>
      </c>
      <c r="AM807" t="s">
        <v>74</v>
      </c>
      <c r="AN807" t="s">
        <v>74</v>
      </c>
      <c r="AO807" t="s">
        <v>5723</v>
      </c>
      <c r="AP807" t="s">
        <v>74</v>
      </c>
      <c r="AQ807" t="s">
        <v>74</v>
      </c>
      <c r="AR807" t="s">
        <v>74</v>
      </c>
      <c r="AS807" t="s">
        <v>74</v>
      </c>
      <c r="AT807" t="s">
        <v>5034</v>
      </c>
      <c r="AU807">
        <v>2004</v>
      </c>
      <c r="AV807">
        <v>14</v>
      </c>
      <c r="AW807" t="s">
        <v>74</v>
      </c>
      <c r="AX807" t="s">
        <v>74</v>
      </c>
      <c r="AY807">
        <v>1</v>
      </c>
      <c r="AZ807" t="s">
        <v>74</v>
      </c>
      <c r="BA807" t="s">
        <v>74</v>
      </c>
      <c r="BB807" t="s">
        <v>3102</v>
      </c>
      <c r="BC807" t="s">
        <v>5902</v>
      </c>
      <c r="BD807" t="s">
        <v>74</v>
      </c>
      <c r="BE807" t="s">
        <v>5903</v>
      </c>
      <c r="BF807" t="str">
        <f>HYPERLINK("http://dx.doi.org/10.1002/aqc.649","http://dx.doi.org/10.1002/aqc.649")</f>
        <v>http://dx.doi.org/10.1002/aqc.649</v>
      </c>
      <c r="BG807" t="s">
        <v>74</v>
      </c>
      <c r="BH807" t="s">
        <v>74</v>
      </c>
      <c r="BI807" t="s">
        <v>74</v>
      </c>
      <c r="BJ807" t="s">
        <v>74</v>
      </c>
      <c r="BK807" t="s">
        <v>74</v>
      </c>
      <c r="BL807" t="s">
        <v>74</v>
      </c>
      <c r="BM807" t="s">
        <v>74</v>
      </c>
      <c r="BN807" t="s">
        <v>74</v>
      </c>
      <c r="BO807" t="s">
        <v>74</v>
      </c>
      <c r="BP807" t="s">
        <v>74</v>
      </c>
      <c r="BQ807" t="s">
        <v>74</v>
      </c>
      <c r="BR807" t="s">
        <v>74</v>
      </c>
      <c r="BS807" t="s">
        <v>5904</v>
      </c>
      <c r="BT807" t="str">
        <f>HYPERLINK("https%3A%2F%2Fwww.webofscience.com%2Fwos%2Fwoscc%2Ffull-record%2FWOS:000225589300005","View Full Record in Web of Science")</f>
        <v>View Full Record in Web of Science</v>
      </c>
    </row>
    <row r="808" spans="1:72" x14ac:dyDescent="0.2">
      <c r="A808" t="s">
        <v>72</v>
      </c>
      <c r="B808" t="s">
        <v>5905</v>
      </c>
      <c r="C808" t="s">
        <v>74</v>
      </c>
      <c r="D808" t="s">
        <v>74</v>
      </c>
      <c r="E808" t="s">
        <v>74</v>
      </c>
      <c r="F808" t="s">
        <v>5905</v>
      </c>
      <c r="G808" t="s">
        <v>74</v>
      </c>
      <c r="H808" t="s">
        <v>74</v>
      </c>
      <c r="I808" t="s">
        <v>5906</v>
      </c>
      <c r="J808" t="s">
        <v>106</v>
      </c>
      <c r="K808" t="s">
        <v>74</v>
      </c>
      <c r="L808" t="s">
        <v>74</v>
      </c>
      <c r="M808" t="s">
        <v>74</v>
      </c>
      <c r="N808" t="s">
        <v>74</v>
      </c>
      <c r="O808" t="s">
        <v>74</v>
      </c>
      <c r="P808" t="s">
        <v>74</v>
      </c>
      <c r="Q808" t="s">
        <v>74</v>
      </c>
      <c r="R808" t="s">
        <v>74</v>
      </c>
      <c r="S808" t="s">
        <v>74</v>
      </c>
      <c r="T808" t="s">
        <v>74</v>
      </c>
      <c r="U808" t="s">
        <v>74</v>
      </c>
      <c r="V808" t="s">
        <v>74</v>
      </c>
      <c r="W808" t="s">
        <v>74</v>
      </c>
      <c r="X808" t="s">
        <v>74</v>
      </c>
      <c r="Y808" t="s">
        <v>74</v>
      </c>
      <c r="Z808" t="s">
        <v>74</v>
      </c>
      <c r="AA808" t="s">
        <v>74</v>
      </c>
      <c r="AB808" t="s">
        <v>74</v>
      </c>
      <c r="AC808" t="s">
        <v>74</v>
      </c>
      <c r="AD808" t="s">
        <v>74</v>
      </c>
      <c r="AE808" t="s">
        <v>74</v>
      </c>
      <c r="AF808" t="s">
        <v>74</v>
      </c>
      <c r="AG808" t="s">
        <v>74</v>
      </c>
      <c r="AH808" t="s">
        <v>74</v>
      </c>
      <c r="AI808" t="s">
        <v>74</v>
      </c>
      <c r="AJ808" t="s">
        <v>74</v>
      </c>
      <c r="AK808" t="s">
        <v>74</v>
      </c>
      <c r="AL808" t="s">
        <v>74</v>
      </c>
      <c r="AM808" t="s">
        <v>74</v>
      </c>
      <c r="AN808" t="s">
        <v>74</v>
      </c>
      <c r="AO808" t="s">
        <v>107</v>
      </c>
      <c r="AP808" t="s">
        <v>108</v>
      </c>
      <c r="AQ808" t="s">
        <v>74</v>
      </c>
      <c r="AR808" t="s">
        <v>74</v>
      </c>
      <c r="AS808" t="s">
        <v>74</v>
      </c>
      <c r="AT808" t="s">
        <v>406</v>
      </c>
      <c r="AU808">
        <v>2004</v>
      </c>
      <c r="AV808">
        <v>26</v>
      </c>
      <c r="AW808">
        <v>10</v>
      </c>
      <c r="AX808" t="s">
        <v>74</v>
      </c>
      <c r="AY808" t="s">
        <v>74</v>
      </c>
      <c r="AZ808" t="s">
        <v>74</v>
      </c>
      <c r="BA808" t="s">
        <v>74</v>
      </c>
      <c r="BB808">
        <v>1229</v>
      </c>
      <c r="BC808">
        <v>1247</v>
      </c>
      <c r="BD808" t="s">
        <v>74</v>
      </c>
      <c r="BE808" t="s">
        <v>5907</v>
      </c>
      <c r="BF808" t="str">
        <f>HYPERLINK("http://dx.doi.org/10.1093/plankt/fbh114","http://dx.doi.org/10.1093/plankt/fbh114")</f>
        <v>http://dx.doi.org/10.1093/plankt/fbh114</v>
      </c>
      <c r="BG808" t="s">
        <v>74</v>
      </c>
      <c r="BH808" t="s">
        <v>74</v>
      </c>
      <c r="BI808" t="s">
        <v>74</v>
      </c>
      <c r="BJ808" t="s">
        <v>74</v>
      </c>
      <c r="BK808" t="s">
        <v>74</v>
      </c>
      <c r="BL808" t="s">
        <v>74</v>
      </c>
      <c r="BM808" t="s">
        <v>74</v>
      </c>
      <c r="BN808" t="s">
        <v>74</v>
      </c>
      <c r="BO808" t="s">
        <v>74</v>
      </c>
      <c r="BP808" t="s">
        <v>74</v>
      </c>
      <c r="BQ808" t="s">
        <v>74</v>
      </c>
      <c r="BR808" t="s">
        <v>74</v>
      </c>
      <c r="BS808" t="s">
        <v>5908</v>
      </c>
      <c r="BT808" t="str">
        <f>HYPERLINK("https%3A%2F%2Fwww.webofscience.com%2Fwos%2Fwoscc%2Ffull-record%2FWOS:000224078700009","View Full Record in Web of Science")</f>
        <v>View Full Record in Web of Science</v>
      </c>
    </row>
    <row r="809" spans="1:72" x14ac:dyDescent="0.2">
      <c r="A809" t="s">
        <v>72</v>
      </c>
      <c r="B809" t="s">
        <v>5909</v>
      </c>
      <c r="C809" t="s">
        <v>74</v>
      </c>
      <c r="D809" t="s">
        <v>74</v>
      </c>
      <c r="E809" t="s">
        <v>74</v>
      </c>
      <c r="F809" t="s">
        <v>5909</v>
      </c>
      <c r="G809" t="s">
        <v>74</v>
      </c>
      <c r="H809" t="s">
        <v>74</v>
      </c>
      <c r="I809" t="s">
        <v>5910</v>
      </c>
      <c r="J809" t="s">
        <v>3919</v>
      </c>
      <c r="K809" t="s">
        <v>74</v>
      </c>
      <c r="L809" t="s">
        <v>74</v>
      </c>
      <c r="M809" t="s">
        <v>74</v>
      </c>
      <c r="N809" t="s">
        <v>74</v>
      </c>
      <c r="O809" t="s">
        <v>74</v>
      </c>
      <c r="P809" t="s">
        <v>74</v>
      </c>
      <c r="Q809" t="s">
        <v>74</v>
      </c>
      <c r="R809" t="s">
        <v>74</v>
      </c>
      <c r="S809" t="s">
        <v>74</v>
      </c>
      <c r="T809" t="s">
        <v>74</v>
      </c>
      <c r="U809" t="s">
        <v>74</v>
      </c>
      <c r="V809" t="s">
        <v>74</v>
      </c>
      <c r="W809" t="s">
        <v>74</v>
      </c>
      <c r="X809" t="s">
        <v>74</v>
      </c>
      <c r="Y809" t="s">
        <v>74</v>
      </c>
      <c r="Z809" t="s">
        <v>74</v>
      </c>
      <c r="AA809" t="s">
        <v>5911</v>
      </c>
      <c r="AB809" t="s">
        <v>4942</v>
      </c>
      <c r="AC809" t="s">
        <v>74</v>
      </c>
      <c r="AD809" t="s">
        <v>74</v>
      </c>
      <c r="AE809" t="s">
        <v>74</v>
      </c>
      <c r="AF809" t="s">
        <v>74</v>
      </c>
      <c r="AG809" t="s">
        <v>74</v>
      </c>
      <c r="AH809" t="s">
        <v>74</v>
      </c>
      <c r="AI809" t="s">
        <v>74</v>
      </c>
      <c r="AJ809" t="s">
        <v>74</v>
      </c>
      <c r="AK809" t="s">
        <v>74</v>
      </c>
      <c r="AL809" t="s">
        <v>74</v>
      </c>
      <c r="AM809" t="s">
        <v>74</v>
      </c>
      <c r="AN809" t="s">
        <v>74</v>
      </c>
      <c r="AO809" t="s">
        <v>3920</v>
      </c>
      <c r="AP809" t="s">
        <v>74</v>
      </c>
      <c r="AQ809" t="s">
        <v>74</v>
      </c>
      <c r="AR809" t="s">
        <v>74</v>
      </c>
      <c r="AS809" t="s">
        <v>74</v>
      </c>
      <c r="AT809" t="s">
        <v>406</v>
      </c>
      <c r="AU809">
        <v>2004</v>
      </c>
      <c r="AV809">
        <v>70</v>
      </c>
      <c r="AW809">
        <v>10</v>
      </c>
      <c r="AX809" t="s">
        <v>74</v>
      </c>
      <c r="AY809" t="s">
        <v>74</v>
      </c>
      <c r="AZ809" t="s">
        <v>74</v>
      </c>
      <c r="BA809" t="s">
        <v>74</v>
      </c>
      <c r="BB809">
        <v>5787</v>
      </c>
      <c r="BC809">
        <v>5793</v>
      </c>
      <c r="BD809" t="s">
        <v>74</v>
      </c>
      <c r="BE809" t="s">
        <v>5912</v>
      </c>
      <c r="BF809" t="str">
        <f>HYPERLINK("http://dx.doi.org/10.1128/AEM.70.10.5787-5793.2004","http://dx.doi.org/10.1128/AEM.70.10.5787-5793.2004")</f>
        <v>http://dx.doi.org/10.1128/AEM.70.10.5787-5793.2004</v>
      </c>
      <c r="BG809" t="s">
        <v>74</v>
      </c>
      <c r="BH809" t="s">
        <v>74</v>
      </c>
      <c r="BI809" t="s">
        <v>74</v>
      </c>
      <c r="BJ809" t="s">
        <v>74</v>
      </c>
      <c r="BK809" t="s">
        <v>74</v>
      </c>
      <c r="BL809" t="s">
        <v>74</v>
      </c>
      <c r="BM809" t="s">
        <v>74</v>
      </c>
      <c r="BN809">
        <v>15466515</v>
      </c>
      <c r="BO809" t="s">
        <v>74</v>
      </c>
      <c r="BP809" t="s">
        <v>74</v>
      </c>
      <c r="BQ809" t="s">
        <v>74</v>
      </c>
      <c r="BR809" t="s">
        <v>74</v>
      </c>
      <c r="BS809" t="s">
        <v>5913</v>
      </c>
      <c r="BT809" t="str">
        <f>HYPERLINK("https%3A%2F%2Fwww.webofscience.com%2Fwos%2Fwoscc%2Ffull-record%2FWOS:000224356200010","View Full Record in Web of Science")</f>
        <v>View Full Record in Web of Science</v>
      </c>
    </row>
    <row r="810" spans="1:72" x14ac:dyDescent="0.2">
      <c r="A810" t="s">
        <v>72</v>
      </c>
      <c r="B810" t="s">
        <v>5914</v>
      </c>
      <c r="C810" t="s">
        <v>74</v>
      </c>
      <c r="D810" t="s">
        <v>74</v>
      </c>
      <c r="E810" t="s">
        <v>74</v>
      </c>
      <c r="F810" t="s">
        <v>5914</v>
      </c>
      <c r="G810" t="s">
        <v>74</v>
      </c>
      <c r="H810" t="s">
        <v>74</v>
      </c>
      <c r="I810" t="s">
        <v>5915</v>
      </c>
      <c r="J810" t="s">
        <v>5498</v>
      </c>
      <c r="K810" t="s">
        <v>74</v>
      </c>
      <c r="L810" t="s">
        <v>74</v>
      </c>
      <c r="M810" t="s">
        <v>74</v>
      </c>
      <c r="N810" t="s">
        <v>74</v>
      </c>
      <c r="O810" t="s">
        <v>74</v>
      </c>
      <c r="P810" t="s">
        <v>74</v>
      </c>
      <c r="Q810" t="s">
        <v>74</v>
      </c>
      <c r="R810" t="s">
        <v>74</v>
      </c>
      <c r="S810" t="s">
        <v>74</v>
      </c>
      <c r="T810" t="s">
        <v>74</v>
      </c>
      <c r="U810" t="s">
        <v>74</v>
      </c>
      <c r="V810" t="s">
        <v>74</v>
      </c>
      <c r="W810" t="s">
        <v>74</v>
      </c>
      <c r="X810" t="s">
        <v>74</v>
      </c>
      <c r="Y810" t="s">
        <v>74</v>
      </c>
      <c r="Z810" t="s">
        <v>74</v>
      </c>
      <c r="AA810" t="s">
        <v>74</v>
      </c>
      <c r="AB810" t="s">
        <v>74</v>
      </c>
      <c r="AC810" t="s">
        <v>74</v>
      </c>
      <c r="AD810" t="s">
        <v>74</v>
      </c>
      <c r="AE810" t="s">
        <v>74</v>
      </c>
      <c r="AF810" t="s">
        <v>74</v>
      </c>
      <c r="AG810" t="s">
        <v>74</v>
      </c>
      <c r="AH810" t="s">
        <v>74</v>
      </c>
      <c r="AI810" t="s">
        <v>74</v>
      </c>
      <c r="AJ810" t="s">
        <v>74</v>
      </c>
      <c r="AK810" t="s">
        <v>74</v>
      </c>
      <c r="AL810" t="s">
        <v>74</v>
      </c>
      <c r="AM810" t="s">
        <v>74</v>
      </c>
      <c r="AN810" t="s">
        <v>74</v>
      </c>
      <c r="AO810" t="s">
        <v>5500</v>
      </c>
      <c r="AP810" t="s">
        <v>74</v>
      </c>
      <c r="AQ810" t="s">
        <v>74</v>
      </c>
      <c r="AR810" t="s">
        <v>74</v>
      </c>
      <c r="AS810" t="s">
        <v>74</v>
      </c>
      <c r="AT810" t="s">
        <v>451</v>
      </c>
      <c r="AU810">
        <v>2004</v>
      </c>
      <c r="AV810">
        <v>35</v>
      </c>
      <c r="AW810">
        <v>3</v>
      </c>
      <c r="AX810" t="s">
        <v>74</v>
      </c>
      <c r="AY810" t="s">
        <v>74</v>
      </c>
      <c r="AZ810" t="s">
        <v>74</v>
      </c>
      <c r="BA810" t="s">
        <v>74</v>
      </c>
      <c r="BB810">
        <v>372</v>
      </c>
      <c r="BC810">
        <v>382</v>
      </c>
      <c r="BD810" t="s">
        <v>74</v>
      </c>
      <c r="BE810" t="s">
        <v>5916</v>
      </c>
      <c r="BF810" t="str">
        <f>HYPERLINK("http://dx.doi.org/10.1111/j.1749-7345.2004.tb00101.x","http://dx.doi.org/10.1111/j.1749-7345.2004.tb00101.x")</f>
        <v>http://dx.doi.org/10.1111/j.1749-7345.2004.tb00101.x</v>
      </c>
      <c r="BG810" t="s">
        <v>74</v>
      </c>
      <c r="BH810" t="s">
        <v>74</v>
      </c>
      <c r="BI810" t="s">
        <v>74</v>
      </c>
      <c r="BJ810" t="s">
        <v>74</v>
      </c>
      <c r="BK810" t="s">
        <v>74</v>
      </c>
      <c r="BL810" t="s">
        <v>74</v>
      </c>
      <c r="BM810" t="s">
        <v>74</v>
      </c>
      <c r="BN810" t="s">
        <v>74</v>
      </c>
      <c r="BO810" t="s">
        <v>74</v>
      </c>
      <c r="BP810" t="s">
        <v>74</v>
      </c>
      <c r="BQ810" t="s">
        <v>74</v>
      </c>
      <c r="BR810" t="s">
        <v>74</v>
      </c>
      <c r="BS810" t="s">
        <v>5917</v>
      </c>
      <c r="BT810" t="str">
        <f>HYPERLINK("https%3A%2F%2Fwww.webofscience.com%2Fwos%2Fwoscc%2Ffull-record%2FWOS:000223960100008","View Full Record in Web of Science")</f>
        <v>View Full Record in Web of Science</v>
      </c>
    </row>
    <row r="811" spans="1:72" x14ac:dyDescent="0.2">
      <c r="A811" t="s">
        <v>72</v>
      </c>
      <c r="B811" t="s">
        <v>5918</v>
      </c>
      <c r="C811" t="s">
        <v>74</v>
      </c>
      <c r="D811" t="s">
        <v>74</v>
      </c>
      <c r="E811" t="s">
        <v>74</v>
      </c>
      <c r="F811" t="s">
        <v>5918</v>
      </c>
      <c r="G811" t="s">
        <v>74</v>
      </c>
      <c r="H811" t="s">
        <v>74</v>
      </c>
      <c r="I811" t="s">
        <v>5919</v>
      </c>
      <c r="J811" t="s">
        <v>227</v>
      </c>
      <c r="K811" t="s">
        <v>74</v>
      </c>
      <c r="L811" t="s">
        <v>74</v>
      </c>
      <c r="M811" t="s">
        <v>74</v>
      </c>
      <c r="N811" t="s">
        <v>74</v>
      </c>
      <c r="O811" t="s">
        <v>74</v>
      </c>
      <c r="P811" t="s">
        <v>74</v>
      </c>
      <c r="Q811" t="s">
        <v>74</v>
      </c>
      <c r="R811" t="s">
        <v>74</v>
      </c>
      <c r="S811" t="s">
        <v>74</v>
      </c>
      <c r="T811" t="s">
        <v>74</v>
      </c>
      <c r="U811" t="s">
        <v>74</v>
      </c>
      <c r="V811" t="s">
        <v>74</v>
      </c>
      <c r="W811" t="s">
        <v>74</v>
      </c>
      <c r="X811" t="s">
        <v>74</v>
      </c>
      <c r="Y811" t="s">
        <v>74</v>
      </c>
      <c r="Z811" t="s">
        <v>74</v>
      </c>
      <c r="AA811" t="s">
        <v>5920</v>
      </c>
      <c r="AB811" t="s">
        <v>5921</v>
      </c>
      <c r="AC811" t="s">
        <v>74</v>
      </c>
      <c r="AD811" t="s">
        <v>74</v>
      </c>
      <c r="AE811" t="s">
        <v>74</v>
      </c>
      <c r="AF811" t="s">
        <v>74</v>
      </c>
      <c r="AG811" t="s">
        <v>74</v>
      </c>
      <c r="AH811" t="s">
        <v>74</v>
      </c>
      <c r="AI811" t="s">
        <v>74</v>
      </c>
      <c r="AJ811" t="s">
        <v>74</v>
      </c>
      <c r="AK811" t="s">
        <v>74</v>
      </c>
      <c r="AL811" t="s">
        <v>74</v>
      </c>
      <c r="AM811" t="s">
        <v>74</v>
      </c>
      <c r="AN811" t="s">
        <v>74</v>
      </c>
      <c r="AO811" t="s">
        <v>230</v>
      </c>
      <c r="AP811" t="s">
        <v>74</v>
      </c>
      <c r="AQ811" t="s">
        <v>74</v>
      </c>
      <c r="AR811" t="s">
        <v>74</v>
      </c>
      <c r="AS811" t="s">
        <v>74</v>
      </c>
      <c r="AT811" t="s">
        <v>451</v>
      </c>
      <c r="AU811">
        <v>2004</v>
      </c>
      <c r="AV811">
        <v>49</v>
      </c>
      <c r="AW811">
        <v>5</v>
      </c>
      <c r="AX811" t="s">
        <v>74</v>
      </c>
      <c r="AY811" t="s">
        <v>74</v>
      </c>
      <c r="AZ811" t="s">
        <v>74</v>
      </c>
      <c r="BA811" t="s">
        <v>74</v>
      </c>
      <c r="BB811">
        <v>1528</v>
      </c>
      <c r="BC811">
        <v>1539</v>
      </c>
      <c r="BD811" t="s">
        <v>74</v>
      </c>
      <c r="BE811" t="s">
        <v>5922</v>
      </c>
      <c r="BF811" t="str">
        <f>HYPERLINK("http://dx.doi.org/10.4319/lo.2004.49.5.1528","http://dx.doi.org/10.4319/lo.2004.49.5.1528")</f>
        <v>http://dx.doi.org/10.4319/lo.2004.49.5.1528</v>
      </c>
      <c r="BG811" t="s">
        <v>74</v>
      </c>
      <c r="BH811" t="s">
        <v>74</v>
      </c>
      <c r="BI811" t="s">
        <v>74</v>
      </c>
      <c r="BJ811" t="s">
        <v>74</v>
      </c>
      <c r="BK811" t="s">
        <v>74</v>
      </c>
      <c r="BL811" t="s">
        <v>74</v>
      </c>
      <c r="BM811" t="s">
        <v>74</v>
      </c>
      <c r="BN811" t="s">
        <v>74</v>
      </c>
      <c r="BO811" t="s">
        <v>74</v>
      </c>
      <c r="BP811" t="s">
        <v>74</v>
      </c>
      <c r="BQ811" t="s">
        <v>74</v>
      </c>
      <c r="BR811" t="s">
        <v>74</v>
      </c>
      <c r="BS811" t="s">
        <v>5923</v>
      </c>
      <c r="BT811" t="str">
        <f>HYPERLINK("https%3A%2F%2Fwww.webofscience.com%2Fwos%2Fwoscc%2Ffull-record%2FWOS:000224979900006","View Full Record in Web of Science")</f>
        <v>View Full Record in Web of Science</v>
      </c>
    </row>
    <row r="812" spans="1:72" x14ac:dyDescent="0.2">
      <c r="A812" t="s">
        <v>72</v>
      </c>
      <c r="B812" t="s">
        <v>5924</v>
      </c>
      <c r="C812" t="s">
        <v>74</v>
      </c>
      <c r="D812" t="s">
        <v>74</v>
      </c>
      <c r="E812" t="s">
        <v>74</v>
      </c>
      <c r="F812" t="s">
        <v>5924</v>
      </c>
      <c r="G812" t="s">
        <v>74</v>
      </c>
      <c r="H812" t="s">
        <v>74</v>
      </c>
      <c r="I812" t="s">
        <v>5925</v>
      </c>
      <c r="J812" t="s">
        <v>1299</v>
      </c>
      <c r="K812" t="s">
        <v>74</v>
      </c>
      <c r="L812" t="s">
        <v>74</v>
      </c>
      <c r="M812" t="s">
        <v>74</v>
      </c>
      <c r="N812" t="s">
        <v>74</v>
      </c>
      <c r="O812" t="s">
        <v>74</v>
      </c>
      <c r="P812" t="s">
        <v>74</v>
      </c>
      <c r="Q812" t="s">
        <v>74</v>
      </c>
      <c r="R812" t="s">
        <v>74</v>
      </c>
      <c r="S812" t="s">
        <v>74</v>
      </c>
      <c r="T812" t="s">
        <v>74</v>
      </c>
      <c r="U812" t="s">
        <v>74</v>
      </c>
      <c r="V812" t="s">
        <v>74</v>
      </c>
      <c r="W812" t="s">
        <v>74</v>
      </c>
      <c r="X812" t="s">
        <v>74</v>
      </c>
      <c r="Y812" t="s">
        <v>74</v>
      </c>
      <c r="Z812" t="s">
        <v>74</v>
      </c>
      <c r="AA812" t="s">
        <v>74</v>
      </c>
      <c r="AB812" t="s">
        <v>5926</v>
      </c>
      <c r="AC812" t="s">
        <v>74</v>
      </c>
      <c r="AD812" t="s">
        <v>74</v>
      </c>
      <c r="AE812" t="s">
        <v>74</v>
      </c>
      <c r="AF812" t="s">
        <v>74</v>
      </c>
      <c r="AG812" t="s">
        <v>74</v>
      </c>
      <c r="AH812" t="s">
        <v>74</v>
      </c>
      <c r="AI812" t="s">
        <v>74</v>
      </c>
      <c r="AJ812" t="s">
        <v>74</v>
      </c>
      <c r="AK812" t="s">
        <v>74</v>
      </c>
      <c r="AL812" t="s">
        <v>74</v>
      </c>
      <c r="AM812" t="s">
        <v>74</v>
      </c>
      <c r="AN812" t="s">
        <v>74</v>
      </c>
      <c r="AO812" t="s">
        <v>1302</v>
      </c>
      <c r="AP812" t="s">
        <v>1303</v>
      </c>
      <c r="AQ812" t="s">
        <v>74</v>
      </c>
      <c r="AR812" t="s">
        <v>74</v>
      </c>
      <c r="AS812" t="s">
        <v>74</v>
      </c>
      <c r="AT812" t="s">
        <v>569</v>
      </c>
      <c r="AU812">
        <v>2004</v>
      </c>
      <c r="AV812">
        <v>140</v>
      </c>
      <c r="AW812">
        <v>1</v>
      </c>
      <c r="AX812" t="s">
        <v>74</v>
      </c>
      <c r="AY812" t="s">
        <v>74</v>
      </c>
      <c r="AZ812" t="s">
        <v>74</v>
      </c>
      <c r="BA812" t="s">
        <v>74</v>
      </c>
      <c r="BB812">
        <v>150</v>
      </c>
      <c r="BC812">
        <v>159</v>
      </c>
      <c r="BD812" t="s">
        <v>74</v>
      </c>
      <c r="BE812" t="s">
        <v>5927</v>
      </c>
      <c r="BF812" t="str">
        <f>HYPERLINK("http://dx.doi.org/10.1007/s00442-004-1548-9","http://dx.doi.org/10.1007/s00442-004-1548-9")</f>
        <v>http://dx.doi.org/10.1007/s00442-004-1548-9</v>
      </c>
      <c r="BG812" t="s">
        <v>74</v>
      </c>
      <c r="BH812" t="s">
        <v>74</v>
      </c>
      <c r="BI812" t="s">
        <v>74</v>
      </c>
      <c r="BJ812" t="s">
        <v>74</v>
      </c>
      <c r="BK812" t="s">
        <v>74</v>
      </c>
      <c r="BL812" t="s">
        <v>74</v>
      </c>
      <c r="BM812" t="s">
        <v>74</v>
      </c>
      <c r="BN812">
        <v>15064944</v>
      </c>
      <c r="BO812" t="s">
        <v>74</v>
      </c>
      <c r="BP812" t="s">
        <v>74</v>
      </c>
      <c r="BQ812" t="s">
        <v>74</v>
      </c>
      <c r="BR812" t="s">
        <v>74</v>
      </c>
      <c r="BS812" t="s">
        <v>5928</v>
      </c>
      <c r="BT812" t="str">
        <f>HYPERLINK("https%3A%2F%2Fwww.webofscience.com%2Fwos%2Fwoscc%2Ffull-record%2FWOS:000221850300017","View Full Record in Web of Science")</f>
        <v>View Full Record in Web of Science</v>
      </c>
    </row>
    <row r="813" spans="1:72" x14ac:dyDescent="0.2">
      <c r="A813" t="s">
        <v>72</v>
      </c>
      <c r="B813" t="s">
        <v>5929</v>
      </c>
      <c r="C813" t="s">
        <v>74</v>
      </c>
      <c r="D813" t="s">
        <v>74</v>
      </c>
      <c r="E813" t="s">
        <v>74</v>
      </c>
      <c r="F813" t="s">
        <v>5929</v>
      </c>
      <c r="G813" t="s">
        <v>74</v>
      </c>
      <c r="H813" t="s">
        <v>74</v>
      </c>
      <c r="I813" t="s">
        <v>5930</v>
      </c>
      <c r="J813" t="s">
        <v>844</v>
      </c>
      <c r="K813" t="s">
        <v>74</v>
      </c>
      <c r="L813" t="s">
        <v>74</v>
      </c>
      <c r="M813" t="s">
        <v>74</v>
      </c>
      <c r="N813" t="s">
        <v>74</v>
      </c>
      <c r="O813" t="s">
        <v>74</v>
      </c>
      <c r="P813" t="s">
        <v>74</v>
      </c>
      <c r="Q813" t="s">
        <v>74</v>
      </c>
      <c r="R813" t="s">
        <v>74</v>
      </c>
      <c r="S813" t="s">
        <v>74</v>
      </c>
      <c r="T813" t="s">
        <v>74</v>
      </c>
      <c r="U813" t="s">
        <v>74</v>
      </c>
      <c r="V813" t="s">
        <v>74</v>
      </c>
      <c r="W813" t="s">
        <v>74</v>
      </c>
      <c r="X813" t="s">
        <v>74</v>
      </c>
      <c r="Y813" t="s">
        <v>74</v>
      </c>
      <c r="Z813" t="s">
        <v>74</v>
      </c>
      <c r="AA813" t="s">
        <v>5931</v>
      </c>
      <c r="AB813" t="s">
        <v>5932</v>
      </c>
      <c r="AC813" t="s">
        <v>74</v>
      </c>
      <c r="AD813" t="s">
        <v>74</v>
      </c>
      <c r="AE813" t="s">
        <v>74</v>
      </c>
      <c r="AF813" t="s">
        <v>74</v>
      </c>
      <c r="AG813" t="s">
        <v>74</v>
      </c>
      <c r="AH813" t="s">
        <v>74</v>
      </c>
      <c r="AI813" t="s">
        <v>74</v>
      </c>
      <c r="AJ813" t="s">
        <v>74</v>
      </c>
      <c r="AK813" t="s">
        <v>74</v>
      </c>
      <c r="AL813" t="s">
        <v>74</v>
      </c>
      <c r="AM813" t="s">
        <v>74</v>
      </c>
      <c r="AN813" t="s">
        <v>74</v>
      </c>
      <c r="AO813" t="s">
        <v>847</v>
      </c>
      <c r="AP813" t="s">
        <v>848</v>
      </c>
      <c r="AQ813" t="s">
        <v>74</v>
      </c>
      <c r="AR813" t="s">
        <v>74</v>
      </c>
      <c r="AS813" t="s">
        <v>74</v>
      </c>
      <c r="AT813" t="s">
        <v>569</v>
      </c>
      <c r="AU813">
        <v>2004</v>
      </c>
      <c r="AV813">
        <v>23</v>
      </c>
      <c r="AW813">
        <v>6</v>
      </c>
      <c r="AX813" t="s">
        <v>74</v>
      </c>
      <c r="AY813" t="s">
        <v>74</v>
      </c>
      <c r="AZ813" t="s">
        <v>74</v>
      </c>
      <c r="BA813" t="s">
        <v>74</v>
      </c>
      <c r="BB813">
        <v>1452</v>
      </c>
      <c r="BC813">
        <v>1462</v>
      </c>
      <c r="BD813" t="s">
        <v>74</v>
      </c>
      <c r="BE813" t="s">
        <v>5933</v>
      </c>
      <c r="BF813" t="str">
        <f>HYPERLINK("http://dx.doi.org/10.1897/03-250","http://dx.doi.org/10.1897/03-250")</f>
        <v>http://dx.doi.org/10.1897/03-250</v>
      </c>
      <c r="BG813" t="s">
        <v>74</v>
      </c>
      <c r="BH813" t="s">
        <v>74</v>
      </c>
      <c r="BI813" t="s">
        <v>74</v>
      </c>
      <c r="BJ813" t="s">
        <v>74</v>
      </c>
      <c r="BK813" t="s">
        <v>74</v>
      </c>
      <c r="BL813" t="s">
        <v>74</v>
      </c>
      <c r="BM813" t="s">
        <v>74</v>
      </c>
      <c r="BN813">
        <v>15376531</v>
      </c>
      <c r="BO813" t="s">
        <v>74</v>
      </c>
      <c r="BP813" t="s">
        <v>74</v>
      </c>
      <c r="BQ813" t="s">
        <v>74</v>
      </c>
      <c r="BR813" t="s">
        <v>74</v>
      </c>
      <c r="BS813" t="s">
        <v>5934</v>
      </c>
      <c r="BT813" t="str">
        <f>HYPERLINK("https%3A%2F%2Fwww.webofscience.com%2Fwos%2Fwoscc%2Ffull-record%2FWOS:000221825600012","View Full Record in Web of Science")</f>
        <v>View Full Record in Web of Science</v>
      </c>
    </row>
    <row r="814" spans="1:72" x14ac:dyDescent="0.2">
      <c r="A814" t="s">
        <v>72</v>
      </c>
      <c r="B814" t="s">
        <v>5935</v>
      </c>
      <c r="C814" t="s">
        <v>74</v>
      </c>
      <c r="D814" t="s">
        <v>74</v>
      </c>
      <c r="E814" t="s">
        <v>74</v>
      </c>
      <c r="F814" t="s">
        <v>5935</v>
      </c>
      <c r="G814" t="s">
        <v>74</v>
      </c>
      <c r="H814" t="s">
        <v>74</v>
      </c>
      <c r="I814" t="s">
        <v>5936</v>
      </c>
      <c r="J814" t="s">
        <v>1716</v>
      </c>
      <c r="K814" t="s">
        <v>74</v>
      </c>
      <c r="L814" t="s">
        <v>74</v>
      </c>
      <c r="M814" t="s">
        <v>74</v>
      </c>
      <c r="N814" t="s">
        <v>74</v>
      </c>
      <c r="O814" t="s">
        <v>74</v>
      </c>
      <c r="P814" t="s">
        <v>74</v>
      </c>
      <c r="Q814" t="s">
        <v>74</v>
      </c>
      <c r="R814" t="s">
        <v>74</v>
      </c>
      <c r="S814" t="s">
        <v>74</v>
      </c>
      <c r="T814" t="s">
        <v>74</v>
      </c>
      <c r="U814" t="s">
        <v>74</v>
      </c>
      <c r="V814" t="s">
        <v>74</v>
      </c>
      <c r="W814" t="s">
        <v>74</v>
      </c>
      <c r="X814" t="s">
        <v>74</v>
      </c>
      <c r="Y814" t="s">
        <v>74</v>
      </c>
      <c r="Z814" t="s">
        <v>74</v>
      </c>
      <c r="AA814" t="s">
        <v>7176</v>
      </c>
      <c r="AB814" t="s">
        <v>7177</v>
      </c>
      <c r="AC814" t="s">
        <v>74</v>
      </c>
      <c r="AD814" t="s">
        <v>74</v>
      </c>
      <c r="AE814" t="s">
        <v>74</v>
      </c>
      <c r="AF814" t="s">
        <v>74</v>
      </c>
      <c r="AG814" t="s">
        <v>74</v>
      </c>
      <c r="AH814" t="s">
        <v>74</v>
      </c>
      <c r="AI814" t="s">
        <v>74</v>
      </c>
      <c r="AJ814" t="s">
        <v>74</v>
      </c>
      <c r="AK814" t="s">
        <v>74</v>
      </c>
      <c r="AL814" t="s">
        <v>74</v>
      </c>
      <c r="AM814" t="s">
        <v>74</v>
      </c>
      <c r="AN814" t="s">
        <v>74</v>
      </c>
      <c r="AO814" t="s">
        <v>1717</v>
      </c>
      <c r="AP814" t="s">
        <v>1718</v>
      </c>
      <c r="AQ814" t="s">
        <v>74</v>
      </c>
      <c r="AR814" t="s">
        <v>74</v>
      </c>
      <c r="AS814" t="s">
        <v>74</v>
      </c>
      <c r="AT814" t="s">
        <v>569</v>
      </c>
      <c r="AU814">
        <v>2004</v>
      </c>
      <c r="AV814">
        <v>40</v>
      </c>
      <c r="AW814">
        <v>3</v>
      </c>
      <c r="AX814" t="s">
        <v>74</v>
      </c>
      <c r="AY814" t="s">
        <v>74</v>
      </c>
      <c r="AZ814" t="s">
        <v>74</v>
      </c>
      <c r="BA814" t="s">
        <v>74</v>
      </c>
      <c r="BB814">
        <v>437</v>
      </c>
      <c r="BC814">
        <v>453</v>
      </c>
      <c r="BD814" t="s">
        <v>74</v>
      </c>
      <c r="BE814" t="s">
        <v>5937</v>
      </c>
      <c r="BF814" t="str">
        <f>HYPERLINK("http://dx.doi.org/10.1111/j.1529-8817.2004.03117.x","http://dx.doi.org/10.1111/j.1529-8817.2004.03117.x")</f>
        <v>http://dx.doi.org/10.1111/j.1529-8817.2004.03117.x</v>
      </c>
      <c r="BG814" t="s">
        <v>74</v>
      </c>
      <c r="BH814" t="s">
        <v>74</v>
      </c>
      <c r="BI814" t="s">
        <v>74</v>
      </c>
      <c r="BJ814" t="s">
        <v>74</v>
      </c>
      <c r="BK814" t="s">
        <v>74</v>
      </c>
      <c r="BL814" t="s">
        <v>74</v>
      </c>
      <c r="BM814" t="s">
        <v>74</v>
      </c>
      <c r="BN814" t="s">
        <v>74</v>
      </c>
      <c r="BO814" t="s">
        <v>74</v>
      </c>
      <c r="BP814" t="s">
        <v>74</v>
      </c>
      <c r="BQ814" t="s">
        <v>74</v>
      </c>
      <c r="BR814" t="s">
        <v>74</v>
      </c>
      <c r="BS814" t="s">
        <v>5938</v>
      </c>
      <c r="BT814" t="str">
        <f>HYPERLINK("https%3A%2F%2Fwww.webofscience.com%2Fwos%2Fwoscc%2Ffull-record%2FWOS:000221644400001","View Full Record in Web of Science")</f>
        <v>View Full Record in Web of Science</v>
      </c>
    </row>
    <row r="815" spans="1:72" x14ac:dyDescent="0.2">
      <c r="A815" t="s">
        <v>72</v>
      </c>
      <c r="B815" t="s">
        <v>5939</v>
      </c>
      <c r="C815" t="s">
        <v>74</v>
      </c>
      <c r="D815" t="s">
        <v>74</v>
      </c>
      <c r="E815" t="s">
        <v>74</v>
      </c>
      <c r="F815" t="s">
        <v>5939</v>
      </c>
      <c r="G815" t="s">
        <v>74</v>
      </c>
      <c r="H815" t="s">
        <v>74</v>
      </c>
      <c r="I815" t="s">
        <v>5940</v>
      </c>
      <c r="J815" t="s">
        <v>423</v>
      </c>
      <c r="K815" t="s">
        <v>74</v>
      </c>
      <c r="L815" t="s">
        <v>74</v>
      </c>
      <c r="M815" t="s">
        <v>74</v>
      </c>
      <c r="N815" t="s">
        <v>74</v>
      </c>
      <c r="O815" t="s">
        <v>74</v>
      </c>
      <c r="P815" t="s">
        <v>74</v>
      </c>
      <c r="Q815" t="s">
        <v>74</v>
      </c>
      <c r="R815" t="s">
        <v>74</v>
      </c>
      <c r="S815" t="s">
        <v>74</v>
      </c>
      <c r="T815" t="s">
        <v>74</v>
      </c>
      <c r="U815" t="s">
        <v>74</v>
      </c>
      <c r="V815" t="s">
        <v>74</v>
      </c>
      <c r="W815" t="s">
        <v>74</v>
      </c>
      <c r="X815" t="s">
        <v>74</v>
      </c>
      <c r="Y815" t="s">
        <v>74</v>
      </c>
      <c r="Z815" t="s">
        <v>74</v>
      </c>
      <c r="AA815" t="s">
        <v>5941</v>
      </c>
      <c r="AB815" t="s">
        <v>5942</v>
      </c>
      <c r="AC815" t="s">
        <v>74</v>
      </c>
      <c r="AD815" t="s">
        <v>74</v>
      </c>
      <c r="AE815" t="s">
        <v>74</v>
      </c>
      <c r="AF815" t="s">
        <v>74</v>
      </c>
      <c r="AG815" t="s">
        <v>74</v>
      </c>
      <c r="AH815" t="s">
        <v>74</v>
      </c>
      <c r="AI815" t="s">
        <v>74</v>
      </c>
      <c r="AJ815" t="s">
        <v>74</v>
      </c>
      <c r="AK815" t="s">
        <v>74</v>
      </c>
      <c r="AL815" t="s">
        <v>74</v>
      </c>
      <c r="AM815" t="s">
        <v>74</v>
      </c>
      <c r="AN815" t="s">
        <v>74</v>
      </c>
      <c r="AO815" t="s">
        <v>425</v>
      </c>
      <c r="AP815" t="s">
        <v>74</v>
      </c>
      <c r="AQ815" t="s">
        <v>74</v>
      </c>
      <c r="AR815" t="s">
        <v>74</v>
      </c>
      <c r="AS815" t="s">
        <v>74</v>
      </c>
      <c r="AT815" t="s">
        <v>569</v>
      </c>
      <c r="AU815">
        <v>2004</v>
      </c>
      <c r="AV815">
        <v>49</v>
      </c>
      <c r="AW815">
        <v>6</v>
      </c>
      <c r="AX815" t="s">
        <v>74</v>
      </c>
      <c r="AY815" t="s">
        <v>74</v>
      </c>
      <c r="AZ815" t="s">
        <v>74</v>
      </c>
      <c r="BA815" t="s">
        <v>74</v>
      </c>
      <c r="BB815">
        <v>735</v>
      </c>
      <c r="BC815">
        <v>744</v>
      </c>
      <c r="BD815" t="s">
        <v>74</v>
      </c>
      <c r="BE815" t="s">
        <v>5943</v>
      </c>
      <c r="BF815" t="str">
        <f>HYPERLINK("http://dx.doi.org/10.1111/j.1365-2427.2004.01221.x","http://dx.doi.org/10.1111/j.1365-2427.2004.01221.x")</f>
        <v>http://dx.doi.org/10.1111/j.1365-2427.2004.01221.x</v>
      </c>
      <c r="BG815" t="s">
        <v>74</v>
      </c>
      <c r="BH815" t="s">
        <v>74</v>
      </c>
      <c r="BI815" t="s">
        <v>74</v>
      </c>
      <c r="BJ815" t="s">
        <v>74</v>
      </c>
      <c r="BK815" t="s">
        <v>74</v>
      </c>
      <c r="BL815" t="s">
        <v>74</v>
      </c>
      <c r="BM815" t="s">
        <v>74</v>
      </c>
      <c r="BN815" t="s">
        <v>74</v>
      </c>
      <c r="BO815" t="s">
        <v>74</v>
      </c>
      <c r="BP815" t="s">
        <v>74</v>
      </c>
      <c r="BQ815" t="s">
        <v>74</v>
      </c>
      <c r="BR815" t="s">
        <v>74</v>
      </c>
      <c r="BS815" t="s">
        <v>5944</v>
      </c>
      <c r="BT815" t="str">
        <f>HYPERLINK("https%3A%2F%2Fwww.webofscience.com%2Fwos%2Fwoscc%2Ffull-record%2FWOS:000221492000005","View Full Record in Web of Science")</f>
        <v>View Full Record in Web of Science</v>
      </c>
    </row>
    <row r="816" spans="1:72" x14ac:dyDescent="0.2">
      <c r="A816" t="s">
        <v>72</v>
      </c>
      <c r="B816" t="s">
        <v>5945</v>
      </c>
      <c r="C816" t="s">
        <v>74</v>
      </c>
      <c r="D816" t="s">
        <v>74</v>
      </c>
      <c r="E816" t="s">
        <v>74</v>
      </c>
      <c r="F816" t="s">
        <v>5945</v>
      </c>
      <c r="G816" t="s">
        <v>74</v>
      </c>
      <c r="H816" t="s">
        <v>74</v>
      </c>
      <c r="I816" t="s">
        <v>5946</v>
      </c>
      <c r="J816" t="s">
        <v>5947</v>
      </c>
      <c r="K816" t="s">
        <v>74</v>
      </c>
      <c r="L816" t="s">
        <v>74</v>
      </c>
      <c r="M816" t="s">
        <v>74</v>
      </c>
      <c r="N816" t="s">
        <v>74</v>
      </c>
      <c r="O816" t="s">
        <v>74</v>
      </c>
      <c r="P816" t="s">
        <v>74</v>
      </c>
      <c r="Q816" t="s">
        <v>74</v>
      </c>
      <c r="R816" t="s">
        <v>74</v>
      </c>
      <c r="S816" t="s">
        <v>74</v>
      </c>
      <c r="T816" t="s">
        <v>74</v>
      </c>
      <c r="U816" t="s">
        <v>74</v>
      </c>
      <c r="V816" t="s">
        <v>74</v>
      </c>
      <c r="W816" t="s">
        <v>74</v>
      </c>
      <c r="X816" t="s">
        <v>74</v>
      </c>
      <c r="Y816" t="s">
        <v>74</v>
      </c>
      <c r="Z816" t="s">
        <v>74</v>
      </c>
      <c r="AA816" t="s">
        <v>5948</v>
      </c>
      <c r="AB816" t="s">
        <v>5949</v>
      </c>
      <c r="AC816" t="s">
        <v>74</v>
      </c>
      <c r="AD816" t="s">
        <v>74</v>
      </c>
      <c r="AE816" t="s">
        <v>74</v>
      </c>
      <c r="AF816" t="s">
        <v>74</v>
      </c>
      <c r="AG816" t="s">
        <v>74</v>
      </c>
      <c r="AH816" t="s">
        <v>74</v>
      </c>
      <c r="AI816" t="s">
        <v>74</v>
      </c>
      <c r="AJ816" t="s">
        <v>74</v>
      </c>
      <c r="AK816" t="s">
        <v>74</v>
      </c>
      <c r="AL816" t="s">
        <v>74</v>
      </c>
      <c r="AM816" t="s">
        <v>74</v>
      </c>
      <c r="AN816" t="s">
        <v>74</v>
      </c>
      <c r="AO816" t="s">
        <v>5950</v>
      </c>
      <c r="AP816" t="s">
        <v>5951</v>
      </c>
      <c r="AQ816" t="s">
        <v>74</v>
      </c>
      <c r="AR816" t="s">
        <v>74</v>
      </c>
      <c r="AS816" t="s">
        <v>74</v>
      </c>
      <c r="AT816" t="s">
        <v>618</v>
      </c>
      <c r="AU816">
        <v>2004</v>
      </c>
      <c r="AV816">
        <v>303</v>
      </c>
      <c r="AW816">
        <v>1</v>
      </c>
      <c r="AX816" t="s">
        <v>74</v>
      </c>
      <c r="AY816" t="s">
        <v>74</v>
      </c>
      <c r="AZ816" t="s">
        <v>74</v>
      </c>
      <c r="BA816" t="s">
        <v>74</v>
      </c>
      <c r="BB816">
        <v>31</v>
      </c>
      <c r="BC816">
        <v>46</v>
      </c>
      <c r="BD816" t="s">
        <v>74</v>
      </c>
      <c r="BE816" t="s">
        <v>5952</v>
      </c>
      <c r="BF816" t="str">
        <f>HYPERLINK("http://dx.doi.org/10.1016/j.jembe.2003.11.002","http://dx.doi.org/10.1016/j.jembe.2003.11.002")</f>
        <v>http://dx.doi.org/10.1016/j.jembe.2003.11.002</v>
      </c>
      <c r="BG816" t="s">
        <v>74</v>
      </c>
      <c r="BH816" t="s">
        <v>74</v>
      </c>
      <c r="BI816" t="s">
        <v>74</v>
      </c>
      <c r="BJ816" t="s">
        <v>74</v>
      </c>
      <c r="BK816" t="s">
        <v>74</v>
      </c>
      <c r="BL816" t="s">
        <v>74</v>
      </c>
      <c r="BM816" t="s">
        <v>74</v>
      </c>
      <c r="BN816" t="s">
        <v>74</v>
      </c>
      <c r="BO816" t="s">
        <v>74</v>
      </c>
      <c r="BP816" t="s">
        <v>74</v>
      </c>
      <c r="BQ816" t="s">
        <v>74</v>
      </c>
      <c r="BR816" t="s">
        <v>74</v>
      </c>
      <c r="BS816" t="s">
        <v>5953</v>
      </c>
      <c r="BT816" t="str">
        <f>HYPERLINK("https%3A%2F%2Fwww.webofscience.com%2Fwos%2Fwoscc%2Ffull-record%2FWOS:000221482300004","View Full Record in Web of Science")</f>
        <v>View Full Record in Web of Science</v>
      </c>
    </row>
    <row r="817" spans="1:72" x14ac:dyDescent="0.2">
      <c r="A817" t="s">
        <v>72</v>
      </c>
      <c r="B817" t="s">
        <v>5954</v>
      </c>
      <c r="C817" t="s">
        <v>74</v>
      </c>
      <c r="D817" t="s">
        <v>74</v>
      </c>
      <c r="E817" t="s">
        <v>74</v>
      </c>
      <c r="F817" t="s">
        <v>5954</v>
      </c>
      <c r="G817" t="s">
        <v>74</v>
      </c>
      <c r="H817" t="s">
        <v>74</v>
      </c>
      <c r="I817" t="s">
        <v>5955</v>
      </c>
      <c r="J817" t="s">
        <v>106</v>
      </c>
      <c r="K817" t="s">
        <v>74</v>
      </c>
      <c r="L817" t="s">
        <v>74</v>
      </c>
      <c r="M817" t="s">
        <v>74</v>
      </c>
      <c r="N817" t="s">
        <v>74</v>
      </c>
      <c r="O817" t="s">
        <v>74</v>
      </c>
      <c r="P817" t="s">
        <v>74</v>
      </c>
      <c r="Q817" t="s">
        <v>74</v>
      </c>
      <c r="R817" t="s">
        <v>74</v>
      </c>
      <c r="S817" t="s">
        <v>74</v>
      </c>
      <c r="T817" t="s">
        <v>74</v>
      </c>
      <c r="U817" t="s">
        <v>74</v>
      </c>
      <c r="V817" t="s">
        <v>74</v>
      </c>
      <c r="W817" t="s">
        <v>74</v>
      </c>
      <c r="X817" t="s">
        <v>74</v>
      </c>
      <c r="Y817" t="s">
        <v>74</v>
      </c>
      <c r="Z817" t="s">
        <v>74</v>
      </c>
      <c r="AA817" t="s">
        <v>5956</v>
      </c>
      <c r="AB817" t="s">
        <v>5957</v>
      </c>
      <c r="AC817" t="s">
        <v>74</v>
      </c>
      <c r="AD817" t="s">
        <v>74</v>
      </c>
      <c r="AE817" t="s">
        <v>74</v>
      </c>
      <c r="AF817" t="s">
        <v>74</v>
      </c>
      <c r="AG817" t="s">
        <v>74</v>
      </c>
      <c r="AH817" t="s">
        <v>74</v>
      </c>
      <c r="AI817" t="s">
        <v>74</v>
      </c>
      <c r="AJ817" t="s">
        <v>74</v>
      </c>
      <c r="AK817" t="s">
        <v>74</v>
      </c>
      <c r="AL817" t="s">
        <v>74</v>
      </c>
      <c r="AM817" t="s">
        <v>74</v>
      </c>
      <c r="AN817" t="s">
        <v>74</v>
      </c>
      <c r="AO817" t="s">
        <v>107</v>
      </c>
      <c r="AP817" t="s">
        <v>108</v>
      </c>
      <c r="AQ817" t="s">
        <v>74</v>
      </c>
      <c r="AR817" t="s">
        <v>74</v>
      </c>
      <c r="AS817" t="s">
        <v>74</v>
      </c>
      <c r="AT817" t="s">
        <v>575</v>
      </c>
      <c r="AU817">
        <v>2004</v>
      </c>
      <c r="AV817">
        <v>26</v>
      </c>
      <c r="AW817">
        <v>5</v>
      </c>
      <c r="AX817" t="s">
        <v>74</v>
      </c>
      <c r="AY817" t="s">
        <v>74</v>
      </c>
      <c r="AZ817" t="s">
        <v>74</v>
      </c>
      <c r="BA817" t="s">
        <v>74</v>
      </c>
      <c r="BB817">
        <v>563</v>
      </c>
      <c r="BC817">
        <v>569</v>
      </c>
      <c r="BD817" t="s">
        <v>74</v>
      </c>
      <c r="BE817" t="s">
        <v>5958</v>
      </c>
      <c r="BF817" t="str">
        <f>HYPERLINK("http://dx.doi.org/10.1093/plankt/fbh053","http://dx.doi.org/10.1093/plankt/fbh053")</f>
        <v>http://dx.doi.org/10.1093/plankt/fbh053</v>
      </c>
      <c r="BG817" t="s">
        <v>74</v>
      </c>
      <c r="BH817" t="s">
        <v>74</v>
      </c>
      <c r="BI817" t="s">
        <v>74</v>
      </c>
      <c r="BJ817" t="s">
        <v>74</v>
      </c>
      <c r="BK817" t="s">
        <v>74</v>
      </c>
      <c r="BL817" t="s">
        <v>74</v>
      </c>
      <c r="BM817" t="s">
        <v>74</v>
      </c>
      <c r="BN817" t="s">
        <v>74</v>
      </c>
      <c r="BO817" t="s">
        <v>74</v>
      </c>
      <c r="BP817" t="s">
        <v>74</v>
      </c>
      <c r="BQ817" t="s">
        <v>74</v>
      </c>
      <c r="BR817" t="s">
        <v>74</v>
      </c>
      <c r="BS817" t="s">
        <v>5959</v>
      </c>
      <c r="BT817" t="str">
        <f>HYPERLINK("https%3A%2F%2Fwww.webofscience.com%2Fwos%2Fwoscc%2Ffull-record%2FWOS:000221296000006","View Full Record in Web of Science")</f>
        <v>View Full Record in Web of Science</v>
      </c>
    </row>
    <row r="818" spans="1:72" x14ac:dyDescent="0.2">
      <c r="A818" t="s">
        <v>72</v>
      </c>
      <c r="B818" t="s">
        <v>5960</v>
      </c>
      <c r="C818" t="s">
        <v>74</v>
      </c>
      <c r="D818" t="s">
        <v>74</v>
      </c>
      <c r="E818" t="s">
        <v>74</v>
      </c>
      <c r="F818" t="s">
        <v>5960</v>
      </c>
      <c r="G818" t="s">
        <v>74</v>
      </c>
      <c r="H818" t="s">
        <v>74</v>
      </c>
      <c r="I818" t="s">
        <v>5961</v>
      </c>
      <c r="J818" t="s">
        <v>124</v>
      </c>
      <c r="K818" t="s">
        <v>74</v>
      </c>
      <c r="L818" t="s">
        <v>74</v>
      </c>
      <c r="M818" t="s">
        <v>74</v>
      </c>
      <c r="N818" t="s">
        <v>74</v>
      </c>
      <c r="O818" t="s">
        <v>5962</v>
      </c>
      <c r="P818" t="s">
        <v>5963</v>
      </c>
      <c r="Q818" t="s">
        <v>5964</v>
      </c>
      <c r="R818" t="s">
        <v>74</v>
      </c>
      <c r="S818" t="s">
        <v>74</v>
      </c>
      <c r="T818" t="s">
        <v>74</v>
      </c>
      <c r="U818" t="s">
        <v>74</v>
      </c>
      <c r="V818" t="s">
        <v>74</v>
      </c>
      <c r="W818" t="s">
        <v>74</v>
      </c>
      <c r="X818" t="s">
        <v>74</v>
      </c>
      <c r="Y818" t="s">
        <v>74</v>
      </c>
      <c r="Z818" t="s">
        <v>74</v>
      </c>
      <c r="AA818" t="s">
        <v>5965</v>
      </c>
      <c r="AB818" t="s">
        <v>5966</v>
      </c>
      <c r="AC818" t="s">
        <v>74</v>
      </c>
      <c r="AD818" t="s">
        <v>74</v>
      </c>
      <c r="AE818" t="s">
        <v>74</v>
      </c>
      <c r="AF818" t="s">
        <v>74</v>
      </c>
      <c r="AG818" t="s">
        <v>74</v>
      </c>
      <c r="AH818" t="s">
        <v>74</v>
      </c>
      <c r="AI818" t="s">
        <v>74</v>
      </c>
      <c r="AJ818" t="s">
        <v>74</v>
      </c>
      <c r="AK818" t="s">
        <v>74</v>
      </c>
      <c r="AL818" t="s">
        <v>74</v>
      </c>
      <c r="AM818" t="s">
        <v>74</v>
      </c>
      <c r="AN818" t="s">
        <v>74</v>
      </c>
      <c r="AO818" t="s">
        <v>127</v>
      </c>
      <c r="AP818" t="s">
        <v>128</v>
      </c>
      <c r="AQ818" t="s">
        <v>74</v>
      </c>
      <c r="AR818" t="s">
        <v>74</v>
      </c>
      <c r="AS818" t="s">
        <v>74</v>
      </c>
      <c r="AT818" t="s">
        <v>276</v>
      </c>
      <c r="AU818">
        <v>2004</v>
      </c>
      <c r="AV818">
        <v>514</v>
      </c>
      <c r="AW818" t="s">
        <v>5469</v>
      </c>
      <c r="AX818" t="s">
        <v>74</v>
      </c>
      <c r="AY818" t="s">
        <v>74</v>
      </c>
      <c r="AZ818" t="s">
        <v>74</v>
      </c>
      <c r="BA818" t="s">
        <v>74</v>
      </c>
      <c r="BB818">
        <v>139</v>
      </c>
      <c r="BC818">
        <v>149</v>
      </c>
      <c r="BD818" t="s">
        <v>74</v>
      </c>
      <c r="BE818" t="s">
        <v>5967</v>
      </c>
      <c r="BF818" t="str">
        <f>HYPERLINK("http://dx.doi.org/10.1023/B:hydr.0000018214.93205.32","http://dx.doi.org/10.1023/B:hydr.0000018214.93205.32")</f>
        <v>http://dx.doi.org/10.1023/B:hydr.0000018214.93205.32</v>
      </c>
      <c r="BG818" t="s">
        <v>74</v>
      </c>
      <c r="BH818" t="s">
        <v>74</v>
      </c>
      <c r="BI818" t="s">
        <v>74</v>
      </c>
      <c r="BJ818" t="s">
        <v>74</v>
      </c>
      <c r="BK818" t="s">
        <v>74</v>
      </c>
      <c r="BL818" t="s">
        <v>74</v>
      </c>
      <c r="BM818" t="s">
        <v>74</v>
      </c>
      <c r="BN818" t="s">
        <v>74</v>
      </c>
      <c r="BO818" t="s">
        <v>74</v>
      </c>
      <c r="BP818" t="s">
        <v>74</v>
      </c>
      <c r="BQ818" t="s">
        <v>74</v>
      </c>
      <c r="BR818" t="s">
        <v>74</v>
      </c>
      <c r="BS818" t="s">
        <v>5968</v>
      </c>
      <c r="BT818" t="str">
        <f>HYPERLINK("https%3A%2F%2Fwww.webofscience.com%2Fwos%2Fwoscc%2Ffull-record%2FWOS:000220784400014","View Full Record in Web of Science")</f>
        <v>View Full Record in Web of Science</v>
      </c>
    </row>
    <row r="819" spans="1:72" x14ac:dyDescent="0.2">
      <c r="A819" t="s">
        <v>72</v>
      </c>
      <c r="B819" t="s">
        <v>5969</v>
      </c>
      <c r="C819" t="s">
        <v>74</v>
      </c>
      <c r="D819" t="s">
        <v>74</v>
      </c>
      <c r="E819" t="s">
        <v>74</v>
      </c>
      <c r="F819" t="s">
        <v>5969</v>
      </c>
      <c r="G819" t="s">
        <v>74</v>
      </c>
      <c r="H819" t="s">
        <v>74</v>
      </c>
      <c r="I819" t="s">
        <v>5970</v>
      </c>
      <c r="J819" t="s">
        <v>423</v>
      </c>
      <c r="K819" t="s">
        <v>74</v>
      </c>
      <c r="L819" t="s">
        <v>74</v>
      </c>
      <c r="M819" t="s">
        <v>74</v>
      </c>
      <c r="N819" t="s">
        <v>74</v>
      </c>
      <c r="O819" t="s">
        <v>74</v>
      </c>
      <c r="P819" t="s">
        <v>74</v>
      </c>
      <c r="Q819" t="s">
        <v>74</v>
      </c>
      <c r="R819" t="s">
        <v>74</v>
      </c>
      <c r="S819" t="s">
        <v>74</v>
      </c>
      <c r="T819" t="s">
        <v>74</v>
      </c>
      <c r="U819" t="s">
        <v>74</v>
      </c>
      <c r="V819" t="s">
        <v>74</v>
      </c>
      <c r="W819" t="s">
        <v>74</v>
      </c>
      <c r="X819" t="s">
        <v>74</v>
      </c>
      <c r="Y819" t="s">
        <v>74</v>
      </c>
      <c r="Z819" t="s">
        <v>74</v>
      </c>
      <c r="AA819" t="s">
        <v>74</v>
      </c>
      <c r="AB819" t="s">
        <v>5971</v>
      </c>
      <c r="AC819" t="s">
        <v>74</v>
      </c>
      <c r="AD819" t="s">
        <v>74</v>
      </c>
      <c r="AE819" t="s">
        <v>74</v>
      </c>
      <c r="AF819" t="s">
        <v>74</v>
      </c>
      <c r="AG819" t="s">
        <v>74</v>
      </c>
      <c r="AH819" t="s">
        <v>74</v>
      </c>
      <c r="AI819" t="s">
        <v>74</v>
      </c>
      <c r="AJ819" t="s">
        <v>74</v>
      </c>
      <c r="AK819" t="s">
        <v>74</v>
      </c>
      <c r="AL819" t="s">
        <v>74</v>
      </c>
      <c r="AM819" t="s">
        <v>74</v>
      </c>
      <c r="AN819" t="s">
        <v>74</v>
      </c>
      <c r="AO819" t="s">
        <v>425</v>
      </c>
      <c r="AP819" t="s">
        <v>426</v>
      </c>
      <c r="AQ819" t="s">
        <v>74</v>
      </c>
      <c r="AR819" t="s">
        <v>74</v>
      </c>
      <c r="AS819" t="s">
        <v>74</v>
      </c>
      <c r="AT819" t="s">
        <v>315</v>
      </c>
      <c r="AU819">
        <v>2004</v>
      </c>
      <c r="AV819">
        <v>49</v>
      </c>
      <c r="AW819">
        <v>1</v>
      </c>
      <c r="AX819" t="s">
        <v>74</v>
      </c>
      <c r="AY819" t="s">
        <v>74</v>
      </c>
      <c r="AZ819" t="s">
        <v>74</v>
      </c>
      <c r="BA819" t="s">
        <v>74</v>
      </c>
      <c r="BB819">
        <v>87</v>
      </c>
      <c r="BC819">
        <v>97</v>
      </c>
      <c r="BD819" t="s">
        <v>74</v>
      </c>
      <c r="BE819" t="s">
        <v>5972</v>
      </c>
      <c r="BF819" t="str">
        <f>HYPERLINK("http://dx.doi.org/10.1046/j.1365-2426.2003.01171.x","http://dx.doi.org/10.1046/j.1365-2426.2003.01171.x")</f>
        <v>http://dx.doi.org/10.1046/j.1365-2426.2003.01171.x</v>
      </c>
      <c r="BG819" t="s">
        <v>74</v>
      </c>
      <c r="BH819" t="s">
        <v>74</v>
      </c>
      <c r="BI819" t="s">
        <v>74</v>
      </c>
      <c r="BJ819" t="s">
        <v>74</v>
      </c>
      <c r="BK819" t="s">
        <v>74</v>
      </c>
      <c r="BL819" t="s">
        <v>74</v>
      </c>
      <c r="BM819" t="s">
        <v>74</v>
      </c>
      <c r="BN819" t="s">
        <v>74</v>
      </c>
      <c r="BO819" t="s">
        <v>74</v>
      </c>
      <c r="BP819" t="s">
        <v>74</v>
      </c>
      <c r="BQ819" t="s">
        <v>74</v>
      </c>
      <c r="BR819" t="s">
        <v>74</v>
      </c>
      <c r="BS819" t="s">
        <v>5973</v>
      </c>
      <c r="BT819" t="str">
        <f>HYPERLINK("https%3A%2F%2Fwww.webofscience.com%2Fwos%2Fwoscc%2Ffull-record%2FWOS:000187405500008","View Full Record in Web of Science")</f>
        <v>View Full Record in Web of Science</v>
      </c>
    </row>
    <row r="820" spans="1:72" x14ac:dyDescent="0.2">
      <c r="A820" t="s">
        <v>72</v>
      </c>
      <c r="B820" t="s">
        <v>5974</v>
      </c>
      <c r="C820" t="s">
        <v>74</v>
      </c>
      <c r="D820" t="s">
        <v>74</v>
      </c>
      <c r="E820" t="s">
        <v>74</v>
      </c>
      <c r="F820" t="s">
        <v>5974</v>
      </c>
      <c r="G820" t="s">
        <v>74</v>
      </c>
      <c r="H820" t="s">
        <v>74</v>
      </c>
      <c r="I820" t="s">
        <v>5975</v>
      </c>
      <c r="J820" t="s">
        <v>2827</v>
      </c>
      <c r="K820" t="s">
        <v>74</v>
      </c>
      <c r="L820" t="s">
        <v>74</v>
      </c>
      <c r="M820" t="s">
        <v>74</v>
      </c>
      <c r="N820" t="s">
        <v>74</v>
      </c>
      <c r="O820" t="s">
        <v>74</v>
      </c>
      <c r="P820" t="s">
        <v>74</v>
      </c>
      <c r="Q820" t="s">
        <v>74</v>
      </c>
      <c r="R820" t="s">
        <v>74</v>
      </c>
      <c r="S820" t="s">
        <v>74</v>
      </c>
      <c r="T820" t="s">
        <v>74</v>
      </c>
      <c r="U820" t="s">
        <v>74</v>
      </c>
      <c r="V820" t="s">
        <v>74</v>
      </c>
      <c r="W820" t="s">
        <v>74</v>
      </c>
      <c r="X820" t="s">
        <v>74</v>
      </c>
      <c r="Y820" t="s">
        <v>74</v>
      </c>
      <c r="Z820" t="s">
        <v>74</v>
      </c>
      <c r="AA820" t="s">
        <v>7178</v>
      </c>
      <c r="AB820" t="s">
        <v>5976</v>
      </c>
      <c r="AC820" t="s">
        <v>74</v>
      </c>
      <c r="AD820" t="s">
        <v>74</v>
      </c>
      <c r="AE820" t="s">
        <v>74</v>
      </c>
      <c r="AF820" t="s">
        <v>74</v>
      </c>
      <c r="AG820" t="s">
        <v>74</v>
      </c>
      <c r="AH820" t="s">
        <v>74</v>
      </c>
      <c r="AI820" t="s">
        <v>74</v>
      </c>
      <c r="AJ820" t="s">
        <v>74</v>
      </c>
      <c r="AK820" t="s">
        <v>74</v>
      </c>
      <c r="AL820" t="s">
        <v>74</v>
      </c>
      <c r="AM820" t="s">
        <v>74</v>
      </c>
      <c r="AN820" t="s">
        <v>74</v>
      </c>
      <c r="AO820" t="s">
        <v>2828</v>
      </c>
      <c r="AP820" t="s">
        <v>2829</v>
      </c>
      <c r="AQ820" t="s">
        <v>74</v>
      </c>
      <c r="AR820" t="s">
        <v>74</v>
      </c>
      <c r="AS820" t="s">
        <v>74</v>
      </c>
      <c r="AT820" t="s">
        <v>74</v>
      </c>
      <c r="AU820">
        <v>2004</v>
      </c>
      <c r="AV820">
        <v>267</v>
      </c>
      <c r="AW820" t="s">
        <v>74</v>
      </c>
      <c r="AX820" t="s">
        <v>74</v>
      </c>
      <c r="AY820" t="s">
        <v>74</v>
      </c>
      <c r="AZ820" t="s">
        <v>74</v>
      </c>
      <c r="BA820" t="s">
        <v>74</v>
      </c>
      <c r="BB820">
        <v>71</v>
      </c>
      <c r="BC820">
        <v>83</v>
      </c>
      <c r="BD820" t="s">
        <v>74</v>
      </c>
      <c r="BE820" t="s">
        <v>5977</v>
      </c>
      <c r="BF820" t="str">
        <f>HYPERLINK("http://dx.doi.org/10.3354/meps267071","http://dx.doi.org/10.3354/meps267071")</f>
        <v>http://dx.doi.org/10.3354/meps267071</v>
      </c>
      <c r="BG820" t="s">
        <v>74</v>
      </c>
      <c r="BH820" t="s">
        <v>74</v>
      </c>
      <c r="BI820" t="s">
        <v>74</v>
      </c>
      <c r="BJ820" t="s">
        <v>74</v>
      </c>
      <c r="BK820" t="s">
        <v>74</v>
      </c>
      <c r="BL820" t="s">
        <v>74</v>
      </c>
      <c r="BM820" t="s">
        <v>74</v>
      </c>
      <c r="BN820" t="s">
        <v>74</v>
      </c>
      <c r="BO820" t="s">
        <v>74</v>
      </c>
      <c r="BP820" t="s">
        <v>74</v>
      </c>
      <c r="BQ820" t="s">
        <v>74</v>
      </c>
      <c r="BR820" t="s">
        <v>74</v>
      </c>
      <c r="BS820" t="s">
        <v>5978</v>
      </c>
      <c r="BT820" t="str">
        <f>HYPERLINK("https%3A%2F%2Fwww.webofscience.com%2Fwos%2Fwoscc%2Ffull-record%2FWOS:000220562100006","View Full Record in Web of Science")</f>
        <v>View Full Record in Web of Science</v>
      </c>
    </row>
    <row r="821" spans="1:72" x14ac:dyDescent="0.2">
      <c r="A821" t="s">
        <v>72</v>
      </c>
      <c r="B821" t="s">
        <v>5979</v>
      </c>
      <c r="C821" t="s">
        <v>74</v>
      </c>
      <c r="D821" t="s">
        <v>74</v>
      </c>
      <c r="E821" t="s">
        <v>74</v>
      </c>
      <c r="F821" t="s">
        <v>5979</v>
      </c>
      <c r="G821" t="s">
        <v>74</v>
      </c>
      <c r="H821" t="s">
        <v>74</v>
      </c>
      <c r="I821" t="s">
        <v>5980</v>
      </c>
      <c r="J821" t="s">
        <v>2827</v>
      </c>
      <c r="K821" t="s">
        <v>74</v>
      </c>
      <c r="L821" t="s">
        <v>74</v>
      </c>
      <c r="M821" t="s">
        <v>74</v>
      </c>
      <c r="N821" t="s">
        <v>74</v>
      </c>
      <c r="O821" t="s">
        <v>74</v>
      </c>
      <c r="P821" t="s">
        <v>74</v>
      </c>
      <c r="Q821" t="s">
        <v>74</v>
      </c>
      <c r="R821" t="s">
        <v>74</v>
      </c>
      <c r="S821" t="s">
        <v>74</v>
      </c>
      <c r="T821" t="s">
        <v>74</v>
      </c>
      <c r="U821" t="s">
        <v>74</v>
      </c>
      <c r="V821" t="s">
        <v>74</v>
      </c>
      <c r="W821" t="s">
        <v>74</v>
      </c>
      <c r="X821" t="s">
        <v>74</v>
      </c>
      <c r="Y821" t="s">
        <v>74</v>
      </c>
      <c r="Z821" t="s">
        <v>74</v>
      </c>
      <c r="AA821" t="s">
        <v>7179</v>
      </c>
      <c r="AB821" t="s">
        <v>5981</v>
      </c>
      <c r="AC821" t="s">
        <v>74</v>
      </c>
      <c r="AD821" t="s">
        <v>74</v>
      </c>
      <c r="AE821" t="s">
        <v>74</v>
      </c>
      <c r="AF821" t="s">
        <v>74</v>
      </c>
      <c r="AG821" t="s">
        <v>74</v>
      </c>
      <c r="AH821" t="s">
        <v>74</v>
      </c>
      <c r="AI821" t="s">
        <v>74</v>
      </c>
      <c r="AJ821" t="s">
        <v>74</v>
      </c>
      <c r="AK821" t="s">
        <v>74</v>
      </c>
      <c r="AL821" t="s">
        <v>74</v>
      </c>
      <c r="AM821" t="s">
        <v>74</v>
      </c>
      <c r="AN821" t="s">
        <v>74</v>
      </c>
      <c r="AO821" t="s">
        <v>2828</v>
      </c>
      <c r="AP821" t="s">
        <v>2829</v>
      </c>
      <c r="AQ821" t="s">
        <v>74</v>
      </c>
      <c r="AR821" t="s">
        <v>74</v>
      </c>
      <c r="AS821" t="s">
        <v>74</v>
      </c>
      <c r="AT821" t="s">
        <v>74</v>
      </c>
      <c r="AU821">
        <v>2004</v>
      </c>
      <c r="AV821">
        <v>268</v>
      </c>
      <c r="AW821" t="s">
        <v>74</v>
      </c>
      <c r="AX821" t="s">
        <v>74</v>
      </c>
      <c r="AY821" t="s">
        <v>74</v>
      </c>
      <c r="AZ821" t="s">
        <v>74</v>
      </c>
      <c r="BA821" t="s">
        <v>74</v>
      </c>
      <c r="BB821">
        <v>13</v>
      </c>
      <c r="BC821">
        <v>29</v>
      </c>
      <c r="BD821" t="s">
        <v>74</v>
      </c>
      <c r="BE821" t="s">
        <v>5982</v>
      </c>
      <c r="BF821" t="str">
        <f>HYPERLINK("http://dx.doi.org/10.3354/meps268013","http://dx.doi.org/10.3354/meps268013")</f>
        <v>http://dx.doi.org/10.3354/meps268013</v>
      </c>
      <c r="BG821" t="s">
        <v>74</v>
      </c>
      <c r="BH821" t="s">
        <v>74</v>
      </c>
      <c r="BI821" t="s">
        <v>74</v>
      </c>
      <c r="BJ821" t="s">
        <v>74</v>
      </c>
      <c r="BK821" t="s">
        <v>74</v>
      </c>
      <c r="BL821" t="s">
        <v>74</v>
      </c>
      <c r="BM821" t="s">
        <v>74</v>
      </c>
      <c r="BN821" t="s">
        <v>74</v>
      </c>
      <c r="BO821" t="s">
        <v>74</v>
      </c>
      <c r="BP821" t="s">
        <v>74</v>
      </c>
      <c r="BQ821" t="s">
        <v>74</v>
      </c>
      <c r="BR821" t="s">
        <v>74</v>
      </c>
      <c r="BS821" t="s">
        <v>5983</v>
      </c>
      <c r="BT821" t="str">
        <f>HYPERLINK("https%3A%2F%2Fwww.webofscience.com%2Fwos%2Fwoscc%2Ffull-record%2FWOS:000220739000002","View Full Record in Web of Science")</f>
        <v>View Full Record in Web of Science</v>
      </c>
    </row>
    <row r="822" spans="1:72" x14ac:dyDescent="0.2">
      <c r="A822" t="s">
        <v>72</v>
      </c>
      <c r="B822" t="s">
        <v>5984</v>
      </c>
      <c r="C822" t="s">
        <v>74</v>
      </c>
      <c r="D822" t="s">
        <v>74</v>
      </c>
      <c r="E822" t="s">
        <v>74</v>
      </c>
      <c r="F822" t="s">
        <v>5984</v>
      </c>
      <c r="G822" t="s">
        <v>74</v>
      </c>
      <c r="H822" t="s">
        <v>74</v>
      </c>
      <c r="I822" t="s">
        <v>5985</v>
      </c>
      <c r="J822" t="s">
        <v>5986</v>
      </c>
      <c r="K822" t="s">
        <v>74</v>
      </c>
      <c r="L822" t="s">
        <v>74</v>
      </c>
      <c r="M822" t="s">
        <v>74</v>
      </c>
      <c r="N822" t="s">
        <v>74</v>
      </c>
      <c r="O822" t="s">
        <v>74</v>
      </c>
      <c r="P822" t="s">
        <v>74</v>
      </c>
      <c r="Q822" t="s">
        <v>74</v>
      </c>
      <c r="R822" t="s">
        <v>74</v>
      </c>
      <c r="S822" t="s">
        <v>74</v>
      </c>
      <c r="T822" t="s">
        <v>74</v>
      </c>
      <c r="U822" t="s">
        <v>74</v>
      </c>
      <c r="V822" t="s">
        <v>74</v>
      </c>
      <c r="W822" t="s">
        <v>74</v>
      </c>
      <c r="X822" t="s">
        <v>74</v>
      </c>
      <c r="Y822" t="s">
        <v>74</v>
      </c>
      <c r="Z822" t="s">
        <v>74</v>
      </c>
      <c r="AA822" t="s">
        <v>74</v>
      </c>
      <c r="AB822" t="s">
        <v>5987</v>
      </c>
      <c r="AC822" t="s">
        <v>74</v>
      </c>
      <c r="AD822" t="s">
        <v>74</v>
      </c>
      <c r="AE822" t="s">
        <v>74</v>
      </c>
      <c r="AF822" t="s">
        <v>74</v>
      </c>
      <c r="AG822" t="s">
        <v>74</v>
      </c>
      <c r="AH822" t="s">
        <v>74</v>
      </c>
      <c r="AI822" t="s">
        <v>74</v>
      </c>
      <c r="AJ822" t="s">
        <v>74</v>
      </c>
      <c r="AK822" t="s">
        <v>74</v>
      </c>
      <c r="AL822" t="s">
        <v>74</v>
      </c>
      <c r="AM822" t="s">
        <v>74</v>
      </c>
      <c r="AN822" t="s">
        <v>74</v>
      </c>
      <c r="AO822" t="s">
        <v>5988</v>
      </c>
      <c r="AP822" t="s">
        <v>5989</v>
      </c>
      <c r="AQ822" t="s">
        <v>74</v>
      </c>
      <c r="AR822" t="s">
        <v>74</v>
      </c>
      <c r="AS822" t="s">
        <v>74</v>
      </c>
      <c r="AT822" t="s">
        <v>5990</v>
      </c>
      <c r="AU822">
        <v>2003</v>
      </c>
      <c r="AV822">
        <v>40</v>
      </c>
      <c r="AW822">
        <v>4</v>
      </c>
      <c r="AX822" t="s">
        <v>74</v>
      </c>
      <c r="AY822" t="s">
        <v>74</v>
      </c>
      <c r="AZ822" t="s">
        <v>74</v>
      </c>
      <c r="BA822" t="s">
        <v>74</v>
      </c>
      <c r="BB822">
        <v>531</v>
      </c>
      <c r="BC822">
        <v>544</v>
      </c>
      <c r="BD822" t="s">
        <v>74</v>
      </c>
      <c r="BE822" t="s">
        <v>74</v>
      </c>
      <c r="BF822" t="s">
        <v>74</v>
      </c>
      <c r="BG822" t="s">
        <v>74</v>
      </c>
      <c r="BH822" t="s">
        <v>74</v>
      </c>
      <c r="BI822" t="s">
        <v>74</v>
      </c>
      <c r="BJ822" t="s">
        <v>74</v>
      </c>
      <c r="BK822" t="s">
        <v>74</v>
      </c>
      <c r="BL822" t="s">
        <v>74</v>
      </c>
      <c r="BM822" t="s">
        <v>74</v>
      </c>
      <c r="BN822" t="s">
        <v>74</v>
      </c>
      <c r="BO822" t="s">
        <v>74</v>
      </c>
      <c r="BP822" t="s">
        <v>74</v>
      </c>
      <c r="BQ822" t="s">
        <v>74</v>
      </c>
      <c r="BR822" t="s">
        <v>74</v>
      </c>
      <c r="BS822" t="s">
        <v>5991</v>
      </c>
      <c r="BT822" t="str">
        <f>HYPERLINK("https%3A%2F%2Fwww.webofscience.com%2Fwos%2Fwoscc%2Ffull-record%2FWOS:000220070400002","View Full Record in Web of Science")</f>
        <v>View Full Record in Web of Science</v>
      </c>
    </row>
    <row r="823" spans="1:72" x14ac:dyDescent="0.2">
      <c r="A823" t="s">
        <v>72</v>
      </c>
      <c r="B823" t="s">
        <v>5992</v>
      </c>
      <c r="C823" t="s">
        <v>74</v>
      </c>
      <c r="D823" t="s">
        <v>74</v>
      </c>
      <c r="E823" t="s">
        <v>74</v>
      </c>
      <c r="F823" t="s">
        <v>5992</v>
      </c>
      <c r="G823" t="s">
        <v>74</v>
      </c>
      <c r="H823" t="s">
        <v>74</v>
      </c>
      <c r="I823" t="s">
        <v>5993</v>
      </c>
      <c r="J823" t="s">
        <v>360</v>
      </c>
      <c r="K823" t="s">
        <v>74</v>
      </c>
      <c r="L823" t="s">
        <v>74</v>
      </c>
      <c r="M823" t="s">
        <v>74</v>
      </c>
      <c r="N823" t="s">
        <v>74</v>
      </c>
      <c r="O823" t="s">
        <v>74</v>
      </c>
      <c r="P823" t="s">
        <v>74</v>
      </c>
      <c r="Q823" t="s">
        <v>74</v>
      </c>
      <c r="R823" t="s">
        <v>74</v>
      </c>
      <c r="S823" t="s">
        <v>74</v>
      </c>
      <c r="T823" t="s">
        <v>74</v>
      </c>
      <c r="U823" t="s">
        <v>74</v>
      </c>
      <c r="V823" t="s">
        <v>74</v>
      </c>
      <c r="W823" t="s">
        <v>74</v>
      </c>
      <c r="X823" t="s">
        <v>74</v>
      </c>
      <c r="Y823" t="s">
        <v>74</v>
      </c>
      <c r="Z823" t="s">
        <v>74</v>
      </c>
      <c r="AA823" t="s">
        <v>5333</v>
      </c>
      <c r="AB823" t="s">
        <v>5994</v>
      </c>
      <c r="AC823" t="s">
        <v>74</v>
      </c>
      <c r="AD823" t="s">
        <v>74</v>
      </c>
      <c r="AE823" t="s">
        <v>74</v>
      </c>
      <c r="AF823" t="s">
        <v>74</v>
      </c>
      <c r="AG823" t="s">
        <v>74</v>
      </c>
      <c r="AH823" t="s">
        <v>74</v>
      </c>
      <c r="AI823" t="s">
        <v>74</v>
      </c>
      <c r="AJ823" t="s">
        <v>74</v>
      </c>
      <c r="AK823" t="s">
        <v>74</v>
      </c>
      <c r="AL823" t="s">
        <v>74</v>
      </c>
      <c r="AM823" t="s">
        <v>74</v>
      </c>
      <c r="AN823" t="s">
        <v>74</v>
      </c>
      <c r="AO823" t="s">
        <v>361</v>
      </c>
      <c r="AP823" t="s">
        <v>362</v>
      </c>
      <c r="AQ823" t="s">
        <v>74</v>
      </c>
      <c r="AR823" t="s">
        <v>74</v>
      </c>
      <c r="AS823" t="s">
        <v>74</v>
      </c>
      <c r="AT823" t="s">
        <v>257</v>
      </c>
      <c r="AU823">
        <v>2003</v>
      </c>
      <c r="AV823">
        <v>270</v>
      </c>
      <c r="AW823">
        <v>1533</v>
      </c>
      <c r="AX823" t="s">
        <v>74</v>
      </c>
      <c r="AY823" t="s">
        <v>74</v>
      </c>
      <c r="AZ823" t="s">
        <v>74</v>
      </c>
      <c r="BA823" t="s">
        <v>74</v>
      </c>
      <c r="BB823">
        <v>2605</v>
      </c>
      <c r="BC823">
        <v>2611</v>
      </c>
      <c r="BD823" t="s">
        <v>74</v>
      </c>
      <c r="BE823" t="s">
        <v>5995</v>
      </c>
      <c r="BF823" t="str">
        <f>HYPERLINK("http://dx.doi.org/10.1098/rspb.2003.2538","http://dx.doi.org/10.1098/rspb.2003.2538")</f>
        <v>http://dx.doi.org/10.1098/rspb.2003.2538</v>
      </c>
      <c r="BG823" t="s">
        <v>74</v>
      </c>
      <c r="BH823" t="s">
        <v>74</v>
      </c>
      <c r="BI823" t="s">
        <v>74</v>
      </c>
      <c r="BJ823" t="s">
        <v>74</v>
      </c>
      <c r="BK823" t="s">
        <v>74</v>
      </c>
      <c r="BL823" t="s">
        <v>74</v>
      </c>
      <c r="BM823" t="s">
        <v>74</v>
      </c>
      <c r="BN823">
        <v>14728784</v>
      </c>
      <c r="BO823" t="s">
        <v>74</v>
      </c>
      <c r="BP823" t="s">
        <v>74</v>
      </c>
      <c r="BQ823" t="s">
        <v>74</v>
      </c>
      <c r="BR823" t="s">
        <v>74</v>
      </c>
      <c r="BS823" t="s">
        <v>5996</v>
      </c>
      <c r="BT823" t="str">
        <f>HYPERLINK("https%3A%2F%2Fwww.webofscience.com%2Fwos%2Fwoscc%2Ffull-record%2FWOS:000187989900011","View Full Record in Web of Science")</f>
        <v>View Full Record in Web of Science</v>
      </c>
    </row>
    <row r="824" spans="1:72" x14ac:dyDescent="0.2">
      <c r="A824" t="s">
        <v>72</v>
      </c>
      <c r="B824" t="s">
        <v>5997</v>
      </c>
      <c r="C824" t="s">
        <v>74</v>
      </c>
      <c r="D824" t="s">
        <v>74</v>
      </c>
      <c r="E824" t="s">
        <v>74</v>
      </c>
      <c r="F824" t="s">
        <v>5997</v>
      </c>
      <c r="G824" t="s">
        <v>74</v>
      </c>
      <c r="H824" t="s">
        <v>74</v>
      </c>
      <c r="I824" t="s">
        <v>5998</v>
      </c>
      <c r="J824" t="s">
        <v>180</v>
      </c>
      <c r="K824" t="s">
        <v>74</v>
      </c>
      <c r="L824" t="s">
        <v>74</v>
      </c>
      <c r="M824" t="s">
        <v>74</v>
      </c>
      <c r="N824" t="s">
        <v>74</v>
      </c>
      <c r="O824" t="s">
        <v>74</v>
      </c>
      <c r="P824" t="s">
        <v>74</v>
      </c>
      <c r="Q824" t="s">
        <v>74</v>
      </c>
      <c r="R824" t="s">
        <v>74</v>
      </c>
      <c r="S824" t="s">
        <v>74</v>
      </c>
      <c r="T824" t="s">
        <v>74</v>
      </c>
      <c r="U824" t="s">
        <v>74</v>
      </c>
      <c r="V824" t="s">
        <v>74</v>
      </c>
      <c r="W824" t="s">
        <v>74</v>
      </c>
      <c r="X824" t="s">
        <v>74</v>
      </c>
      <c r="Y824" t="s">
        <v>74</v>
      </c>
      <c r="Z824" t="s">
        <v>74</v>
      </c>
      <c r="AA824" t="s">
        <v>74</v>
      </c>
      <c r="AB824" t="s">
        <v>74</v>
      </c>
      <c r="AC824" t="s">
        <v>74</v>
      </c>
      <c r="AD824" t="s">
        <v>74</v>
      </c>
      <c r="AE824" t="s">
        <v>74</v>
      </c>
      <c r="AF824" t="s">
        <v>74</v>
      </c>
      <c r="AG824" t="s">
        <v>74</v>
      </c>
      <c r="AH824" t="s">
        <v>74</v>
      </c>
      <c r="AI824" t="s">
        <v>74</v>
      </c>
      <c r="AJ824" t="s">
        <v>74</v>
      </c>
      <c r="AK824" t="s">
        <v>74</v>
      </c>
      <c r="AL824" t="s">
        <v>74</v>
      </c>
      <c r="AM824" t="s">
        <v>74</v>
      </c>
      <c r="AN824" t="s">
        <v>74</v>
      </c>
      <c r="AO824" t="s">
        <v>182</v>
      </c>
      <c r="AP824" t="s">
        <v>183</v>
      </c>
      <c r="AQ824" t="s">
        <v>74</v>
      </c>
      <c r="AR824" t="s">
        <v>74</v>
      </c>
      <c r="AS824" t="s">
        <v>74</v>
      </c>
      <c r="AT824" t="s">
        <v>82</v>
      </c>
      <c r="AU824">
        <v>2003</v>
      </c>
      <c r="AV824">
        <v>103</v>
      </c>
      <c r="AW824">
        <v>3</v>
      </c>
      <c r="AX824" t="s">
        <v>74</v>
      </c>
      <c r="AY824" t="s">
        <v>74</v>
      </c>
      <c r="AZ824" t="s">
        <v>74</v>
      </c>
      <c r="BA824" t="s">
        <v>74</v>
      </c>
      <c r="BB824">
        <v>603</v>
      </c>
      <c r="BC824">
        <v>617</v>
      </c>
      <c r="BD824" t="s">
        <v>74</v>
      </c>
      <c r="BE824" t="s">
        <v>5999</v>
      </c>
      <c r="BF824" t="str">
        <f>HYPERLINK("http://dx.doi.org/10.1034/j.1600-0706.2003.12660.x","http://dx.doi.org/10.1034/j.1600-0706.2003.12660.x")</f>
        <v>http://dx.doi.org/10.1034/j.1600-0706.2003.12660.x</v>
      </c>
      <c r="BG824" t="s">
        <v>74</v>
      </c>
      <c r="BH824" t="s">
        <v>74</v>
      </c>
      <c r="BI824" t="s">
        <v>74</v>
      </c>
      <c r="BJ824" t="s">
        <v>74</v>
      </c>
      <c r="BK824" t="s">
        <v>74</v>
      </c>
      <c r="BL824" t="s">
        <v>74</v>
      </c>
      <c r="BM824" t="s">
        <v>74</v>
      </c>
      <c r="BN824" t="s">
        <v>74</v>
      </c>
      <c r="BO824" t="s">
        <v>74</v>
      </c>
      <c r="BP824" t="s">
        <v>74</v>
      </c>
      <c r="BQ824" t="s">
        <v>74</v>
      </c>
      <c r="BR824" t="s">
        <v>74</v>
      </c>
      <c r="BS824" t="s">
        <v>6000</v>
      </c>
      <c r="BT824" t="str">
        <f>HYPERLINK("https%3A%2F%2Fwww.webofscience.com%2Fwos%2Fwoscc%2Ffull-record%2FWOS:000186985900016","View Full Record in Web of Science")</f>
        <v>View Full Record in Web of Science</v>
      </c>
    </row>
    <row r="825" spans="1:72" x14ac:dyDescent="0.2">
      <c r="A825" t="s">
        <v>72</v>
      </c>
      <c r="B825" t="s">
        <v>6001</v>
      </c>
      <c r="C825" t="s">
        <v>74</v>
      </c>
      <c r="D825" t="s">
        <v>74</v>
      </c>
      <c r="E825" t="s">
        <v>74</v>
      </c>
      <c r="F825" t="s">
        <v>6001</v>
      </c>
      <c r="G825" t="s">
        <v>74</v>
      </c>
      <c r="H825" t="s">
        <v>74</v>
      </c>
      <c r="I825" t="s">
        <v>6002</v>
      </c>
      <c r="J825" t="s">
        <v>106</v>
      </c>
      <c r="K825" t="s">
        <v>74</v>
      </c>
      <c r="L825" t="s">
        <v>74</v>
      </c>
      <c r="M825" t="s">
        <v>74</v>
      </c>
      <c r="N825" t="s">
        <v>74</v>
      </c>
      <c r="O825" t="s">
        <v>74</v>
      </c>
      <c r="P825" t="s">
        <v>74</v>
      </c>
      <c r="Q825" t="s">
        <v>74</v>
      </c>
      <c r="R825" t="s">
        <v>74</v>
      </c>
      <c r="S825" t="s">
        <v>74</v>
      </c>
      <c r="T825" t="s">
        <v>74</v>
      </c>
      <c r="U825" t="s">
        <v>74</v>
      </c>
      <c r="V825" t="s">
        <v>74</v>
      </c>
      <c r="W825" t="s">
        <v>74</v>
      </c>
      <c r="X825" t="s">
        <v>74</v>
      </c>
      <c r="Y825" t="s">
        <v>74</v>
      </c>
      <c r="Z825" t="s">
        <v>74</v>
      </c>
      <c r="AA825" t="s">
        <v>74</v>
      </c>
      <c r="AB825" t="s">
        <v>6003</v>
      </c>
      <c r="AC825" t="s">
        <v>74</v>
      </c>
      <c r="AD825" t="s">
        <v>74</v>
      </c>
      <c r="AE825" t="s">
        <v>74</v>
      </c>
      <c r="AF825" t="s">
        <v>74</v>
      </c>
      <c r="AG825" t="s">
        <v>74</v>
      </c>
      <c r="AH825" t="s">
        <v>74</v>
      </c>
      <c r="AI825" t="s">
        <v>74</v>
      </c>
      <c r="AJ825" t="s">
        <v>74</v>
      </c>
      <c r="AK825" t="s">
        <v>74</v>
      </c>
      <c r="AL825" t="s">
        <v>74</v>
      </c>
      <c r="AM825" t="s">
        <v>74</v>
      </c>
      <c r="AN825" t="s">
        <v>74</v>
      </c>
      <c r="AO825" t="s">
        <v>107</v>
      </c>
      <c r="AP825" t="s">
        <v>108</v>
      </c>
      <c r="AQ825" t="s">
        <v>74</v>
      </c>
      <c r="AR825" t="s">
        <v>74</v>
      </c>
      <c r="AS825" t="s">
        <v>74</v>
      </c>
      <c r="AT825" t="s">
        <v>82</v>
      </c>
      <c r="AU825">
        <v>2003</v>
      </c>
      <c r="AV825">
        <v>25</v>
      </c>
      <c r="AW825">
        <v>12</v>
      </c>
      <c r="AX825" t="s">
        <v>74</v>
      </c>
      <c r="AY825" t="s">
        <v>74</v>
      </c>
      <c r="AZ825" t="s">
        <v>74</v>
      </c>
      <c r="BA825" t="s">
        <v>74</v>
      </c>
      <c r="BB825">
        <v>1471</v>
      </c>
      <c r="BC825">
        <v>1484</v>
      </c>
      <c r="BD825" t="s">
        <v>74</v>
      </c>
      <c r="BE825" t="s">
        <v>6004</v>
      </c>
      <c r="BF825" t="str">
        <f>HYPERLINK("http://dx.doi.org/10.1093/plankt/fbg103","http://dx.doi.org/10.1093/plankt/fbg103")</f>
        <v>http://dx.doi.org/10.1093/plankt/fbg103</v>
      </c>
      <c r="BG825" t="s">
        <v>74</v>
      </c>
      <c r="BH825" t="s">
        <v>74</v>
      </c>
      <c r="BI825" t="s">
        <v>74</v>
      </c>
      <c r="BJ825" t="s">
        <v>74</v>
      </c>
      <c r="BK825" t="s">
        <v>74</v>
      </c>
      <c r="BL825" t="s">
        <v>74</v>
      </c>
      <c r="BM825" t="s">
        <v>74</v>
      </c>
      <c r="BN825" t="s">
        <v>74</v>
      </c>
      <c r="BO825" t="s">
        <v>74</v>
      </c>
      <c r="BP825" t="s">
        <v>74</v>
      </c>
      <c r="BQ825" t="s">
        <v>74</v>
      </c>
      <c r="BR825" t="s">
        <v>74</v>
      </c>
      <c r="BS825" t="s">
        <v>6005</v>
      </c>
      <c r="BT825" t="str">
        <f>HYPERLINK("https%3A%2F%2Fwww.webofscience.com%2Fwos%2Fwoscc%2Ffull-record%2FWOS:000187232500003","View Full Record in Web of Science")</f>
        <v>View Full Record in Web of Science</v>
      </c>
    </row>
    <row r="826" spans="1:72" x14ac:dyDescent="0.2">
      <c r="A826" t="s">
        <v>72</v>
      </c>
      <c r="B826" t="s">
        <v>6006</v>
      </c>
      <c r="C826" t="s">
        <v>74</v>
      </c>
      <c r="D826" t="s">
        <v>74</v>
      </c>
      <c r="E826" t="s">
        <v>74</v>
      </c>
      <c r="F826" t="s">
        <v>6006</v>
      </c>
      <c r="G826" t="s">
        <v>74</v>
      </c>
      <c r="H826" t="s">
        <v>74</v>
      </c>
      <c r="I826" t="s">
        <v>6007</v>
      </c>
      <c r="J826" t="s">
        <v>124</v>
      </c>
      <c r="K826" t="s">
        <v>74</v>
      </c>
      <c r="L826" t="s">
        <v>74</v>
      </c>
      <c r="M826" t="s">
        <v>74</v>
      </c>
      <c r="N826" t="s">
        <v>74</v>
      </c>
      <c r="O826" t="s">
        <v>6008</v>
      </c>
      <c r="P826" t="s">
        <v>6009</v>
      </c>
      <c r="Q826" t="s">
        <v>6010</v>
      </c>
      <c r="R826" t="s">
        <v>6011</v>
      </c>
      <c r="S826" t="s">
        <v>74</v>
      </c>
      <c r="T826" t="s">
        <v>74</v>
      </c>
      <c r="U826" t="s">
        <v>74</v>
      </c>
      <c r="V826" t="s">
        <v>74</v>
      </c>
      <c r="W826" t="s">
        <v>74</v>
      </c>
      <c r="X826" t="s">
        <v>74</v>
      </c>
      <c r="Y826" t="s">
        <v>74</v>
      </c>
      <c r="Z826" t="s">
        <v>74</v>
      </c>
      <c r="AA826" t="s">
        <v>74</v>
      </c>
      <c r="AB826" t="s">
        <v>74</v>
      </c>
      <c r="AC826" t="s">
        <v>74</v>
      </c>
      <c r="AD826" t="s">
        <v>74</v>
      </c>
      <c r="AE826" t="s">
        <v>74</v>
      </c>
      <c r="AF826" t="s">
        <v>74</v>
      </c>
      <c r="AG826" t="s">
        <v>74</v>
      </c>
      <c r="AH826" t="s">
        <v>74</v>
      </c>
      <c r="AI826" t="s">
        <v>74</v>
      </c>
      <c r="AJ826" t="s">
        <v>74</v>
      </c>
      <c r="AK826" t="s">
        <v>74</v>
      </c>
      <c r="AL826" t="s">
        <v>74</v>
      </c>
      <c r="AM826" t="s">
        <v>74</v>
      </c>
      <c r="AN826" t="s">
        <v>74</v>
      </c>
      <c r="AO826" t="s">
        <v>127</v>
      </c>
      <c r="AP826" t="s">
        <v>128</v>
      </c>
      <c r="AQ826" t="s">
        <v>74</v>
      </c>
      <c r="AR826" t="s">
        <v>74</v>
      </c>
      <c r="AS826" t="s">
        <v>74</v>
      </c>
      <c r="AT826" t="s">
        <v>1015</v>
      </c>
      <c r="AU826">
        <v>2003</v>
      </c>
      <c r="AV826">
        <v>506</v>
      </c>
      <c r="AW826" t="s">
        <v>5469</v>
      </c>
      <c r="AX826" t="s">
        <v>74</v>
      </c>
      <c r="AY826" t="s">
        <v>74</v>
      </c>
      <c r="AZ826" t="s">
        <v>74</v>
      </c>
      <c r="BA826" t="s">
        <v>74</v>
      </c>
      <c r="BB826">
        <v>281</v>
      </c>
      <c r="BC826">
        <v>287</v>
      </c>
      <c r="BD826" t="s">
        <v>74</v>
      </c>
      <c r="BE826" t="s">
        <v>6012</v>
      </c>
      <c r="BF826" t="str">
        <f>HYPERLINK("http://dx.doi.org/10.1023/B:HYDR.0000008565.23626.aa","http://dx.doi.org/10.1023/B:HYDR.0000008565.23626.aa")</f>
        <v>http://dx.doi.org/10.1023/B:HYDR.0000008565.23626.aa</v>
      </c>
      <c r="BG826" t="s">
        <v>74</v>
      </c>
      <c r="BH826" t="s">
        <v>74</v>
      </c>
      <c r="BI826" t="s">
        <v>74</v>
      </c>
      <c r="BJ826" t="s">
        <v>74</v>
      </c>
      <c r="BK826" t="s">
        <v>74</v>
      </c>
      <c r="BL826" t="s">
        <v>74</v>
      </c>
      <c r="BM826" t="s">
        <v>74</v>
      </c>
      <c r="BN826" t="s">
        <v>74</v>
      </c>
      <c r="BO826" t="s">
        <v>74</v>
      </c>
      <c r="BP826" t="s">
        <v>74</v>
      </c>
      <c r="BQ826" t="s">
        <v>74</v>
      </c>
      <c r="BR826" t="s">
        <v>74</v>
      </c>
      <c r="BS826" t="s">
        <v>6013</v>
      </c>
      <c r="BT826" t="str">
        <f>HYPERLINK("https%3A%2F%2Fwww.webofscience.com%2Fwos%2Fwoscc%2Ffull-record%2FWOS:000188455600037","View Full Record in Web of Science")</f>
        <v>View Full Record in Web of Science</v>
      </c>
    </row>
    <row r="827" spans="1:72" x14ac:dyDescent="0.2">
      <c r="A827" t="s">
        <v>72</v>
      </c>
      <c r="B827" t="s">
        <v>6014</v>
      </c>
      <c r="C827" t="s">
        <v>74</v>
      </c>
      <c r="D827" t="s">
        <v>74</v>
      </c>
      <c r="E827" t="s">
        <v>74</v>
      </c>
      <c r="F827" t="s">
        <v>6014</v>
      </c>
      <c r="G827" t="s">
        <v>74</v>
      </c>
      <c r="H827" t="s">
        <v>74</v>
      </c>
      <c r="I827" t="s">
        <v>6015</v>
      </c>
      <c r="J827" t="s">
        <v>4852</v>
      </c>
      <c r="K827" t="s">
        <v>74</v>
      </c>
      <c r="L827" t="s">
        <v>74</v>
      </c>
      <c r="M827" t="s">
        <v>74</v>
      </c>
      <c r="N827" t="s">
        <v>74</v>
      </c>
      <c r="O827" t="s">
        <v>74</v>
      </c>
      <c r="P827" t="s">
        <v>74</v>
      </c>
      <c r="Q827" t="s">
        <v>74</v>
      </c>
      <c r="R827" t="s">
        <v>74</v>
      </c>
      <c r="S827" t="s">
        <v>74</v>
      </c>
      <c r="T827" t="s">
        <v>74</v>
      </c>
      <c r="U827" t="s">
        <v>74</v>
      </c>
      <c r="V827" t="s">
        <v>74</v>
      </c>
      <c r="W827" t="s">
        <v>74</v>
      </c>
      <c r="X827" t="s">
        <v>74</v>
      </c>
      <c r="Y827" t="s">
        <v>74</v>
      </c>
      <c r="Z827" t="s">
        <v>74</v>
      </c>
      <c r="AA827" t="s">
        <v>6016</v>
      </c>
      <c r="AB827" t="s">
        <v>6017</v>
      </c>
      <c r="AC827" t="s">
        <v>74</v>
      </c>
      <c r="AD827" t="s">
        <v>74</v>
      </c>
      <c r="AE827" t="s">
        <v>74</v>
      </c>
      <c r="AF827" t="s">
        <v>74</v>
      </c>
      <c r="AG827" t="s">
        <v>74</v>
      </c>
      <c r="AH827" t="s">
        <v>74</v>
      </c>
      <c r="AI827" t="s">
        <v>74</v>
      </c>
      <c r="AJ827" t="s">
        <v>74</v>
      </c>
      <c r="AK827" t="s">
        <v>74</v>
      </c>
      <c r="AL827" t="s">
        <v>74</v>
      </c>
      <c r="AM827" t="s">
        <v>74</v>
      </c>
      <c r="AN827" t="s">
        <v>74</v>
      </c>
      <c r="AO827" t="s">
        <v>4855</v>
      </c>
      <c r="AP827" t="s">
        <v>74</v>
      </c>
      <c r="AQ827" t="s">
        <v>74</v>
      </c>
      <c r="AR827" t="s">
        <v>74</v>
      </c>
      <c r="AS827" t="s">
        <v>74</v>
      </c>
      <c r="AT827" t="s">
        <v>335</v>
      </c>
      <c r="AU827">
        <v>2003</v>
      </c>
      <c r="AV827">
        <v>68</v>
      </c>
      <c r="AW827">
        <v>3</v>
      </c>
      <c r="AX827" t="s">
        <v>74</v>
      </c>
      <c r="AY827" t="s">
        <v>74</v>
      </c>
      <c r="AZ827" t="s">
        <v>74</v>
      </c>
      <c r="BA827" t="s">
        <v>74</v>
      </c>
      <c r="BB827">
        <v>269</v>
      </c>
      <c r="BC827">
        <v>282</v>
      </c>
      <c r="BD827" t="s">
        <v>74</v>
      </c>
      <c r="BE827" t="s">
        <v>6018</v>
      </c>
      <c r="BF827" t="str">
        <f>HYPERLINK("http://dx.doi.org/10.1023/A:1027384114802","http://dx.doi.org/10.1023/A:1027384114802")</f>
        <v>http://dx.doi.org/10.1023/A:1027384114802</v>
      </c>
      <c r="BG827" t="s">
        <v>74</v>
      </c>
      <c r="BH827" t="s">
        <v>74</v>
      </c>
      <c r="BI827" t="s">
        <v>74</v>
      </c>
      <c r="BJ827" t="s">
        <v>74</v>
      </c>
      <c r="BK827" t="s">
        <v>74</v>
      </c>
      <c r="BL827" t="s">
        <v>74</v>
      </c>
      <c r="BM827" t="s">
        <v>74</v>
      </c>
      <c r="BN827" t="s">
        <v>74</v>
      </c>
      <c r="BO827" t="s">
        <v>74</v>
      </c>
      <c r="BP827" t="s">
        <v>74</v>
      </c>
      <c r="BQ827" t="s">
        <v>74</v>
      </c>
      <c r="BR827" t="s">
        <v>74</v>
      </c>
      <c r="BS827" t="s">
        <v>6019</v>
      </c>
      <c r="BT827" t="str">
        <f>HYPERLINK("https%3A%2F%2Fwww.webofscience.com%2Fwos%2Fwoscc%2Ffull-record%2FWOS:000186334300008","View Full Record in Web of Science")</f>
        <v>View Full Record in Web of Science</v>
      </c>
    </row>
    <row r="828" spans="1:72" x14ac:dyDescent="0.2">
      <c r="A828" t="s">
        <v>72</v>
      </c>
      <c r="B828" t="s">
        <v>6020</v>
      </c>
      <c r="C828" t="s">
        <v>74</v>
      </c>
      <c r="D828" t="s">
        <v>74</v>
      </c>
      <c r="E828" t="s">
        <v>74</v>
      </c>
      <c r="F828" t="s">
        <v>6020</v>
      </c>
      <c r="G828" t="s">
        <v>74</v>
      </c>
      <c r="H828" t="s">
        <v>74</v>
      </c>
      <c r="I828" t="s">
        <v>6021</v>
      </c>
      <c r="J828" t="s">
        <v>6022</v>
      </c>
      <c r="K828" t="s">
        <v>74</v>
      </c>
      <c r="L828" t="s">
        <v>74</v>
      </c>
      <c r="M828" t="s">
        <v>74</v>
      </c>
      <c r="N828" t="s">
        <v>74</v>
      </c>
      <c r="O828" t="s">
        <v>74</v>
      </c>
      <c r="P828" t="s">
        <v>74</v>
      </c>
      <c r="Q828" t="s">
        <v>74</v>
      </c>
      <c r="R828" t="s">
        <v>74</v>
      </c>
      <c r="S828" t="s">
        <v>74</v>
      </c>
      <c r="T828" t="s">
        <v>74</v>
      </c>
      <c r="U828" t="s">
        <v>74</v>
      </c>
      <c r="V828" t="s">
        <v>74</v>
      </c>
      <c r="W828" t="s">
        <v>74</v>
      </c>
      <c r="X828" t="s">
        <v>74</v>
      </c>
      <c r="Y828" t="s">
        <v>74</v>
      </c>
      <c r="Z828" t="s">
        <v>74</v>
      </c>
      <c r="AA828" t="s">
        <v>6023</v>
      </c>
      <c r="AB828" t="s">
        <v>6024</v>
      </c>
      <c r="AC828" t="s">
        <v>74</v>
      </c>
      <c r="AD828" t="s">
        <v>74</v>
      </c>
      <c r="AE828" t="s">
        <v>74</v>
      </c>
      <c r="AF828" t="s">
        <v>74</v>
      </c>
      <c r="AG828" t="s">
        <v>74</v>
      </c>
      <c r="AH828" t="s">
        <v>74</v>
      </c>
      <c r="AI828" t="s">
        <v>74</v>
      </c>
      <c r="AJ828" t="s">
        <v>74</v>
      </c>
      <c r="AK828" t="s">
        <v>74</v>
      </c>
      <c r="AL828" t="s">
        <v>74</v>
      </c>
      <c r="AM828" t="s">
        <v>74</v>
      </c>
      <c r="AN828" t="s">
        <v>74</v>
      </c>
      <c r="AO828" t="s">
        <v>6025</v>
      </c>
      <c r="AP828" t="s">
        <v>6026</v>
      </c>
      <c r="AQ828" t="s">
        <v>74</v>
      </c>
      <c r="AR828" t="s">
        <v>74</v>
      </c>
      <c r="AS828" t="s">
        <v>74</v>
      </c>
      <c r="AT828" t="s">
        <v>406</v>
      </c>
      <c r="AU828">
        <v>2003</v>
      </c>
      <c r="AV828">
        <v>40</v>
      </c>
      <c r="AW828">
        <v>5</v>
      </c>
      <c r="AX828" t="s">
        <v>74</v>
      </c>
      <c r="AY828" t="s">
        <v>74</v>
      </c>
      <c r="AZ828" t="s">
        <v>74</v>
      </c>
      <c r="BA828" t="s">
        <v>74</v>
      </c>
      <c r="BB828">
        <v>782</v>
      </c>
      <c r="BC828">
        <v>792</v>
      </c>
      <c r="BD828" t="s">
        <v>74</v>
      </c>
      <c r="BE828" t="s">
        <v>6027</v>
      </c>
      <c r="BF828" t="str">
        <f>HYPERLINK("http://dx.doi.org/10.1046/j.1365-2664.2003.00839.x","http://dx.doi.org/10.1046/j.1365-2664.2003.00839.x")</f>
        <v>http://dx.doi.org/10.1046/j.1365-2664.2003.00839.x</v>
      </c>
      <c r="BG828" t="s">
        <v>74</v>
      </c>
      <c r="BH828" t="s">
        <v>74</v>
      </c>
      <c r="BI828" t="s">
        <v>74</v>
      </c>
      <c r="BJ828" t="s">
        <v>74</v>
      </c>
      <c r="BK828" t="s">
        <v>74</v>
      </c>
      <c r="BL828" t="s">
        <v>74</v>
      </c>
      <c r="BM828" t="s">
        <v>74</v>
      </c>
      <c r="BN828" t="s">
        <v>74</v>
      </c>
      <c r="BO828" t="s">
        <v>74</v>
      </c>
      <c r="BP828" t="s">
        <v>74</v>
      </c>
      <c r="BQ828" t="s">
        <v>74</v>
      </c>
      <c r="BR828" t="s">
        <v>74</v>
      </c>
      <c r="BS828" t="s">
        <v>6028</v>
      </c>
      <c r="BT828" t="str">
        <f>HYPERLINK("https%3A%2F%2Fwww.webofscience.com%2Fwos%2Fwoscc%2Ffull-record%2FWOS:000185552400002","View Full Record in Web of Science")</f>
        <v>View Full Record in Web of Science</v>
      </c>
    </row>
    <row r="829" spans="1:72" x14ac:dyDescent="0.2">
      <c r="A829" t="s">
        <v>72</v>
      </c>
      <c r="B829" t="s">
        <v>6029</v>
      </c>
      <c r="C829" t="s">
        <v>74</v>
      </c>
      <c r="D829" t="s">
        <v>74</v>
      </c>
      <c r="E829" t="s">
        <v>74</v>
      </c>
      <c r="F829" t="s">
        <v>6029</v>
      </c>
      <c r="G829" t="s">
        <v>74</v>
      </c>
      <c r="H829" t="s">
        <v>74</v>
      </c>
      <c r="I829" t="s">
        <v>6030</v>
      </c>
      <c r="J829" t="s">
        <v>5710</v>
      </c>
      <c r="K829" t="s">
        <v>74</v>
      </c>
      <c r="L829" t="s">
        <v>74</v>
      </c>
      <c r="M829" t="s">
        <v>74</v>
      </c>
      <c r="N829" t="s">
        <v>74</v>
      </c>
      <c r="O829" t="s">
        <v>74</v>
      </c>
      <c r="P829" t="s">
        <v>74</v>
      </c>
      <c r="Q829" t="s">
        <v>74</v>
      </c>
      <c r="R829" t="s">
        <v>74</v>
      </c>
      <c r="S829" t="s">
        <v>74</v>
      </c>
      <c r="T829" t="s">
        <v>74</v>
      </c>
      <c r="U829" t="s">
        <v>74</v>
      </c>
      <c r="V829" t="s">
        <v>74</v>
      </c>
      <c r="W829" t="s">
        <v>74</v>
      </c>
      <c r="X829" t="s">
        <v>74</v>
      </c>
      <c r="Y829" t="s">
        <v>74</v>
      </c>
      <c r="Z829" t="s">
        <v>74</v>
      </c>
      <c r="AA829" t="s">
        <v>6031</v>
      </c>
      <c r="AB829" t="s">
        <v>6032</v>
      </c>
      <c r="AC829" t="s">
        <v>74</v>
      </c>
      <c r="AD829" t="s">
        <v>74</v>
      </c>
      <c r="AE829" t="s">
        <v>74</v>
      </c>
      <c r="AF829" t="s">
        <v>74</v>
      </c>
      <c r="AG829" t="s">
        <v>74</v>
      </c>
      <c r="AH829" t="s">
        <v>74</v>
      </c>
      <c r="AI829" t="s">
        <v>74</v>
      </c>
      <c r="AJ829" t="s">
        <v>74</v>
      </c>
      <c r="AK829" t="s">
        <v>74</v>
      </c>
      <c r="AL829" t="s">
        <v>74</v>
      </c>
      <c r="AM829" t="s">
        <v>74</v>
      </c>
      <c r="AN829" t="s">
        <v>74</v>
      </c>
      <c r="AO829" t="s">
        <v>5711</v>
      </c>
      <c r="AP829" t="s">
        <v>74</v>
      </c>
      <c r="AQ829" t="s">
        <v>74</v>
      </c>
      <c r="AR829" t="s">
        <v>74</v>
      </c>
      <c r="AS829" t="s">
        <v>74</v>
      </c>
      <c r="AT829" t="s">
        <v>451</v>
      </c>
      <c r="AU829">
        <v>2003</v>
      </c>
      <c r="AV829">
        <v>158</v>
      </c>
      <c r="AW829">
        <v>2</v>
      </c>
      <c r="AX829" t="s">
        <v>74</v>
      </c>
      <c r="AY829" t="s">
        <v>74</v>
      </c>
      <c r="AZ829" t="s">
        <v>74</v>
      </c>
      <c r="BA829" t="s">
        <v>74</v>
      </c>
      <c r="BB829">
        <v>197</v>
      </c>
      <c r="BC829">
        <v>213</v>
      </c>
      <c r="BD829" t="s">
        <v>74</v>
      </c>
      <c r="BE829" t="s">
        <v>6033</v>
      </c>
      <c r="BF829" t="str">
        <f>HYPERLINK("http://dx.doi.org/10.1127/0003-9136/2003/0158-0197","http://dx.doi.org/10.1127/0003-9136/2003/0158-0197")</f>
        <v>http://dx.doi.org/10.1127/0003-9136/2003/0158-0197</v>
      </c>
      <c r="BG829" t="s">
        <v>74</v>
      </c>
      <c r="BH829" t="s">
        <v>74</v>
      </c>
      <c r="BI829" t="s">
        <v>74</v>
      </c>
      <c r="BJ829" t="s">
        <v>74</v>
      </c>
      <c r="BK829" t="s">
        <v>74</v>
      </c>
      <c r="BL829" t="s">
        <v>74</v>
      </c>
      <c r="BM829" t="s">
        <v>74</v>
      </c>
      <c r="BN829" t="s">
        <v>74</v>
      </c>
      <c r="BO829" t="s">
        <v>74</v>
      </c>
      <c r="BP829" t="s">
        <v>74</v>
      </c>
      <c r="BQ829" t="s">
        <v>74</v>
      </c>
      <c r="BR829" t="s">
        <v>74</v>
      </c>
      <c r="BS829" t="s">
        <v>6034</v>
      </c>
      <c r="BT829" t="str">
        <f>HYPERLINK("https%3A%2F%2Fwww.webofscience.com%2Fwos%2Fwoscc%2Ffull-record%2FWOS:000186564300004","View Full Record in Web of Science")</f>
        <v>View Full Record in Web of Science</v>
      </c>
    </row>
    <row r="830" spans="1:72" x14ac:dyDescent="0.2">
      <c r="A830" t="s">
        <v>72</v>
      </c>
      <c r="B830" t="s">
        <v>6035</v>
      </c>
      <c r="C830" t="s">
        <v>74</v>
      </c>
      <c r="D830" t="s">
        <v>74</v>
      </c>
      <c r="E830" t="s">
        <v>74</v>
      </c>
      <c r="F830" t="s">
        <v>6035</v>
      </c>
      <c r="G830" t="s">
        <v>74</v>
      </c>
      <c r="H830" t="s">
        <v>74</v>
      </c>
      <c r="I830" t="s">
        <v>6036</v>
      </c>
      <c r="J830" t="s">
        <v>423</v>
      </c>
      <c r="K830" t="s">
        <v>74</v>
      </c>
      <c r="L830" t="s">
        <v>74</v>
      </c>
      <c r="M830" t="s">
        <v>74</v>
      </c>
      <c r="N830" t="s">
        <v>74</v>
      </c>
      <c r="O830" t="s">
        <v>74</v>
      </c>
      <c r="P830" t="s">
        <v>74</v>
      </c>
      <c r="Q830" t="s">
        <v>74</v>
      </c>
      <c r="R830" t="s">
        <v>74</v>
      </c>
      <c r="S830" t="s">
        <v>74</v>
      </c>
      <c r="T830" t="s">
        <v>74</v>
      </c>
      <c r="U830" t="s">
        <v>74</v>
      </c>
      <c r="V830" t="s">
        <v>74</v>
      </c>
      <c r="W830" t="s">
        <v>74</v>
      </c>
      <c r="X830" t="s">
        <v>74</v>
      </c>
      <c r="Y830" t="s">
        <v>74</v>
      </c>
      <c r="Z830" t="s">
        <v>74</v>
      </c>
      <c r="AA830" t="s">
        <v>7180</v>
      </c>
      <c r="AB830" t="s">
        <v>6037</v>
      </c>
      <c r="AC830" t="s">
        <v>74</v>
      </c>
      <c r="AD830" t="s">
        <v>74</v>
      </c>
      <c r="AE830" t="s">
        <v>74</v>
      </c>
      <c r="AF830" t="s">
        <v>74</v>
      </c>
      <c r="AG830" t="s">
        <v>74</v>
      </c>
      <c r="AH830" t="s">
        <v>74</v>
      </c>
      <c r="AI830" t="s">
        <v>74</v>
      </c>
      <c r="AJ830" t="s">
        <v>74</v>
      </c>
      <c r="AK830" t="s">
        <v>74</v>
      </c>
      <c r="AL830" t="s">
        <v>74</v>
      </c>
      <c r="AM830" t="s">
        <v>74</v>
      </c>
      <c r="AN830" t="s">
        <v>74</v>
      </c>
      <c r="AO830" t="s">
        <v>425</v>
      </c>
      <c r="AP830" t="s">
        <v>74</v>
      </c>
      <c r="AQ830" t="s">
        <v>74</v>
      </c>
      <c r="AR830" t="s">
        <v>74</v>
      </c>
      <c r="AS830" t="s">
        <v>74</v>
      </c>
      <c r="AT830" t="s">
        <v>569</v>
      </c>
      <c r="AU830">
        <v>2003</v>
      </c>
      <c r="AV830">
        <v>48</v>
      </c>
      <c r="AW830">
        <v>6</v>
      </c>
      <c r="AX830" t="s">
        <v>74</v>
      </c>
      <c r="AY830" t="s">
        <v>74</v>
      </c>
      <c r="AZ830" t="s">
        <v>74</v>
      </c>
      <c r="BA830" t="s">
        <v>74</v>
      </c>
      <c r="BB830">
        <v>982</v>
      </c>
      <c r="BC830">
        <v>994</v>
      </c>
      <c r="BD830" t="s">
        <v>74</v>
      </c>
      <c r="BE830" t="s">
        <v>6038</v>
      </c>
      <c r="BF830" t="str">
        <f>HYPERLINK("http://dx.doi.org/10.1046/j.1365-2427.2003.01069.x","http://dx.doi.org/10.1046/j.1365-2427.2003.01069.x")</f>
        <v>http://dx.doi.org/10.1046/j.1365-2427.2003.01069.x</v>
      </c>
      <c r="BG830" t="s">
        <v>74</v>
      </c>
      <c r="BH830" t="s">
        <v>74</v>
      </c>
      <c r="BI830" t="s">
        <v>74</v>
      </c>
      <c r="BJ830" t="s">
        <v>74</v>
      </c>
      <c r="BK830" t="s">
        <v>74</v>
      </c>
      <c r="BL830" t="s">
        <v>74</v>
      </c>
      <c r="BM830" t="s">
        <v>74</v>
      </c>
      <c r="BN830" t="s">
        <v>74</v>
      </c>
      <c r="BO830" t="s">
        <v>74</v>
      </c>
      <c r="BP830" t="s">
        <v>74</v>
      </c>
      <c r="BQ830" t="s">
        <v>74</v>
      </c>
      <c r="BR830" t="s">
        <v>74</v>
      </c>
      <c r="BS830" t="s">
        <v>6039</v>
      </c>
      <c r="BT830" t="str">
        <f>HYPERLINK("https%3A%2F%2Fwww.webofscience.com%2Fwos%2Fwoscc%2Ffull-record%2FWOS:000182948500004","View Full Record in Web of Science")</f>
        <v>View Full Record in Web of Science</v>
      </c>
    </row>
    <row r="831" spans="1:72" x14ac:dyDescent="0.2">
      <c r="A831" t="s">
        <v>72</v>
      </c>
      <c r="B831" t="s">
        <v>6040</v>
      </c>
      <c r="C831" t="s">
        <v>74</v>
      </c>
      <c r="D831" t="s">
        <v>74</v>
      </c>
      <c r="E831" t="s">
        <v>74</v>
      </c>
      <c r="F831" t="s">
        <v>6040</v>
      </c>
      <c r="G831" t="s">
        <v>74</v>
      </c>
      <c r="H831" t="s">
        <v>74</v>
      </c>
      <c r="I831" t="s">
        <v>6041</v>
      </c>
      <c r="J831" t="s">
        <v>934</v>
      </c>
      <c r="K831" t="s">
        <v>74</v>
      </c>
      <c r="L831" t="s">
        <v>74</v>
      </c>
      <c r="M831" t="s">
        <v>74</v>
      </c>
      <c r="N831" t="s">
        <v>74</v>
      </c>
      <c r="O831" t="s">
        <v>74</v>
      </c>
      <c r="P831" t="s">
        <v>74</v>
      </c>
      <c r="Q831" t="s">
        <v>74</v>
      </c>
      <c r="R831" t="s">
        <v>74</v>
      </c>
      <c r="S831" t="s">
        <v>74</v>
      </c>
      <c r="T831" t="s">
        <v>74</v>
      </c>
      <c r="U831" t="s">
        <v>74</v>
      </c>
      <c r="V831" t="s">
        <v>74</v>
      </c>
      <c r="W831" t="s">
        <v>74</v>
      </c>
      <c r="X831" t="s">
        <v>74</v>
      </c>
      <c r="Y831" t="s">
        <v>74</v>
      </c>
      <c r="Z831" t="s">
        <v>74</v>
      </c>
      <c r="AA831" t="s">
        <v>6042</v>
      </c>
      <c r="AB831" t="s">
        <v>6043</v>
      </c>
      <c r="AC831" t="s">
        <v>74</v>
      </c>
      <c r="AD831" t="s">
        <v>74</v>
      </c>
      <c r="AE831" t="s">
        <v>74</v>
      </c>
      <c r="AF831" t="s">
        <v>74</v>
      </c>
      <c r="AG831" t="s">
        <v>74</v>
      </c>
      <c r="AH831" t="s">
        <v>74</v>
      </c>
      <c r="AI831" t="s">
        <v>74</v>
      </c>
      <c r="AJ831" t="s">
        <v>74</v>
      </c>
      <c r="AK831" t="s">
        <v>74</v>
      </c>
      <c r="AL831" t="s">
        <v>74</v>
      </c>
      <c r="AM831" t="s">
        <v>74</v>
      </c>
      <c r="AN831" t="s">
        <v>74</v>
      </c>
      <c r="AO831" t="s">
        <v>936</v>
      </c>
      <c r="AP831" t="s">
        <v>937</v>
      </c>
      <c r="AQ831" t="s">
        <v>74</v>
      </c>
      <c r="AR831" t="s">
        <v>74</v>
      </c>
      <c r="AS831" t="s">
        <v>74</v>
      </c>
      <c r="AT831" t="s">
        <v>203</v>
      </c>
      <c r="AU831">
        <v>2003</v>
      </c>
      <c r="AV831">
        <v>62</v>
      </c>
      <c r="AW831">
        <v>4</v>
      </c>
      <c r="AX831" t="s">
        <v>74</v>
      </c>
      <c r="AY831" t="s">
        <v>74</v>
      </c>
      <c r="AZ831" t="s">
        <v>74</v>
      </c>
      <c r="BA831" t="s">
        <v>74</v>
      </c>
      <c r="BB831">
        <v>938</v>
      </c>
      <c r="BC831">
        <v>954</v>
      </c>
      <c r="BD831" t="s">
        <v>74</v>
      </c>
      <c r="BE831" t="s">
        <v>6044</v>
      </c>
      <c r="BF831" t="str">
        <f>HYPERLINK("http://dx.doi.org/10.1046/j.1095-8649.2003.00090.x","http://dx.doi.org/10.1046/j.1095-8649.2003.00090.x")</f>
        <v>http://dx.doi.org/10.1046/j.1095-8649.2003.00090.x</v>
      </c>
      <c r="BG831" t="s">
        <v>74</v>
      </c>
      <c r="BH831" t="s">
        <v>74</v>
      </c>
      <c r="BI831" t="s">
        <v>74</v>
      </c>
      <c r="BJ831" t="s">
        <v>74</v>
      </c>
      <c r="BK831" t="s">
        <v>74</v>
      </c>
      <c r="BL831" t="s">
        <v>74</v>
      </c>
      <c r="BM831" t="s">
        <v>74</v>
      </c>
      <c r="BN831" t="s">
        <v>74</v>
      </c>
      <c r="BO831" t="s">
        <v>74</v>
      </c>
      <c r="BP831" t="s">
        <v>74</v>
      </c>
      <c r="BQ831" t="s">
        <v>74</v>
      </c>
      <c r="BR831" t="s">
        <v>74</v>
      </c>
      <c r="BS831" t="s">
        <v>6045</v>
      </c>
      <c r="BT831" t="str">
        <f>HYPERLINK("https%3A%2F%2Fwww.webofscience.com%2Fwos%2Fwoscc%2Ffull-record%2FWOS:000185632100016","View Full Record in Web of Science")</f>
        <v>View Full Record in Web of Science</v>
      </c>
    </row>
    <row r="832" spans="1:72" x14ac:dyDescent="0.2">
      <c r="A832" t="s">
        <v>72</v>
      </c>
      <c r="B832" t="s">
        <v>6046</v>
      </c>
      <c r="C832" t="s">
        <v>74</v>
      </c>
      <c r="D832" t="s">
        <v>74</v>
      </c>
      <c r="E832" t="s">
        <v>74</v>
      </c>
      <c r="F832" t="s">
        <v>6046</v>
      </c>
      <c r="G832" t="s">
        <v>74</v>
      </c>
      <c r="H832" t="s">
        <v>74</v>
      </c>
      <c r="I832" t="s">
        <v>6047</v>
      </c>
      <c r="J832" t="s">
        <v>1199</v>
      </c>
      <c r="K832" t="s">
        <v>74</v>
      </c>
      <c r="L832" t="s">
        <v>74</v>
      </c>
      <c r="M832" t="s">
        <v>74</v>
      </c>
      <c r="N832" t="s">
        <v>74</v>
      </c>
      <c r="O832" t="s">
        <v>74</v>
      </c>
      <c r="P832" t="s">
        <v>74</v>
      </c>
      <c r="Q832" t="s">
        <v>74</v>
      </c>
      <c r="R832" t="s">
        <v>74</v>
      </c>
      <c r="S832" t="s">
        <v>74</v>
      </c>
      <c r="T832" t="s">
        <v>74</v>
      </c>
      <c r="U832" t="s">
        <v>74</v>
      </c>
      <c r="V832" t="s">
        <v>74</v>
      </c>
      <c r="W832" t="s">
        <v>74</v>
      </c>
      <c r="X832" t="s">
        <v>74</v>
      </c>
      <c r="Y832" t="s">
        <v>74</v>
      </c>
      <c r="Z832" t="s">
        <v>74</v>
      </c>
      <c r="AA832" t="s">
        <v>74</v>
      </c>
      <c r="AB832" t="s">
        <v>6048</v>
      </c>
      <c r="AC832" t="s">
        <v>74</v>
      </c>
      <c r="AD832" t="s">
        <v>74</v>
      </c>
      <c r="AE832" t="s">
        <v>74</v>
      </c>
      <c r="AF832" t="s">
        <v>74</v>
      </c>
      <c r="AG832" t="s">
        <v>74</v>
      </c>
      <c r="AH832" t="s">
        <v>74</v>
      </c>
      <c r="AI832" t="s">
        <v>74</v>
      </c>
      <c r="AJ832" t="s">
        <v>74</v>
      </c>
      <c r="AK832" t="s">
        <v>74</v>
      </c>
      <c r="AL832" t="s">
        <v>74</v>
      </c>
      <c r="AM832" t="s">
        <v>74</v>
      </c>
      <c r="AN832" t="s">
        <v>74</v>
      </c>
      <c r="AO832" t="s">
        <v>1201</v>
      </c>
      <c r="AP832" t="s">
        <v>1202</v>
      </c>
      <c r="AQ832" t="s">
        <v>74</v>
      </c>
      <c r="AR832" t="s">
        <v>74</v>
      </c>
      <c r="AS832" t="s">
        <v>74</v>
      </c>
      <c r="AT832" t="s">
        <v>157</v>
      </c>
      <c r="AU832">
        <v>2003</v>
      </c>
      <c r="AV832">
        <v>12</v>
      </c>
      <c r="AW832">
        <v>1</v>
      </c>
      <c r="AX832" t="s">
        <v>74</v>
      </c>
      <c r="AY832" t="s">
        <v>74</v>
      </c>
      <c r="AZ832" t="s">
        <v>74</v>
      </c>
      <c r="BA832" t="s">
        <v>74</v>
      </c>
      <c r="BB832">
        <v>1</v>
      </c>
      <c r="BC832">
        <v>59</v>
      </c>
      <c r="BD832" t="s">
        <v>74</v>
      </c>
      <c r="BE832" t="s">
        <v>6049</v>
      </c>
      <c r="BF832" t="str">
        <f>HYPERLINK("http://dx.doi.org/10.1034/j.1600-0633.2003.00010.x","http://dx.doi.org/10.1034/j.1600-0633.2003.00010.x")</f>
        <v>http://dx.doi.org/10.1034/j.1600-0633.2003.00010.x</v>
      </c>
      <c r="BG832" t="s">
        <v>74</v>
      </c>
      <c r="BH832" t="s">
        <v>74</v>
      </c>
      <c r="BI832" t="s">
        <v>74</v>
      </c>
      <c r="BJ832" t="s">
        <v>74</v>
      </c>
      <c r="BK832" t="s">
        <v>74</v>
      </c>
      <c r="BL832" t="s">
        <v>74</v>
      </c>
      <c r="BM832" t="s">
        <v>74</v>
      </c>
      <c r="BN832" t="s">
        <v>74</v>
      </c>
      <c r="BO832" t="s">
        <v>74</v>
      </c>
      <c r="BP832" t="s">
        <v>74</v>
      </c>
      <c r="BQ832" t="s">
        <v>74</v>
      </c>
      <c r="BR832" t="s">
        <v>74</v>
      </c>
      <c r="BS832" t="s">
        <v>6050</v>
      </c>
      <c r="BT832" t="str">
        <f>HYPERLINK("https%3A%2F%2Fwww.webofscience.com%2Fwos%2Fwoscc%2Ffull-record%2FWOS:000180927000001","View Full Record in Web of Science")</f>
        <v>View Full Record in Web of Science</v>
      </c>
    </row>
    <row r="833" spans="1:72" x14ac:dyDescent="0.2">
      <c r="A833" t="s">
        <v>72</v>
      </c>
      <c r="B833" t="s">
        <v>6051</v>
      </c>
      <c r="C833" t="s">
        <v>74</v>
      </c>
      <c r="D833" t="s">
        <v>74</v>
      </c>
      <c r="E833" t="s">
        <v>74</v>
      </c>
      <c r="F833" t="s">
        <v>6051</v>
      </c>
      <c r="G833" t="s">
        <v>74</v>
      </c>
      <c r="H833" t="s">
        <v>74</v>
      </c>
      <c r="I833" t="s">
        <v>6052</v>
      </c>
      <c r="J833" t="s">
        <v>2849</v>
      </c>
      <c r="K833" t="s">
        <v>74</v>
      </c>
      <c r="L833" t="s">
        <v>74</v>
      </c>
      <c r="M833" t="s">
        <v>74</v>
      </c>
      <c r="N833" t="s">
        <v>74</v>
      </c>
      <c r="O833" t="s">
        <v>74</v>
      </c>
      <c r="P833" t="s">
        <v>74</v>
      </c>
      <c r="Q833" t="s">
        <v>74</v>
      </c>
      <c r="R833" t="s">
        <v>74</v>
      </c>
      <c r="S833" t="s">
        <v>74</v>
      </c>
      <c r="T833" t="s">
        <v>74</v>
      </c>
      <c r="U833" t="s">
        <v>74</v>
      </c>
      <c r="V833" t="s">
        <v>74</v>
      </c>
      <c r="W833" t="s">
        <v>74</v>
      </c>
      <c r="X833" t="s">
        <v>74</v>
      </c>
      <c r="Y833" t="s">
        <v>74</v>
      </c>
      <c r="Z833" t="s">
        <v>74</v>
      </c>
      <c r="AA833" t="s">
        <v>74</v>
      </c>
      <c r="AB833" t="s">
        <v>74</v>
      </c>
      <c r="AC833" t="s">
        <v>74</v>
      </c>
      <c r="AD833" t="s">
        <v>74</v>
      </c>
      <c r="AE833" t="s">
        <v>74</v>
      </c>
      <c r="AF833" t="s">
        <v>74</v>
      </c>
      <c r="AG833" t="s">
        <v>74</v>
      </c>
      <c r="AH833" t="s">
        <v>74</v>
      </c>
      <c r="AI833" t="s">
        <v>74</v>
      </c>
      <c r="AJ833" t="s">
        <v>74</v>
      </c>
      <c r="AK833" t="s">
        <v>74</v>
      </c>
      <c r="AL833" t="s">
        <v>74</v>
      </c>
      <c r="AM833" t="s">
        <v>74</v>
      </c>
      <c r="AN833" t="s">
        <v>74</v>
      </c>
      <c r="AO833" t="s">
        <v>74</v>
      </c>
      <c r="AP833" t="s">
        <v>74</v>
      </c>
      <c r="AQ833" t="s">
        <v>74</v>
      </c>
      <c r="AR833" t="s">
        <v>74</v>
      </c>
      <c r="AS833" t="s">
        <v>74</v>
      </c>
      <c r="AT833" t="s">
        <v>74</v>
      </c>
      <c r="AU833">
        <v>2003</v>
      </c>
      <c r="AV833">
        <v>1</v>
      </c>
      <c r="AW833" t="s">
        <v>74</v>
      </c>
      <c r="AX833" t="s">
        <v>74</v>
      </c>
      <c r="AY833" t="s">
        <v>74</v>
      </c>
      <c r="AZ833" t="s">
        <v>74</v>
      </c>
      <c r="BA833" t="s">
        <v>74</v>
      </c>
      <c r="BB833">
        <v>45</v>
      </c>
      <c r="BC833">
        <v>50</v>
      </c>
      <c r="BD833" t="s">
        <v>74</v>
      </c>
      <c r="BE833" t="s">
        <v>6053</v>
      </c>
      <c r="BF833" t="str">
        <f>HYPERLINK("http://dx.doi.org/10.4319/lom.2003.1.45","http://dx.doi.org/10.4319/lom.2003.1.45")</f>
        <v>http://dx.doi.org/10.4319/lom.2003.1.45</v>
      </c>
      <c r="BG833" t="s">
        <v>74</v>
      </c>
      <c r="BH833" t="s">
        <v>74</v>
      </c>
      <c r="BI833" t="s">
        <v>74</v>
      </c>
      <c r="BJ833" t="s">
        <v>74</v>
      </c>
      <c r="BK833" t="s">
        <v>74</v>
      </c>
      <c r="BL833" t="s">
        <v>74</v>
      </c>
      <c r="BM833" t="s">
        <v>74</v>
      </c>
      <c r="BN833" t="s">
        <v>74</v>
      </c>
      <c r="BO833" t="s">
        <v>74</v>
      </c>
      <c r="BP833" t="s">
        <v>74</v>
      </c>
      <c r="BQ833" t="s">
        <v>74</v>
      </c>
      <c r="BR833" t="s">
        <v>74</v>
      </c>
      <c r="BS833" t="s">
        <v>6054</v>
      </c>
      <c r="BT833" t="str">
        <f>HYPERLINK("https%3A%2F%2Fwww.webofscience.com%2Fwos%2Fwoscc%2Ffull-record%2FWOS:000202872600006","View Full Record in Web of Science")</f>
        <v>View Full Record in Web of Science</v>
      </c>
    </row>
    <row r="834" spans="1:72" x14ac:dyDescent="0.2">
      <c r="A834" t="s">
        <v>72</v>
      </c>
      <c r="B834" t="s">
        <v>6055</v>
      </c>
      <c r="C834" t="s">
        <v>74</v>
      </c>
      <c r="D834" t="s">
        <v>74</v>
      </c>
      <c r="E834" t="s">
        <v>74</v>
      </c>
      <c r="F834" t="s">
        <v>6055</v>
      </c>
      <c r="G834" t="s">
        <v>74</v>
      </c>
      <c r="H834" t="s">
        <v>74</v>
      </c>
      <c r="I834" t="s">
        <v>6056</v>
      </c>
      <c r="J834" t="s">
        <v>2827</v>
      </c>
      <c r="K834" t="s">
        <v>74</v>
      </c>
      <c r="L834" t="s">
        <v>74</v>
      </c>
      <c r="M834" t="s">
        <v>74</v>
      </c>
      <c r="N834" t="s">
        <v>74</v>
      </c>
      <c r="O834" t="s">
        <v>74</v>
      </c>
      <c r="P834" t="s">
        <v>74</v>
      </c>
      <c r="Q834" t="s">
        <v>74</v>
      </c>
      <c r="R834" t="s">
        <v>74</v>
      </c>
      <c r="S834" t="s">
        <v>74</v>
      </c>
      <c r="T834" t="s">
        <v>74</v>
      </c>
      <c r="U834" t="s">
        <v>74</v>
      </c>
      <c r="V834" t="s">
        <v>74</v>
      </c>
      <c r="W834" t="s">
        <v>74</v>
      </c>
      <c r="X834" t="s">
        <v>74</v>
      </c>
      <c r="Y834" t="s">
        <v>74</v>
      </c>
      <c r="Z834" t="s">
        <v>74</v>
      </c>
      <c r="AA834" t="s">
        <v>6057</v>
      </c>
      <c r="AB834" t="s">
        <v>6058</v>
      </c>
      <c r="AC834" t="s">
        <v>74</v>
      </c>
      <c r="AD834" t="s">
        <v>74</v>
      </c>
      <c r="AE834" t="s">
        <v>74</v>
      </c>
      <c r="AF834" t="s">
        <v>74</v>
      </c>
      <c r="AG834" t="s">
        <v>74</v>
      </c>
      <c r="AH834" t="s">
        <v>74</v>
      </c>
      <c r="AI834" t="s">
        <v>74</v>
      </c>
      <c r="AJ834" t="s">
        <v>74</v>
      </c>
      <c r="AK834" t="s">
        <v>74</v>
      </c>
      <c r="AL834" t="s">
        <v>74</v>
      </c>
      <c r="AM834" t="s">
        <v>74</v>
      </c>
      <c r="AN834" t="s">
        <v>74</v>
      </c>
      <c r="AO834" t="s">
        <v>2828</v>
      </c>
      <c r="AP834" t="s">
        <v>74</v>
      </c>
      <c r="AQ834" t="s">
        <v>74</v>
      </c>
      <c r="AR834" t="s">
        <v>74</v>
      </c>
      <c r="AS834" t="s">
        <v>74</v>
      </c>
      <c r="AT834" t="s">
        <v>74</v>
      </c>
      <c r="AU834">
        <v>2003</v>
      </c>
      <c r="AV834">
        <v>255</v>
      </c>
      <c r="AW834" t="s">
        <v>74</v>
      </c>
      <c r="AX834" t="s">
        <v>74</v>
      </c>
      <c r="AY834" t="s">
        <v>74</v>
      </c>
      <c r="AZ834" t="s">
        <v>74</v>
      </c>
      <c r="BA834" t="s">
        <v>74</v>
      </c>
      <c r="BB834">
        <v>219</v>
      </c>
      <c r="BC834">
        <v>233</v>
      </c>
      <c r="BD834" t="s">
        <v>74</v>
      </c>
      <c r="BE834" t="s">
        <v>6059</v>
      </c>
      <c r="BF834" t="str">
        <f>HYPERLINK("http://dx.doi.org/10.3354/meps255219","http://dx.doi.org/10.3354/meps255219")</f>
        <v>http://dx.doi.org/10.3354/meps255219</v>
      </c>
      <c r="BG834" t="s">
        <v>74</v>
      </c>
      <c r="BH834" t="s">
        <v>74</v>
      </c>
      <c r="BI834" t="s">
        <v>74</v>
      </c>
      <c r="BJ834" t="s">
        <v>74</v>
      </c>
      <c r="BK834" t="s">
        <v>74</v>
      </c>
      <c r="BL834" t="s">
        <v>74</v>
      </c>
      <c r="BM834" t="s">
        <v>74</v>
      </c>
      <c r="BN834" t="s">
        <v>74</v>
      </c>
      <c r="BO834" t="s">
        <v>74</v>
      </c>
      <c r="BP834" t="s">
        <v>74</v>
      </c>
      <c r="BQ834" t="s">
        <v>74</v>
      </c>
      <c r="BR834" t="s">
        <v>74</v>
      </c>
      <c r="BS834" t="s">
        <v>6060</v>
      </c>
      <c r="BT834" t="str">
        <f>HYPERLINK("https%3A%2F%2Fwww.webofscience.com%2Fwos%2Fwoscc%2Ffull-record%2FWOS:000184268600018","View Full Record in Web of Science")</f>
        <v>View Full Record in Web of Science</v>
      </c>
    </row>
    <row r="835" spans="1:72" x14ac:dyDescent="0.2">
      <c r="A835" t="s">
        <v>72</v>
      </c>
      <c r="B835" t="s">
        <v>6061</v>
      </c>
      <c r="C835" t="s">
        <v>74</v>
      </c>
      <c r="D835" t="s">
        <v>74</v>
      </c>
      <c r="E835" t="s">
        <v>74</v>
      </c>
      <c r="F835" t="s">
        <v>6061</v>
      </c>
      <c r="G835" t="s">
        <v>74</v>
      </c>
      <c r="H835" t="s">
        <v>74</v>
      </c>
      <c r="I835" t="s">
        <v>6062</v>
      </c>
      <c r="J835" t="s">
        <v>106</v>
      </c>
      <c r="K835" t="s">
        <v>74</v>
      </c>
      <c r="L835" t="s">
        <v>74</v>
      </c>
      <c r="M835" t="s">
        <v>74</v>
      </c>
      <c r="N835" t="s">
        <v>74</v>
      </c>
      <c r="O835" t="s">
        <v>74</v>
      </c>
      <c r="P835" t="s">
        <v>74</v>
      </c>
      <c r="Q835" t="s">
        <v>74</v>
      </c>
      <c r="R835" t="s">
        <v>74</v>
      </c>
      <c r="S835" t="s">
        <v>74</v>
      </c>
      <c r="T835" t="s">
        <v>74</v>
      </c>
      <c r="U835" t="s">
        <v>74</v>
      </c>
      <c r="V835" t="s">
        <v>74</v>
      </c>
      <c r="W835" t="s">
        <v>74</v>
      </c>
      <c r="X835" t="s">
        <v>74</v>
      </c>
      <c r="Y835" t="s">
        <v>74</v>
      </c>
      <c r="Z835" t="s">
        <v>74</v>
      </c>
      <c r="AA835" t="s">
        <v>6063</v>
      </c>
      <c r="AB835" t="s">
        <v>6064</v>
      </c>
      <c r="AC835" t="s">
        <v>74</v>
      </c>
      <c r="AD835" t="s">
        <v>74</v>
      </c>
      <c r="AE835" t="s">
        <v>74</v>
      </c>
      <c r="AF835" t="s">
        <v>74</v>
      </c>
      <c r="AG835" t="s">
        <v>74</v>
      </c>
      <c r="AH835" t="s">
        <v>74</v>
      </c>
      <c r="AI835" t="s">
        <v>74</v>
      </c>
      <c r="AJ835" t="s">
        <v>74</v>
      </c>
      <c r="AK835" t="s">
        <v>74</v>
      </c>
      <c r="AL835" t="s">
        <v>74</v>
      </c>
      <c r="AM835" t="s">
        <v>74</v>
      </c>
      <c r="AN835" t="s">
        <v>74</v>
      </c>
      <c r="AO835" t="s">
        <v>107</v>
      </c>
      <c r="AP835" t="s">
        <v>74</v>
      </c>
      <c r="AQ835" t="s">
        <v>74</v>
      </c>
      <c r="AR835" t="s">
        <v>74</v>
      </c>
      <c r="AS835" t="s">
        <v>74</v>
      </c>
      <c r="AT835" t="s">
        <v>335</v>
      </c>
      <c r="AU835">
        <v>2002</v>
      </c>
      <c r="AV835">
        <v>24</v>
      </c>
      <c r="AW835">
        <v>11</v>
      </c>
      <c r="AX835" t="s">
        <v>74</v>
      </c>
      <c r="AY835" t="s">
        <v>74</v>
      </c>
      <c r="AZ835" t="s">
        <v>74</v>
      </c>
      <c r="BA835" t="s">
        <v>74</v>
      </c>
      <c r="BB835">
        <v>1197</v>
      </c>
      <c r="BC835">
        <v>1206</v>
      </c>
      <c r="BD835" t="s">
        <v>74</v>
      </c>
      <c r="BE835" t="s">
        <v>6065</v>
      </c>
      <c r="BF835" t="str">
        <f>HYPERLINK("http://dx.doi.org/10.1093/plankt/24.11.1197","http://dx.doi.org/10.1093/plankt/24.11.1197")</f>
        <v>http://dx.doi.org/10.1093/plankt/24.11.1197</v>
      </c>
      <c r="BG835" t="s">
        <v>74</v>
      </c>
      <c r="BH835" t="s">
        <v>74</v>
      </c>
      <c r="BI835" t="s">
        <v>74</v>
      </c>
      <c r="BJ835" t="s">
        <v>74</v>
      </c>
      <c r="BK835" t="s">
        <v>74</v>
      </c>
      <c r="BL835" t="s">
        <v>74</v>
      </c>
      <c r="BM835" t="s">
        <v>74</v>
      </c>
      <c r="BN835" t="s">
        <v>74</v>
      </c>
      <c r="BO835" t="s">
        <v>74</v>
      </c>
      <c r="BP835" t="s">
        <v>74</v>
      </c>
      <c r="BQ835" t="s">
        <v>74</v>
      </c>
      <c r="BR835" t="s">
        <v>74</v>
      </c>
      <c r="BS835" t="s">
        <v>6066</v>
      </c>
      <c r="BT835" t="str">
        <f>HYPERLINK("https%3A%2F%2Fwww.webofscience.com%2Fwos%2Fwoscc%2Ffull-record%2FWOS:000179038500007","View Full Record in Web of Science")</f>
        <v>View Full Record in Web of Science</v>
      </c>
    </row>
    <row r="836" spans="1:72" x14ac:dyDescent="0.2">
      <c r="A836" t="s">
        <v>72</v>
      </c>
      <c r="B836" t="s">
        <v>6067</v>
      </c>
      <c r="C836" t="s">
        <v>74</v>
      </c>
      <c r="D836" t="s">
        <v>74</v>
      </c>
      <c r="E836" t="s">
        <v>74</v>
      </c>
      <c r="F836" t="s">
        <v>6067</v>
      </c>
      <c r="G836" t="s">
        <v>74</v>
      </c>
      <c r="H836" t="s">
        <v>74</v>
      </c>
      <c r="I836" t="s">
        <v>6068</v>
      </c>
      <c r="J836" t="s">
        <v>5710</v>
      </c>
      <c r="K836" t="s">
        <v>74</v>
      </c>
      <c r="L836" t="s">
        <v>74</v>
      </c>
      <c r="M836" t="s">
        <v>74</v>
      </c>
      <c r="N836" t="s">
        <v>74</v>
      </c>
      <c r="O836" t="s">
        <v>74</v>
      </c>
      <c r="P836" t="s">
        <v>74</v>
      </c>
      <c r="Q836" t="s">
        <v>74</v>
      </c>
      <c r="R836" t="s">
        <v>74</v>
      </c>
      <c r="S836" t="s">
        <v>74</v>
      </c>
      <c r="T836" t="s">
        <v>74</v>
      </c>
      <c r="U836" t="s">
        <v>74</v>
      </c>
      <c r="V836" t="s">
        <v>74</v>
      </c>
      <c r="W836" t="s">
        <v>74</v>
      </c>
      <c r="X836" t="s">
        <v>74</v>
      </c>
      <c r="Y836" t="s">
        <v>74</v>
      </c>
      <c r="Z836" t="s">
        <v>74</v>
      </c>
      <c r="AA836" t="s">
        <v>6069</v>
      </c>
      <c r="AB836" t="s">
        <v>6070</v>
      </c>
      <c r="AC836" t="s">
        <v>74</v>
      </c>
      <c r="AD836" t="s">
        <v>74</v>
      </c>
      <c r="AE836" t="s">
        <v>74</v>
      </c>
      <c r="AF836" t="s">
        <v>74</v>
      </c>
      <c r="AG836" t="s">
        <v>74</v>
      </c>
      <c r="AH836" t="s">
        <v>74</v>
      </c>
      <c r="AI836" t="s">
        <v>74</v>
      </c>
      <c r="AJ836" t="s">
        <v>74</v>
      </c>
      <c r="AK836" t="s">
        <v>74</v>
      </c>
      <c r="AL836" t="s">
        <v>74</v>
      </c>
      <c r="AM836" t="s">
        <v>74</v>
      </c>
      <c r="AN836" t="s">
        <v>74</v>
      </c>
      <c r="AO836" t="s">
        <v>5711</v>
      </c>
      <c r="AP836" t="s">
        <v>74</v>
      </c>
      <c r="AQ836" t="s">
        <v>74</v>
      </c>
      <c r="AR836" t="s">
        <v>74</v>
      </c>
      <c r="AS836" t="s">
        <v>74</v>
      </c>
      <c r="AT836" t="s">
        <v>406</v>
      </c>
      <c r="AU836">
        <v>2002</v>
      </c>
      <c r="AV836">
        <v>155</v>
      </c>
      <c r="AW836">
        <v>3</v>
      </c>
      <c r="AX836" t="s">
        <v>74</v>
      </c>
      <c r="AY836" t="s">
        <v>74</v>
      </c>
      <c r="AZ836" t="s">
        <v>74</v>
      </c>
      <c r="BA836" t="s">
        <v>74</v>
      </c>
      <c r="BB836">
        <v>517</v>
      </c>
      <c r="BC836">
        <v>526</v>
      </c>
      <c r="BD836" t="s">
        <v>74</v>
      </c>
      <c r="BE836" t="s">
        <v>74</v>
      </c>
      <c r="BF836" t="s">
        <v>74</v>
      </c>
      <c r="BG836" t="s">
        <v>74</v>
      </c>
      <c r="BH836" t="s">
        <v>74</v>
      </c>
      <c r="BI836" t="s">
        <v>74</v>
      </c>
      <c r="BJ836" t="s">
        <v>74</v>
      </c>
      <c r="BK836" t="s">
        <v>74</v>
      </c>
      <c r="BL836" t="s">
        <v>74</v>
      </c>
      <c r="BM836" t="s">
        <v>74</v>
      </c>
      <c r="BN836" t="s">
        <v>74</v>
      </c>
      <c r="BO836" t="s">
        <v>74</v>
      </c>
      <c r="BP836" t="s">
        <v>74</v>
      </c>
      <c r="BQ836" t="s">
        <v>74</v>
      </c>
      <c r="BR836" t="s">
        <v>74</v>
      </c>
      <c r="BS836" t="s">
        <v>6071</v>
      </c>
      <c r="BT836" t="str">
        <f>HYPERLINK("https%3A%2F%2Fwww.webofscience.com%2Fwos%2Fwoscc%2Ffull-record%2FWOS:000179384900010","View Full Record in Web of Science")</f>
        <v>View Full Record in Web of Science</v>
      </c>
    </row>
    <row r="837" spans="1:72" x14ac:dyDescent="0.2">
      <c r="A837" t="s">
        <v>72</v>
      </c>
      <c r="B837" t="s">
        <v>6072</v>
      </c>
      <c r="C837" t="s">
        <v>74</v>
      </c>
      <c r="D837" t="s">
        <v>74</v>
      </c>
      <c r="E837" t="s">
        <v>74</v>
      </c>
      <c r="F837" t="s">
        <v>6072</v>
      </c>
      <c r="G837" t="s">
        <v>74</v>
      </c>
      <c r="H837" t="s">
        <v>74</v>
      </c>
      <c r="I837" t="s">
        <v>6073</v>
      </c>
      <c r="J837" t="s">
        <v>3360</v>
      </c>
      <c r="K837" t="s">
        <v>74</v>
      </c>
      <c r="L837" t="s">
        <v>74</v>
      </c>
      <c r="M837" t="s">
        <v>74</v>
      </c>
      <c r="N837" t="s">
        <v>74</v>
      </c>
      <c r="O837" t="s">
        <v>74</v>
      </c>
      <c r="P837" t="s">
        <v>74</v>
      </c>
      <c r="Q837" t="s">
        <v>74</v>
      </c>
      <c r="R837" t="s">
        <v>74</v>
      </c>
      <c r="S837" t="s">
        <v>74</v>
      </c>
      <c r="T837" t="s">
        <v>74</v>
      </c>
      <c r="U837" t="s">
        <v>74</v>
      </c>
      <c r="V837" t="s">
        <v>74</v>
      </c>
      <c r="W837" t="s">
        <v>74</v>
      </c>
      <c r="X837" t="s">
        <v>74</v>
      </c>
      <c r="Y837" t="s">
        <v>74</v>
      </c>
      <c r="Z837" t="s">
        <v>74</v>
      </c>
      <c r="AA837" t="s">
        <v>6074</v>
      </c>
      <c r="AB837" t="s">
        <v>6075</v>
      </c>
      <c r="AC837" t="s">
        <v>74</v>
      </c>
      <c r="AD837" t="s">
        <v>74</v>
      </c>
      <c r="AE837" t="s">
        <v>74</v>
      </c>
      <c r="AF837" t="s">
        <v>74</v>
      </c>
      <c r="AG837" t="s">
        <v>74</v>
      </c>
      <c r="AH837" t="s">
        <v>74</v>
      </c>
      <c r="AI837" t="s">
        <v>74</v>
      </c>
      <c r="AJ837" t="s">
        <v>74</v>
      </c>
      <c r="AK837" t="s">
        <v>74</v>
      </c>
      <c r="AL837" t="s">
        <v>74</v>
      </c>
      <c r="AM837" t="s">
        <v>74</v>
      </c>
      <c r="AN837" t="s">
        <v>74</v>
      </c>
      <c r="AO837" t="s">
        <v>3363</v>
      </c>
      <c r="AP837" t="s">
        <v>3364</v>
      </c>
      <c r="AQ837" t="s">
        <v>74</v>
      </c>
      <c r="AR837" t="s">
        <v>74</v>
      </c>
      <c r="AS837" t="s">
        <v>74</v>
      </c>
      <c r="AT837" t="s">
        <v>406</v>
      </c>
      <c r="AU837">
        <v>2002</v>
      </c>
      <c r="AV837">
        <v>141</v>
      </c>
      <c r="AW837">
        <v>4</v>
      </c>
      <c r="AX837" t="s">
        <v>74</v>
      </c>
      <c r="AY837" t="s">
        <v>74</v>
      </c>
      <c r="AZ837" t="s">
        <v>74</v>
      </c>
      <c r="BA837" t="s">
        <v>74</v>
      </c>
      <c r="BB837">
        <v>707</v>
      </c>
      <c r="BC837">
        <v>724</v>
      </c>
      <c r="BD837" t="s">
        <v>74</v>
      </c>
      <c r="BE837" t="s">
        <v>6076</v>
      </c>
      <c r="BF837" t="str">
        <f>HYPERLINK("http://dx.doi.org/10.1007/s00227-002-0868-8","http://dx.doi.org/10.1007/s00227-002-0868-8")</f>
        <v>http://dx.doi.org/10.1007/s00227-002-0868-8</v>
      </c>
      <c r="BG837" t="s">
        <v>74</v>
      </c>
      <c r="BH837" t="s">
        <v>74</v>
      </c>
      <c r="BI837" t="s">
        <v>74</v>
      </c>
      <c r="BJ837" t="s">
        <v>74</v>
      </c>
      <c r="BK837" t="s">
        <v>74</v>
      </c>
      <c r="BL837" t="s">
        <v>74</v>
      </c>
      <c r="BM837" t="s">
        <v>74</v>
      </c>
      <c r="BN837" t="s">
        <v>74</v>
      </c>
      <c r="BO837" t="s">
        <v>74</v>
      </c>
      <c r="BP837" t="s">
        <v>74</v>
      </c>
      <c r="BQ837" t="s">
        <v>74</v>
      </c>
      <c r="BR837" t="s">
        <v>74</v>
      </c>
      <c r="BS837" t="s">
        <v>6077</v>
      </c>
      <c r="BT837" t="str">
        <f>HYPERLINK("https%3A%2F%2Fwww.webofscience.com%2Fwos%2Fwoscc%2Ffull-record%2FWOS:000179260900011","View Full Record in Web of Science")</f>
        <v>View Full Record in Web of Science</v>
      </c>
    </row>
    <row r="838" spans="1:72" x14ac:dyDescent="0.2">
      <c r="A838" t="s">
        <v>72</v>
      </c>
      <c r="B838" t="s">
        <v>6078</v>
      </c>
      <c r="C838" t="s">
        <v>74</v>
      </c>
      <c r="D838" t="s">
        <v>74</v>
      </c>
      <c r="E838" t="s">
        <v>74</v>
      </c>
      <c r="F838" t="s">
        <v>6078</v>
      </c>
      <c r="G838" t="s">
        <v>74</v>
      </c>
      <c r="H838" t="s">
        <v>74</v>
      </c>
      <c r="I838" t="s">
        <v>6079</v>
      </c>
      <c r="J838" t="s">
        <v>6080</v>
      </c>
      <c r="K838" t="s">
        <v>74</v>
      </c>
      <c r="L838" t="s">
        <v>74</v>
      </c>
      <c r="M838" t="s">
        <v>74</v>
      </c>
      <c r="N838" t="s">
        <v>74</v>
      </c>
      <c r="O838" t="s">
        <v>74</v>
      </c>
      <c r="P838" t="s">
        <v>74</v>
      </c>
      <c r="Q838" t="s">
        <v>74</v>
      </c>
      <c r="R838" t="s">
        <v>74</v>
      </c>
      <c r="S838" t="s">
        <v>74</v>
      </c>
      <c r="T838" t="s">
        <v>74</v>
      </c>
      <c r="U838" t="s">
        <v>74</v>
      </c>
      <c r="V838" t="s">
        <v>74</v>
      </c>
      <c r="W838" t="s">
        <v>74</v>
      </c>
      <c r="X838" t="s">
        <v>74</v>
      </c>
      <c r="Y838" t="s">
        <v>74</v>
      </c>
      <c r="Z838" t="s">
        <v>74</v>
      </c>
      <c r="AA838" t="s">
        <v>6081</v>
      </c>
      <c r="AB838" t="s">
        <v>74</v>
      </c>
      <c r="AC838" t="s">
        <v>74</v>
      </c>
      <c r="AD838" t="s">
        <v>74</v>
      </c>
      <c r="AE838" t="s">
        <v>74</v>
      </c>
      <c r="AF838" t="s">
        <v>74</v>
      </c>
      <c r="AG838" t="s">
        <v>74</v>
      </c>
      <c r="AH838" t="s">
        <v>74</v>
      </c>
      <c r="AI838" t="s">
        <v>74</v>
      </c>
      <c r="AJ838" t="s">
        <v>74</v>
      </c>
      <c r="AK838" t="s">
        <v>74</v>
      </c>
      <c r="AL838" t="s">
        <v>74</v>
      </c>
      <c r="AM838" t="s">
        <v>74</v>
      </c>
      <c r="AN838" t="s">
        <v>74</v>
      </c>
      <c r="AO838" t="s">
        <v>6082</v>
      </c>
      <c r="AP838" t="s">
        <v>74</v>
      </c>
      <c r="AQ838" t="s">
        <v>74</v>
      </c>
      <c r="AR838" t="s">
        <v>74</v>
      </c>
      <c r="AS838" t="s">
        <v>74</v>
      </c>
      <c r="AT838" t="s">
        <v>451</v>
      </c>
      <c r="AU838">
        <v>2002</v>
      </c>
      <c r="AV838">
        <v>153</v>
      </c>
      <c r="AW838">
        <v>3</v>
      </c>
      <c r="AX838" t="s">
        <v>74</v>
      </c>
      <c r="AY838" t="s">
        <v>74</v>
      </c>
      <c r="AZ838" t="s">
        <v>74</v>
      </c>
      <c r="BA838" t="s">
        <v>74</v>
      </c>
      <c r="BB838">
        <v>261</v>
      </c>
      <c r="BC838">
        <v>273</v>
      </c>
      <c r="BD838" t="s">
        <v>74</v>
      </c>
      <c r="BE838" t="s">
        <v>6083</v>
      </c>
      <c r="BF838" t="str">
        <f>HYPERLINK("http://dx.doi.org/10.1078/1434-4610-00103","http://dx.doi.org/10.1078/1434-4610-00103")</f>
        <v>http://dx.doi.org/10.1078/1434-4610-00103</v>
      </c>
      <c r="BG838" t="s">
        <v>74</v>
      </c>
      <c r="BH838" t="s">
        <v>74</v>
      </c>
      <c r="BI838" t="s">
        <v>74</v>
      </c>
      <c r="BJ838" t="s">
        <v>74</v>
      </c>
      <c r="BK838" t="s">
        <v>74</v>
      </c>
      <c r="BL838" t="s">
        <v>74</v>
      </c>
      <c r="BM838" t="s">
        <v>74</v>
      </c>
      <c r="BN838">
        <v>12389815</v>
      </c>
      <c r="BO838" t="s">
        <v>74</v>
      </c>
      <c r="BP838" t="s">
        <v>74</v>
      </c>
      <c r="BQ838" t="s">
        <v>74</v>
      </c>
      <c r="BR838" t="s">
        <v>74</v>
      </c>
      <c r="BS838" t="s">
        <v>6084</v>
      </c>
      <c r="BT838" t="str">
        <f>HYPERLINK("https%3A%2F%2Fwww.webofscience.com%2Fwos%2Fwoscc%2Ffull-record%2FWOS:000178463600006","View Full Record in Web of Science")</f>
        <v>View Full Record in Web of Science</v>
      </c>
    </row>
    <row r="839" spans="1:72" x14ac:dyDescent="0.2">
      <c r="A839" t="s">
        <v>72</v>
      </c>
      <c r="B839" t="s">
        <v>6085</v>
      </c>
      <c r="C839" t="s">
        <v>74</v>
      </c>
      <c r="D839" t="s">
        <v>74</v>
      </c>
      <c r="E839" t="s">
        <v>74</v>
      </c>
      <c r="F839" t="s">
        <v>6086</v>
      </c>
      <c r="G839" t="s">
        <v>74</v>
      </c>
      <c r="H839" t="s">
        <v>74</v>
      </c>
      <c r="I839" t="s">
        <v>6087</v>
      </c>
      <c r="J839" t="s">
        <v>6088</v>
      </c>
      <c r="K839" t="s">
        <v>74</v>
      </c>
      <c r="L839" t="s">
        <v>74</v>
      </c>
      <c r="M839" t="s">
        <v>74</v>
      </c>
      <c r="N839" t="s">
        <v>74</v>
      </c>
      <c r="O839" t="s">
        <v>74</v>
      </c>
      <c r="P839" t="s">
        <v>74</v>
      </c>
      <c r="Q839" t="s">
        <v>74</v>
      </c>
      <c r="R839" t="s">
        <v>74</v>
      </c>
      <c r="S839" t="s">
        <v>74</v>
      </c>
      <c r="T839" t="s">
        <v>74</v>
      </c>
      <c r="U839" t="s">
        <v>74</v>
      </c>
      <c r="V839" t="s">
        <v>74</v>
      </c>
      <c r="W839" t="s">
        <v>74</v>
      </c>
      <c r="X839" t="s">
        <v>74</v>
      </c>
      <c r="Y839" t="s">
        <v>74</v>
      </c>
      <c r="Z839" t="s">
        <v>74</v>
      </c>
      <c r="AA839" t="s">
        <v>6089</v>
      </c>
      <c r="AB839" t="s">
        <v>74</v>
      </c>
      <c r="AC839" t="s">
        <v>74</v>
      </c>
      <c r="AD839" t="s">
        <v>74</v>
      </c>
      <c r="AE839" t="s">
        <v>74</v>
      </c>
      <c r="AF839" t="s">
        <v>74</v>
      </c>
      <c r="AG839" t="s">
        <v>74</v>
      </c>
      <c r="AH839" t="s">
        <v>74</v>
      </c>
      <c r="AI839" t="s">
        <v>74</v>
      </c>
      <c r="AJ839" t="s">
        <v>74</v>
      </c>
      <c r="AK839" t="s">
        <v>74</v>
      </c>
      <c r="AL839" t="s">
        <v>74</v>
      </c>
      <c r="AM839" t="s">
        <v>74</v>
      </c>
      <c r="AN839" t="s">
        <v>74</v>
      </c>
      <c r="AO839" t="s">
        <v>6090</v>
      </c>
      <c r="AP839" t="s">
        <v>6091</v>
      </c>
      <c r="AQ839" t="s">
        <v>74</v>
      </c>
      <c r="AR839" t="s">
        <v>74</v>
      </c>
      <c r="AS839" t="s">
        <v>74</v>
      </c>
      <c r="AT839" t="s">
        <v>6092</v>
      </c>
      <c r="AU839">
        <v>2002</v>
      </c>
      <c r="AV839" t="s">
        <v>74</v>
      </c>
      <c r="AW839" t="s">
        <v>74</v>
      </c>
      <c r="AX839" t="s">
        <v>74</v>
      </c>
      <c r="AY839" t="s">
        <v>74</v>
      </c>
      <c r="AZ839">
        <v>36</v>
      </c>
      <c r="BA839" t="s">
        <v>74</v>
      </c>
      <c r="BB839">
        <v>581</v>
      </c>
      <c r="BC839">
        <v>590</v>
      </c>
      <c r="BD839" t="s">
        <v>74</v>
      </c>
      <c r="BE839" t="s">
        <v>74</v>
      </c>
      <c r="BF839" t="s">
        <v>74</v>
      </c>
      <c r="BG839" t="s">
        <v>74</v>
      </c>
      <c r="BH839" t="s">
        <v>74</v>
      </c>
      <c r="BI839" t="s">
        <v>74</v>
      </c>
      <c r="BJ839" t="s">
        <v>74</v>
      </c>
      <c r="BK839" t="s">
        <v>74</v>
      </c>
      <c r="BL839" t="s">
        <v>74</v>
      </c>
      <c r="BM839" t="s">
        <v>74</v>
      </c>
      <c r="BN839" t="s">
        <v>74</v>
      </c>
      <c r="BO839" t="s">
        <v>74</v>
      </c>
      <c r="BP839" t="s">
        <v>74</v>
      </c>
      <c r="BQ839" t="s">
        <v>74</v>
      </c>
      <c r="BR839" t="s">
        <v>74</v>
      </c>
      <c r="BS839" t="s">
        <v>6093</v>
      </c>
      <c r="BT839" t="str">
        <f>HYPERLINK("https%3A%2F%2Fwww.webofscience.com%2Fwos%2Fwoscc%2Ffull-record%2FWOS:000209071900063","View Full Record in Web of Science")</f>
        <v>View Full Record in Web of Science</v>
      </c>
    </row>
    <row r="840" spans="1:72" x14ac:dyDescent="0.2">
      <c r="A840" t="s">
        <v>72</v>
      </c>
      <c r="B840" t="s">
        <v>6094</v>
      </c>
      <c r="C840" t="s">
        <v>74</v>
      </c>
      <c r="D840" t="s">
        <v>74</v>
      </c>
      <c r="E840" t="s">
        <v>74</v>
      </c>
      <c r="F840" t="s">
        <v>6094</v>
      </c>
      <c r="G840" t="s">
        <v>74</v>
      </c>
      <c r="H840" t="s">
        <v>74</v>
      </c>
      <c r="I840" t="s">
        <v>6095</v>
      </c>
      <c r="J840" t="s">
        <v>227</v>
      </c>
      <c r="K840" t="s">
        <v>74</v>
      </c>
      <c r="L840" t="s">
        <v>74</v>
      </c>
      <c r="M840" t="s">
        <v>74</v>
      </c>
      <c r="N840" t="s">
        <v>74</v>
      </c>
      <c r="O840" t="s">
        <v>74</v>
      </c>
      <c r="P840" t="s">
        <v>74</v>
      </c>
      <c r="Q840" t="s">
        <v>74</v>
      </c>
      <c r="R840" t="s">
        <v>74</v>
      </c>
      <c r="S840" t="s">
        <v>74</v>
      </c>
      <c r="T840" t="s">
        <v>74</v>
      </c>
      <c r="U840" t="s">
        <v>74</v>
      </c>
      <c r="V840" t="s">
        <v>74</v>
      </c>
      <c r="W840" t="s">
        <v>74</v>
      </c>
      <c r="X840" t="s">
        <v>74</v>
      </c>
      <c r="Y840" t="s">
        <v>74</v>
      </c>
      <c r="Z840" t="s">
        <v>74</v>
      </c>
      <c r="AA840" t="s">
        <v>78</v>
      </c>
      <c r="AB840" t="s">
        <v>6096</v>
      </c>
      <c r="AC840" t="s">
        <v>74</v>
      </c>
      <c r="AD840" t="s">
        <v>74</v>
      </c>
      <c r="AE840" t="s">
        <v>74</v>
      </c>
      <c r="AF840" t="s">
        <v>74</v>
      </c>
      <c r="AG840" t="s">
        <v>74</v>
      </c>
      <c r="AH840" t="s">
        <v>74</v>
      </c>
      <c r="AI840" t="s">
        <v>74</v>
      </c>
      <c r="AJ840" t="s">
        <v>74</v>
      </c>
      <c r="AK840" t="s">
        <v>74</v>
      </c>
      <c r="AL840" t="s">
        <v>74</v>
      </c>
      <c r="AM840" t="s">
        <v>74</v>
      </c>
      <c r="AN840" t="s">
        <v>74</v>
      </c>
      <c r="AO840" t="s">
        <v>230</v>
      </c>
      <c r="AP840" t="s">
        <v>231</v>
      </c>
      <c r="AQ840" t="s">
        <v>74</v>
      </c>
      <c r="AR840" t="s">
        <v>74</v>
      </c>
      <c r="AS840" t="s">
        <v>74</v>
      </c>
      <c r="AT840" t="s">
        <v>451</v>
      </c>
      <c r="AU840">
        <v>2002</v>
      </c>
      <c r="AV840">
        <v>47</v>
      </c>
      <c r="AW840">
        <v>5</v>
      </c>
      <c r="AX840" t="s">
        <v>74</v>
      </c>
      <c r="AY840" t="s">
        <v>74</v>
      </c>
      <c r="AZ840" t="s">
        <v>74</v>
      </c>
      <c r="BA840" t="s">
        <v>74</v>
      </c>
      <c r="BB840">
        <v>1447</v>
      </c>
      <c r="BC840">
        <v>1455</v>
      </c>
      <c r="BD840" t="s">
        <v>74</v>
      </c>
      <c r="BE840" t="s">
        <v>6097</v>
      </c>
      <c r="BF840" t="str">
        <f>HYPERLINK("http://dx.doi.org/10.4319/lo.2002.47.5.1447","http://dx.doi.org/10.4319/lo.2002.47.5.1447")</f>
        <v>http://dx.doi.org/10.4319/lo.2002.47.5.1447</v>
      </c>
      <c r="BG840" t="s">
        <v>74</v>
      </c>
      <c r="BH840" t="s">
        <v>74</v>
      </c>
      <c r="BI840" t="s">
        <v>74</v>
      </c>
      <c r="BJ840" t="s">
        <v>74</v>
      </c>
      <c r="BK840" t="s">
        <v>74</v>
      </c>
      <c r="BL840" t="s">
        <v>74</v>
      </c>
      <c r="BM840" t="s">
        <v>74</v>
      </c>
      <c r="BN840" t="s">
        <v>74</v>
      </c>
      <c r="BO840" t="s">
        <v>74</v>
      </c>
      <c r="BP840" t="s">
        <v>74</v>
      </c>
      <c r="BQ840" t="s">
        <v>74</v>
      </c>
      <c r="BR840" t="s">
        <v>74</v>
      </c>
      <c r="BS840" t="s">
        <v>6098</v>
      </c>
      <c r="BT840" t="str">
        <f>HYPERLINK("https%3A%2F%2Fwww.webofscience.com%2Fwos%2Fwoscc%2Ffull-record%2FWOS:000178081800016","View Full Record in Web of Science")</f>
        <v>View Full Record in Web of Science</v>
      </c>
    </row>
    <row r="841" spans="1:72" x14ac:dyDescent="0.2">
      <c r="A841" t="s">
        <v>72</v>
      </c>
      <c r="B841" t="s">
        <v>6099</v>
      </c>
      <c r="C841" t="s">
        <v>74</v>
      </c>
      <c r="D841" t="s">
        <v>74</v>
      </c>
      <c r="E841" t="s">
        <v>74</v>
      </c>
      <c r="F841" t="s">
        <v>6099</v>
      </c>
      <c r="G841" t="s">
        <v>74</v>
      </c>
      <c r="H841" t="s">
        <v>74</v>
      </c>
      <c r="I841" t="s">
        <v>6100</v>
      </c>
      <c r="J841" t="s">
        <v>423</v>
      </c>
      <c r="K841" t="s">
        <v>74</v>
      </c>
      <c r="L841" t="s">
        <v>74</v>
      </c>
      <c r="M841" t="s">
        <v>74</v>
      </c>
      <c r="N841" t="s">
        <v>74</v>
      </c>
      <c r="O841" t="s">
        <v>74</v>
      </c>
      <c r="P841" t="s">
        <v>74</v>
      </c>
      <c r="Q841" t="s">
        <v>74</v>
      </c>
      <c r="R841" t="s">
        <v>74</v>
      </c>
      <c r="S841" t="s">
        <v>74</v>
      </c>
      <c r="T841" t="s">
        <v>74</v>
      </c>
      <c r="U841" t="s">
        <v>74</v>
      </c>
      <c r="V841" t="s">
        <v>74</v>
      </c>
      <c r="W841" t="s">
        <v>74</v>
      </c>
      <c r="X841" t="s">
        <v>74</v>
      </c>
      <c r="Y841" t="s">
        <v>74</v>
      </c>
      <c r="Z841" t="s">
        <v>74</v>
      </c>
      <c r="AA841" t="s">
        <v>6101</v>
      </c>
      <c r="AB841" t="s">
        <v>6102</v>
      </c>
      <c r="AC841" t="s">
        <v>74</v>
      </c>
      <c r="AD841" t="s">
        <v>74</v>
      </c>
      <c r="AE841" t="s">
        <v>74</v>
      </c>
      <c r="AF841" t="s">
        <v>74</v>
      </c>
      <c r="AG841" t="s">
        <v>74</v>
      </c>
      <c r="AH841" t="s">
        <v>74</v>
      </c>
      <c r="AI841" t="s">
        <v>74</v>
      </c>
      <c r="AJ841" t="s">
        <v>74</v>
      </c>
      <c r="AK841" t="s">
        <v>74</v>
      </c>
      <c r="AL841" t="s">
        <v>74</v>
      </c>
      <c r="AM841" t="s">
        <v>74</v>
      </c>
      <c r="AN841" t="s">
        <v>74</v>
      </c>
      <c r="AO841" t="s">
        <v>425</v>
      </c>
      <c r="AP841" t="s">
        <v>426</v>
      </c>
      <c r="AQ841" t="s">
        <v>74</v>
      </c>
      <c r="AR841" t="s">
        <v>74</v>
      </c>
      <c r="AS841" t="s">
        <v>74</v>
      </c>
      <c r="AT841" t="s">
        <v>520</v>
      </c>
      <c r="AU841">
        <v>2002</v>
      </c>
      <c r="AV841">
        <v>47</v>
      </c>
      <c r="AW841">
        <v>8</v>
      </c>
      <c r="AX841" t="s">
        <v>74</v>
      </c>
      <c r="AY841" t="s">
        <v>74</v>
      </c>
      <c r="AZ841" t="s">
        <v>74</v>
      </c>
      <c r="BA841" t="s">
        <v>74</v>
      </c>
      <c r="BB841">
        <v>1557</v>
      </c>
      <c r="BC841">
        <v>1570</v>
      </c>
      <c r="BD841" t="s">
        <v>74</v>
      </c>
      <c r="BE841" t="s">
        <v>6103</v>
      </c>
      <c r="BF841" t="str">
        <f>HYPERLINK("http://dx.doi.org/10.1046/j.1365-2427.2002.00878.x","http://dx.doi.org/10.1046/j.1365-2427.2002.00878.x")</f>
        <v>http://dx.doi.org/10.1046/j.1365-2427.2002.00878.x</v>
      </c>
      <c r="BG841" t="s">
        <v>74</v>
      </c>
      <c r="BH841" t="s">
        <v>74</v>
      </c>
      <c r="BI841" t="s">
        <v>74</v>
      </c>
      <c r="BJ841" t="s">
        <v>74</v>
      </c>
      <c r="BK841" t="s">
        <v>74</v>
      </c>
      <c r="BL841" t="s">
        <v>74</v>
      </c>
      <c r="BM841" t="s">
        <v>74</v>
      </c>
      <c r="BN841" t="s">
        <v>74</v>
      </c>
      <c r="BO841" t="s">
        <v>74</v>
      </c>
      <c r="BP841" t="s">
        <v>74</v>
      </c>
      <c r="BQ841" t="s">
        <v>74</v>
      </c>
      <c r="BR841" t="s">
        <v>74</v>
      </c>
      <c r="BS841" t="s">
        <v>6104</v>
      </c>
      <c r="BT841" t="str">
        <f>HYPERLINK("https%3A%2F%2Fwww.webofscience.com%2Fwos%2Fwoscc%2Ffull-record%2FWOS:000177025900017","View Full Record in Web of Science")</f>
        <v>View Full Record in Web of Science</v>
      </c>
    </row>
    <row r="842" spans="1:72" x14ac:dyDescent="0.2">
      <c r="A842" t="s">
        <v>72</v>
      </c>
      <c r="B842" t="s">
        <v>6105</v>
      </c>
      <c r="C842" t="s">
        <v>74</v>
      </c>
      <c r="D842" t="s">
        <v>74</v>
      </c>
      <c r="E842" t="s">
        <v>74</v>
      </c>
      <c r="F842" t="s">
        <v>6105</v>
      </c>
      <c r="G842" t="s">
        <v>74</v>
      </c>
      <c r="H842" t="s">
        <v>74</v>
      </c>
      <c r="I842" t="s">
        <v>6106</v>
      </c>
      <c r="J842" t="s">
        <v>88</v>
      </c>
      <c r="K842" t="s">
        <v>74</v>
      </c>
      <c r="L842" t="s">
        <v>74</v>
      </c>
      <c r="M842" t="s">
        <v>74</v>
      </c>
      <c r="N842" t="s">
        <v>74</v>
      </c>
      <c r="O842" t="s">
        <v>74</v>
      </c>
      <c r="P842" t="s">
        <v>74</v>
      </c>
      <c r="Q842" t="s">
        <v>74</v>
      </c>
      <c r="R842" t="s">
        <v>74</v>
      </c>
      <c r="S842" t="s">
        <v>74</v>
      </c>
      <c r="T842" t="s">
        <v>74</v>
      </c>
      <c r="U842" t="s">
        <v>74</v>
      </c>
      <c r="V842" t="s">
        <v>74</v>
      </c>
      <c r="W842" t="s">
        <v>74</v>
      </c>
      <c r="X842" t="s">
        <v>74</v>
      </c>
      <c r="Y842" t="s">
        <v>74</v>
      </c>
      <c r="Z842" t="s">
        <v>74</v>
      </c>
      <c r="AA842" t="s">
        <v>74</v>
      </c>
      <c r="AB842" t="s">
        <v>74</v>
      </c>
      <c r="AC842" t="s">
        <v>74</v>
      </c>
      <c r="AD842" t="s">
        <v>74</v>
      </c>
      <c r="AE842" t="s">
        <v>74</v>
      </c>
      <c r="AF842" t="s">
        <v>74</v>
      </c>
      <c r="AG842" t="s">
        <v>74</v>
      </c>
      <c r="AH842" t="s">
        <v>74</v>
      </c>
      <c r="AI842" t="s">
        <v>74</v>
      </c>
      <c r="AJ842" t="s">
        <v>74</v>
      </c>
      <c r="AK842" t="s">
        <v>74</v>
      </c>
      <c r="AL842" t="s">
        <v>74</v>
      </c>
      <c r="AM842" t="s">
        <v>74</v>
      </c>
      <c r="AN842" t="s">
        <v>74</v>
      </c>
      <c r="AO842" t="s">
        <v>89</v>
      </c>
      <c r="AP842" t="s">
        <v>90</v>
      </c>
      <c r="AQ842" t="s">
        <v>74</v>
      </c>
      <c r="AR842" t="s">
        <v>74</v>
      </c>
      <c r="AS842" t="s">
        <v>74</v>
      </c>
      <c r="AT842" t="s">
        <v>569</v>
      </c>
      <c r="AU842">
        <v>2002</v>
      </c>
      <c r="AV842">
        <v>59</v>
      </c>
      <c r="AW842">
        <v>6</v>
      </c>
      <c r="AX842" t="s">
        <v>74</v>
      </c>
      <c r="AY842" t="s">
        <v>74</v>
      </c>
      <c r="AZ842" t="s">
        <v>74</v>
      </c>
      <c r="BA842" t="s">
        <v>74</v>
      </c>
      <c r="BB842">
        <v>1024</v>
      </c>
      <c r="BC842">
        <v>1031</v>
      </c>
      <c r="BD842" t="s">
        <v>74</v>
      </c>
      <c r="BE842" t="s">
        <v>6107</v>
      </c>
      <c r="BF842" t="str">
        <f>HYPERLINK("http://dx.doi.org/10.1139/F02-077","http://dx.doi.org/10.1139/F02-077")</f>
        <v>http://dx.doi.org/10.1139/F02-077</v>
      </c>
      <c r="BG842" t="s">
        <v>74</v>
      </c>
      <c r="BH842" t="s">
        <v>74</v>
      </c>
      <c r="BI842" t="s">
        <v>74</v>
      </c>
      <c r="BJ842" t="s">
        <v>74</v>
      </c>
      <c r="BK842" t="s">
        <v>74</v>
      </c>
      <c r="BL842" t="s">
        <v>74</v>
      </c>
      <c r="BM842" t="s">
        <v>74</v>
      </c>
      <c r="BN842" t="s">
        <v>74</v>
      </c>
      <c r="BO842" t="s">
        <v>74</v>
      </c>
      <c r="BP842" t="s">
        <v>74</v>
      </c>
      <c r="BQ842" t="s">
        <v>74</v>
      </c>
      <c r="BR842" t="s">
        <v>74</v>
      </c>
      <c r="BS842" t="s">
        <v>6108</v>
      </c>
      <c r="BT842" t="str">
        <f>HYPERLINK("https%3A%2F%2Fwww.webofscience.com%2Fwos%2Fwoscc%2Ffull-record%2FWOS:000177786000011","View Full Record in Web of Science")</f>
        <v>View Full Record in Web of Science</v>
      </c>
    </row>
    <row r="843" spans="1:72" x14ac:dyDescent="0.2">
      <c r="A843" t="s">
        <v>72</v>
      </c>
      <c r="B843" t="s">
        <v>6109</v>
      </c>
      <c r="C843" t="s">
        <v>74</v>
      </c>
      <c r="D843" t="s">
        <v>74</v>
      </c>
      <c r="E843" t="s">
        <v>74</v>
      </c>
      <c r="F843" t="s">
        <v>6109</v>
      </c>
      <c r="G843" t="s">
        <v>74</v>
      </c>
      <c r="H843" t="s">
        <v>74</v>
      </c>
      <c r="I843" t="s">
        <v>6110</v>
      </c>
      <c r="J843" t="s">
        <v>5710</v>
      </c>
      <c r="K843" t="s">
        <v>74</v>
      </c>
      <c r="L843" t="s">
        <v>74</v>
      </c>
      <c r="M843" t="s">
        <v>74</v>
      </c>
      <c r="N843" t="s">
        <v>74</v>
      </c>
      <c r="O843" t="s">
        <v>74</v>
      </c>
      <c r="P843" t="s">
        <v>74</v>
      </c>
      <c r="Q843" t="s">
        <v>74</v>
      </c>
      <c r="R843" t="s">
        <v>74</v>
      </c>
      <c r="S843" t="s">
        <v>74</v>
      </c>
      <c r="T843" t="s">
        <v>74</v>
      </c>
      <c r="U843" t="s">
        <v>74</v>
      </c>
      <c r="V843" t="s">
        <v>74</v>
      </c>
      <c r="W843" t="s">
        <v>74</v>
      </c>
      <c r="X843" t="s">
        <v>74</v>
      </c>
      <c r="Y843" t="s">
        <v>74</v>
      </c>
      <c r="Z843" t="s">
        <v>74</v>
      </c>
      <c r="AA843" t="s">
        <v>6111</v>
      </c>
      <c r="AB843" t="s">
        <v>6112</v>
      </c>
      <c r="AC843" t="s">
        <v>74</v>
      </c>
      <c r="AD843" t="s">
        <v>74</v>
      </c>
      <c r="AE843" t="s">
        <v>74</v>
      </c>
      <c r="AF843" t="s">
        <v>74</v>
      </c>
      <c r="AG843" t="s">
        <v>74</v>
      </c>
      <c r="AH843" t="s">
        <v>74</v>
      </c>
      <c r="AI843" t="s">
        <v>74</v>
      </c>
      <c r="AJ843" t="s">
        <v>74</v>
      </c>
      <c r="AK843" t="s">
        <v>74</v>
      </c>
      <c r="AL843" t="s">
        <v>74</v>
      </c>
      <c r="AM843" t="s">
        <v>74</v>
      </c>
      <c r="AN843" t="s">
        <v>74</v>
      </c>
      <c r="AO843" t="s">
        <v>5711</v>
      </c>
      <c r="AP843" t="s">
        <v>74</v>
      </c>
      <c r="AQ843" t="s">
        <v>74</v>
      </c>
      <c r="AR843" t="s">
        <v>74</v>
      </c>
      <c r="AS843" t="s">
        <v>74</v>
      </c>
      <c r="AT843" t="s">
        <v>575</v>
      </c>
      <c r="AU843">
        <v>2002</v>
      </c>
      <c r="AV843">
        <v>154</v>
      </c>
      <c r="AW843">
        <v>2</v>
      </c>
      <c r="AX843" t="s">
        <v>74</v>
      </c>
      <c r="AY843" t="s">
        <v>74</v>
      </c>
      <c r="AZ843" t="s">
        <v>74</v>
      </c>
      <c r="BA843" t="s">
        <v>74</v>
      </c>
      <c r="BB843">
        <v>311</v>
      </c>
      <c r="BC843">
        <v>325</v>
      </c>
      <c r="BD843" t="s">
        <v>74</v>
      </c>
      <c r="BE843" t="s">
        <v>74</v>
      </c>
      <c r="BF843" t="s">
        <v>74</v>
      </c>
      <c r="BG843" t="s">
        <v>74</v>
      </c>
      <c r="BH843" t="s">
        <v>74</v>
      </c>
      <c r="BI843" t="s">
        <v>74</v>
      </c>
      <c r="BJ843" t="s">
        <v>74</v>
      </c>
      <c r="BK843" t="s">
        <v>74</v>
      </c>
      <c r="BL843" t="s">
        <v>74</v>
      </c>
      <c r="BM843" t="s">
        <v>74</v>
      </c>
      <c r="BN843" t="s">
        <v>74</v>
      </c>
      <c r="BO843" t="s">
        <v>74</v>
      </c>
      <c r="BP843" t="s">
        <v>74</v>
      </c>
      <c r="BQ843" t="s">
        <v>74</v>
      </c>
      <c r="BR843" t="s">
        <v>74</v>
      </c>
      <c r="BS843" t="s">
        <v>6113</v>
      </c>
      <c r="BT843" t="str">
        <f>HYPERLINK("https%3A%2F%2Fwww.webofscience.com%2Fwos%2Fwoscc%2Ffull-record%2FWOS:000176256400008","View Full Record in Web of Science")</f>
        <v>View Full Record in Web of Science</v>
      </c>
    </row>
    <row r="844" spans="1:72" x14ac:dyDescent="0.2">
      <c r="A844" t="s">
        <v>72</v>
      </c>
      <c r="B844" t="s">
        <v>6114</v>
      </c>
      <c r="C844" t="s">
        <v>74</v>
      </c>
      <c r="D844" t="s">
        <v>74</v>
      </c>
      <c r="E844" t="s">
        <v>74</v>
      </c>
      <c r="F844" t="s">
        <v>6114</v>
      </c>
      <c r="G844" t="s">
        <v>74</v>
      </c>
      <c r="H844" t="s">
        <v>74</v>
      </c>
      <c r="I844" t="s">
        <v>6115</v>
      </c>
      <c r="J844" t="s">
        <v>2827</v>
      </c>
      <c r="K844" t="s">
        <v>74</v>
      </c>
      <c r="L844" t="s">
        <v>74</v>
      </c>
      <c r="M844" t="s">
        <v>74</v>
      </c>
      <c r="N844" t="s">
        <v>74</v>
      </c>
      <c r="O844" t="s">
        <v>74</v>
      </c>
      <c r="P844" t="s">
        <v>74</v>
      </c>
      <c r="Q844" t="s">
        <v>74</v>
      </c>
      <c r="R844" t="s">
        <v>74</v>
      </c>
      <c r="S844" t="s">
        <v>74</v>
      </c>
      <c r="T844" t="s">
        <v>74</v>
      </c>
      <c r="U844" t="s">
        <v>74</v>
      </c>
      <c r="V844" t="s">
        <v>74</v>
      </c>
      <c r="W844" t="s">
        <v>74</v>
      </c>
      <c r="X844" t="s">
        <v>74</v>
      </c>
      <c r="Y844" t="s">
        <v>74</v>
      </c>
      <c r="Z844" t="s">
        <v>74</v>
      </c>
      <c r="AA844" t="s">
        <v>6116</v>
      </c>
      <c r="AB844" t="s">
        <v>6117</v>
      </c>
      <c r="AC844" t="s">
        <v>74</v>
      </c>
      <c r="AD844" t="s">
        <v>74</v>
      </c>
      <c r="AE844" t="s">
        <v>74</v>
      </c>
      <c r="AF844" t="s">
        <v>74</v>
      </c>
      <c r="AG844" t="s">
        <v>74</v>
      </c>
      <c r="AH844" t="s">
        <v>74</v>
      </c>
      <c r="AI844" t="s">
        <v>74</v>
      </c>
      <c r="AJ844" t="s">
        <v>74</v>
      </c>
      <c r="AK844" t="s">
        <v>74</v>
      </c>
      <c r="AL844" t="s">
        <v>74</v>
      </c>
      <c r="AM844" t="s">
        <v>74</v>
      </c>
      <c r="AN844" t="s">
        <v>74</v>
      </c>
      <c r="AO844" t="s">
        <v>2828</v>
      </c>
      <c r="AP844" t="s">
        <v>2829</v>
      </c>
      <c r="AQ844" t="s">
        <v>74</v>
      </c>
      <c r="AR844" t="s">
        <v>74</v>
      </c>
      <c r="AS844" t="s">
        <v>74</v>
      </c>
      <c r="AT844" t="s">
        <v>74</v>
      </c>
      <c r="AU844">
        <v>2002</v>
      </c>
      <c r="AV844">
        <v>228</v>
      </c>
      <c r="AW844" t="s">
        <v>74</v>
      </c>
      <c r="AX844" t="s">
        <v>74</v>
      </c>
      <c r="AY844" t="s">
        <v>74</v>
      </c>
      <c r="AZ844" t="s">
        <v>74</v>
      </c>
      <c r="BA844" t="s">
        <v>74</v>
      </c>
      <c r="BB844">
        <v>35</v>
      </c>
      <c r="BC844">
        <v>45</v>
      </c>
      <c r="BD844" t="s">
        <v>74</v>
      </c>
      <c r="BE844" t="s">
        <v>6118</v>
      </c>
      <c r="BF844" t="str">
        <f>HYPERLINK("http://dx.doi.org/10.3354/meps228035","http://dx.doi.org/10.3354/meps228035")</f>
        <v>http://dx.doi.org/10.3354/meps228035</v>
      </c>
      <c r="BG844" t="s">
        <v>74</v>
      </c>
      <c r="BH844" t="s">
        <v>74</v>
      </c>
      <c r="BI844" t="s">
        <v>74</v>
      </c>
      <c r="BJ844" t="s">
        <v>74</v>
      </c>
      <c r="BK844" t="s">
        <v>74</v>
      </c>
      <c r="BL844" t="s">
        <v>74</v>
      </c>
      <c r="BM844" t="s">
        <v>74</v>
      </c>
      <c r="BN844" t="s">
        <v>74</v>
      </c>
      <c r="BO844" t="s">
        <v>74</v>
      </c>
      <c r="BP844" t="s">
        <v>74</v>
      </c>
      <c r="BQ844" t="s">
        <v>74</v>
      </c>
      <c r="BR844" t="s">
        <v>74</v>
      </c>
      <c r="BS844" t="s">
        <v>6119</v>
      </c>
      <c r="BT844" t="str">
        <f>HYPERLINK("https%3A%2F%2Fwww.webofscience.com%2Fwos%2Fwoscc%2Ffull-record%2FWOS:000174655000005","View Full Record in Web of Science")</f>
        <v>View Full Record in Web of Science</v>
      </c>
    </row>
    <row r="845" spans="1:72" x14ac:dyDescent="0.2">
      <c r="A845" t="s">
        <v>72</v>
      </c>
      <c r="B845" t="s">
        <v>6120</v>
      </c>
      <c r="C845" t="s">
        <v>74</v>
      </c>
      <c r="D845" t="s">
        <v>74</v>
      </c>
      <c r="E845" t="s">
        <v>74</v>
      </c>
      <c r="F845" t="s">
        <v>6120</v>
      </c>
      <c r="G845" t="s">
        <v>74</v>
      </c>
      <c r="H845" t="s">
        <v>74</v>
      </c>
      <c r="I845" t="s">
        <v>6121</v>
      </c>
      <c r="J845" t="s">
        <v>423</v>
      </c>
      <c r="K845" t="s">
        <v>74</v>
      </c>
      <c r="L845" t="s">
        <v>74</v>
      </c>
      <c r="M845" t="s">
        <v>74</v>
      </c>
      <c r="N845" t="s">
        <v>74</v>
      </c>
      <c r="O845" t="s">
        <v>74</v>
      </c>
      <c r="P845" t="s">
        <v>74</v>
      </c>
      <c r="Q845" t="s">
        <v>74</v>
      </c>
      <c r="R845" t="s">
        <v>74</v>
      </c>
      <c r="S845" t="s">
        <v>74</v>
      </c>
      <c r="T845" t="s">
        <v>74</v>
      </c>
      <c r="U845" t="s">
        <v>74</v>
      </c>
      <c r="V845" t="s">
        <v>74</v>
      </c>
      <c r="W845" t="s">
        <v>74</v>
      </c>
      <c r="X845" t="s">
        <v>74</v>
      </c>
      <c r="Y845" t="s">
        <v>74</v>
      </c>
      <c r="Z845" t="s">
        <v>74</v>
      </c>
      <c r="AA845" t="s">
        <v>74</v>
      </c>
      <c r="AB845" t="s">
        <v>237</v>
      </c>
      <c r="AC845" t="s">
        <v>74</v>
      </c>
      <c r="AD845" t="s">
        <v>74</v>
      </c>
      <c r="AE845" t="s">
        <v>74</v>
      </c>
      <c r="AF845" t="s">
        <v>74</v>
      </c>
      <c r="AG845" t="s">
        <v>74</v>
      </c>
      <c r="AH845" t="s">
        <v>74</v>
      </c>
      <c r="AI845" t="s">
        <v>74</v>
      </c>
      <c r="AJ845" t="s">
        <v>74</v>
      </c>
      <c r="AK845" t="s">
        <v>74</v>
      </c>
      <c r="AL845" t="s">
        <v>74</v>
      </c>
      <c r="AM845" t="s">
        <v>74</v>
      </c>
      <c r="AN845" t="s">
        <v>74</v>
      </c>
      <c r="AO845" t="s">
        <v>425</v>
      </c>
      <c r="AP845" t="s">
        <v>426</v>
      </c>
      <c r="AQ845" t="s">
        <v>74</v>
      </c>
      <c r="AR845" t="s">
        <v>74</v>
      </c>
      <c r="AS845" t="s">
        <v>74</v>
      </c>
      <c r="AT845" t="s">
        <v>315</v>
      </c>
      <c r="AU845">
        <v>2002</v>
      </c>
      <c r="AV845">
        <v>47</v>
      </c>
      <c r="AW845">
        <v>1</v>
      </c>
      <c r="AX845" t="s">
        <v>74</v>
      </c>
      <c r="AY845" t="s">
        <v>74</v>
      </c>
      <c r="AZ845" t="s">
        <v>74</v>
      </c>
      <c r="BA845" t="s">
        <v>74</v>
      </c>
      <c r="BB845">
        <v>53</v>
      </c>
      <c r="BC845">
        <v>64</v>
      </c>
      <c r="BD845" t="s">
        <v>74</v>
      </c>
      <c r="BE845" t="s">
        <v>6122</v>
      </c>
      <c r="BF845" t="str">
        <f>HYPERLINK("http://dx.doi.org/10.1046/j.1365-2427.2002.00780.x","http://dx.doi.org/10.1046/j.1365-2427.2002.00780.x")</f>
        <v>http://dx.doi.org/10.1046/j.1365-2427.2002.00780.x</v>
      </c>
      <c r="BG845" t="s">
        <v>74</v>
      </c>
      <c r="BH845" t="s">
        <v>74</v>
      </c>
      <c r="BI845" t="s">
        <v>74</v>
      </c>
      <c r="BJ845" t="s">
        <v>74</v>
      </c>
      <c r="BK845" t="s">
        <v>74</v>
      </c>
      <c r="BL845" t="s">
        <v>74</v>
      </c>
      <c r="BM845" t="s">
        <v>74</v>
      </c>
      <c r="BN845" t="s">
        <v>74</v>
      </c>
      <c r="BO845" t="s">
        <v>74</v>
      </c>
      <c r="BP845" t="s">
        <v>74</v>
      </c>
      <c r="BQ845" t="s">
        <v>74</v>
      </c>
      <c r="BR845" t="s">
        <v>74</v>
      </c>
      <c r="BS845" t="s">
        <v>6123</v>
      </c>
      <c r="BT845" t="str">
        <f>HYPERLINK("https%3A%2F%2Fwww.webofscience.com%2Fwos%2Fwoscc%2Ffull-record%2FWOS:000173397900005","View Full Record in Web of Science")</f>
        <v>View Full Record in Web of Science</v>
      </c>
    </row>
    <row r="846" spans="1:72" x14ac:dyDescent="0.2">
      <c r="A846" t="s">
        <v>72</v>
      </c>
      <c r="B846" t="s">
        <v>6124</v>
      </c>
      <c r="C846" t="s">
        <v>74</v>
      </c>
      <c r="D846" t="s">
        <v>74</v>
      </c>
      <c r="E846" t="s">
        <v>74</v>
      </c>
      <c r="F846" t="s">
        <v>6124</v>
      </c>
      <c r="G846" t="s">
        <v>74</v>
      </c>
      <c r="H846" t="s">
        <v>74</v>
      </c>
      <c r="I846" t="s">
        <v>6125</v>
      </c>
      <c r="J846" t="s">
        <v>1523</v>
      </c>
      <c r="K846" t="s">
        <v>74</v>
      </c>
      <c r="L846" t="s">
        <v>74</v>
      </c>
      <c r="M846" t="s">
        <v>74</v>
      </c>
      <c r="N846" t="s">
        <v>74</v>
      </c>
      <c r="O846" t="s">
        <v>74</v>
      </c>
      <c r="P846" t="s">
        <v>74</v>
      </c>
      <c r="Q846" t="s">
        <v>74</v>
      </c>
      <c r="R846" t="s">
        <v>74</v>
      </c>
      <c r="S846" t="s">
        <v>74</v>
      </c>
      <c r="T846" t="s">
        <v>74</v>
      </c>
      <c r="U846" t="s">
        <v>74</v>
      </c>
      <c r="V846" t="s">
        <v>74</v>
      </c>
      <c r="W846" t="s">
        <v>74</v>
      </c>
      <c r="X846" t="s">
        <v>74</v>
      </c>
      <c r="Y846" t="s">
        <v>74</v>
      </c>
      <c r="Z846" t="s">
        <v>74</v>
      </c>
      <c r="AA846" t="s">
        <v>74</v>
      </c>
      <c r="AB846" t="s">
        <v>74</v>
      </c>
      <c r="AC846" t="s">
        <v>74</v>
      </c>
      <c r="AD846" t="s">
        <v>74</v>
      </c>
      <c r="AE846" t="s">
        <v>74</v>
      </c>
      <c r="AF846" t="s">
        <v>74</v>
      </c>
      <c r="AG846" t="s">
        <v>74</v>
      </c>
      <c r="AH846" t="s">
        <v>74</v>
      </c>
      <c r="AI846" t="s">
        <v>74</v>
      </c>
      <c r="AJ846" t="s">
        <v>74</v>
      </c>
      <c r="AK846" t="s">
        <v>74</v>
      </c>
      <c r="AL846" t="s">
        <v>74</v>
      </c>
      <c r="AM846" t="s">
        <v>74</v>
      </c>
      <c r="AN846" t="s">
        <v>74</v>
      </c>
      <c r="AO846" t="s">
        <v>1524</v>
      </c>
      <c r="AP846" t="s">
        <v>1525</v>
      </c>
      <c r="AQ846" t="s">
        <v>74</v>
      </c>
      <c r="AR846" t="s">
        <v>74</v>
      </c>
      <c r="AS846" t="s">
        <v>74</v>
      </c>
      <c r="AT846" t="s">
        <v>315</v>
      </c>
      <c r="AU846">
        <v>2002</v>
      </c>
      <c r="AV846">
        <v>83</v>
      </c>
      <c r="AW846">
        <v>1</v>
      </c>
      <c r="AX846" t="s">
        <v>74</v>
      </c>
      <c r="AY846" t="s">
        <v>74</v>
      </c>
      <c r="AZ846" t="s">
        <v>74</v>
      </c>
      <c r="BA846" t="s">
        <v>74</v>
      </c>
      <c r="BB846">
        <v>129</v>
      </c>
      <c r="BC846">
        <v>136</v>
      </c>
      <c r="BD846" t="s">
        <v>74</v>
      </c>
      <c r="BE846" t="s">
        <v>6126</v>
      </c>
      <c r="BF846" t="str">
        <f>HYPERLINK("http://dx.doi.org/10.1890/0012-9658(2002)083[0129:TOBCAA]2.0.CO;2","http://dx.doi.org/10.1890/0012-9658(2002)083[0129:TOBCAA]2.0.CO;2")</f>
        <v>http://dx.doi.org/10.1890/0012-9658(2002)083[0129:TOBCAA]2.0.CO;2</v>
      </c>
      <c r="BG846" t="s">
        <v>74</v>
      </c>
      <c r="BH846" t="s">
        <v>74</v>
      </c>
      <c r="BI846" t="s">
        <v>74</v>
      </c>
      <c r="BJ846" t="s">
        <v>74</v>
      </c>
      <c r="BK846" t="s">
        <v>74</v>
      </c>
      <c r="BL846" t="s">
        <v>74</v>
      </c>
      <c r="BM846" t="s">
        <v>74</v>
      </c>
      <c r="BN846" t="s">
        <v>74</v>
      </c>
      <c r="BO846" t="s">
        <v>74</v>
      </c>
      <c r="BP846" t="s">
        <v>74</v>
      </c>
      <c r="BQ846" t="s">
        <v>74</v>
      </c>
      <c r="BR846" t="s">
        <v>74</v>
      </c>
      <c r="BS846" t="s">
        <v>6127</v>
      </c>
      <c r="BT846" t="str">
        <f>HYPERLINK("https%3A%2F%2Fwww.webofscience.com%2Fwos%2Fwoscc%2Ffull-record%2FWOS:000173117700012","View Full Record in Web of Science")</f>
        <v>View Full Record in Web of Science</v>
      </c>
    </row>
    <row r="847" spans="1:72" x14ac:dyDescent="0.2">
      <c r="A847" t="s">
        <v>72</v>
      </c>
      <c r="B847" t="s">
        <v>6128</v>
      </c>
      <c r="C847" t="s">
        <v>74</v>
      </c>
      <c r="D847" t="s">
        <v>74</v>
      </c>
      <c r="E847" t="s">
        <v>74</v>
      </c>
      <c r="F847" t="s">
        <v>6128</v>
      </c>
      <c r="G847" t="s">
        <v>74</v>
      </c>
      <c r="H847" t="s">
        <v>74</v>
      </c>
      <c r="I847" t="s">
        <v>6129</v>
      </c>
      <c r="J847" t="s">
        <v>6130</v>
      </c>
      <c r="K847" t="s">
        <v>74</v>
      </c>
      <c r="L847" t="s">
        <v>74</v>
      </c>
      <c r="M847" t="s">
        <v>74</v>
      </c>
      <c r="N847" t="s">
        <v>74</v>
      </c>
      <c r="O847" t="s">
        <v>6131</v>
      </c>
      <c r="P847" t="s">
        <v>6132</v>
      </c>
      <c r="Q847" t="s">
        <v>6133</v>
      </c>
      <c r="R847" t="s">
        <v>74</v>
      </c>
      <c r="S847" t="s">
        <v>74</v>
      </c>
      <c r="T847" t="s">
        <v>74</v>
      </c>
      <c r="U847" t="s">
        <v>74</v>
      </c>
      <c r="V847" t="s">
        <v>74</v>
      </c>
      <c r="W847" t="s">
        <v>74</v>
      </c>
      <c r="X847" t="s">
        <v>74</v>
      </c>
      <c r="Y847" t="s">
        <v>74</v>
      </c>
      <c r="Z847" t="s">
        <v>74</v>
      </c>
      <c r="AA847" t="s">
        <v>6134</v>
      </c>
      <c r="AB847" t="s">
        <v>6135</v>
      </c>
      <c r="AC847" t="s">
        <v>74</v>
      </c>
      <c r="AD847" t="s">
        <v>74</v>
      </c>
      <c r="AE847" t="s">
        <v>74</v>
      </c>
      <c r="AF847" t="s">
        <v>74</v>
      </c>
      <c r="AG847" t="s">
        <v>74</v>
      </c>
      <c r="AH847" t="s">
        <v>74</v>
      </c>
      <c r="AI847" t="s">
        <v>74</v>
      </c>
      <c r="AJ847" t="s">
        <v>74</v>
      </c>
      <c r="AK847" t="s">
        <v>74</v>
      </c>
      <c r="AL847" t="s">
        <v>74</v>
      </c>
      <c r="AM847" t="s">
        <v>74</v>
      </c>
      <c r="AN847" t="s">
        <v>74</v>
      </c>
      <c r="AO847" t="s">
        <v>6136</v>
      </c>
      <c r="AP847" t="s">
        <v>74</v>
      </c>
      <c r="AQ847" t="s">
        <v>74</v>
      </c>
      <c r="AR847" t="s">
        <v>74</v>
      </c>
      <c r="AS847" t="s">
        <v>74</v>
      </c>
      <c r="AT847" t="s">
        <v>4535</v>
      </c>
      <c r="AU847">
        <v>2001</v>
      </c>
      <c r="AV847">
        <v>56</v>
      </c>
      <c r="AW847">
        <v>11</v>
      </c>
      <c r="AX847" t="s">
        <v>74</v>
      </c>
      <c r="AY847" t="s">
        <v>74</v>
      </c>
      <c r="AZ847" t="s">
        <v>632</v>
      </c>
      <c r="BA847" t="s">
        <v>74</v>
      </c>
      <c r="BB847">
        <v>2209</v>
      </c>
      <c r="BC847">
        <v>2217</v>
      </c>
      <c r="BD847" t="s">
        <v>74</v>
      </c>
      <c r="BE847" t="s">
        <v>6137</v>
      </c>
      <c r="BF847" t="str">
        <f>HYPERLINK("http://dx.doi.org/10.1016/S0584-8547(01)00325-1","http://dx.doi.org/10.1016/S0584-8547(01)00325-1")</f>
        <v>http://dx.doi.org/10.1016/S0584-8547(01)00325-1</v>
      </c>
      <c r="BG847" t="s">
        <v>74</v>
      </c>
      <c r="BH847" t="s">
        <v>74</v>
      </c>
      <c r="BI847" t="s">
        <v>74</v>
      </c>
      <c r="BJ847" t="s">
        <v>74</v>
      </c>
      <c r="BK847" t="s">
        <v>74</v>
      </c>
      <c r="BL847" t="s">
        <v>74</v>
      </c>
      <c r="BM847" t="s">
        <v>74</v>
      </c>
      <c r="BN847" t="s">
        <v>74</v>
      </c>
      <c r="BO847" t="s">
        <v>74</v>
      </c>
      <c r="BP847" t="s">
        <v>74</v>
      </c>
      <c r="BQ847" t="s">
        <v>74</v>
      </c>
      <c r="BR847" t="s">
        <v>74</v>
      </c>
      <c r="BS847" t="s">
        <v>6138</v>
      </c>
      <c r="BT847" t="str">
        <f>HYPERLINK("https%3A%2F%2Fwww.webofscience.com%2Fwos%2Fwoscc%2Ffull-record%2FWOS:000172711200025","View Full Record in Web of Science")</f>
        <v>View Full Record in Web of Science</v>
      </c>
    </row>
    <row r="848" spans="1:72" x14ac:dyDescent="0.2">
      <c r="A848" t="s">
        <v>72</v>
      </c>
      <c r="B848" t="s">
        <v>6139</v>
      </c>
      <c r="C848" t="s">
        <v>74</v>
      </c>
      <c r="D848" t="s">
        <v>74</v>
      </c>
      <c r="E848" t="s">
        <v>74</v>
      </c>
      <c r="F848" t="s">
        <v>6139</v>
      </c>
      <c r="G848" t="s">
        <v>74</v>
      </c>
      <c r="H848" t="s">
        <v>74</v>
      </c>
      <c r="I848" t="s">
        <v>6140</v>
      </c>
      <c r="J848" t="s">
        <v>6141</v>
      </c>
      <c r="K848" t="s">
        <v>74</v>
      </c>
      <c r="L848" t="s">
        <v>74</v>
      </c>
      <c r="M848" t="s">
        <v>74</v>
      </c>
      <c r="N848" t="s">
        <v>74</v>
      </c>
      <c r="O848" t="s">
        <v>74</v>
      </c>
      <c r="P848" t="s">
        <v>74</v>
      </c>
      <c r="Q848" t="s">
        <v>74</v>
      </c>
      <c r="R848" t="s">
        <v>74</v>
      </c>
      <c r="S848" t="s">
        <v>74</v>
      </c>
      <c r="T848" t="s">
        <v>74</v>
      </c>
      <c r="U848" t="s">
        <v>74</v>
      </c>
      <c r="V848" t="s">
        <v>74</v>
      </c>
      <c r="W848" t="s">
        <v>74</v>
      </c>
      <c r="X848" t="s">
        <v>74</v>
      </c>
      <c r="Y848" t="s">
        <v>74</v>
      </c>
      <c r="Z848" t="s">
        <v>74</v>
      </c>
      <c r="AA848" t="s">
        <v>6142</v>
      </c>
      <c r="AB848" t="s">
        <v>6143</v>
      </c>
      <c r="AC848" t="s">
        <v>74</v>
      </c>
      <c r="AD848" t="s">
        <v>74</v>
      </c>
      <c r="AE848" t="s">
        <v>74</v>
      </c>
      <c r="AF848" t="s">
        <v>74</v>
      </c>
      <c r="AG848" t="s">
        <v>74</v>
      </c>
      <c r="AH848" t="s">
        <v>74</v>
      </c>
      <c r="AI848" t="s">
        <v>74</v>
      </c>
      <c r="AJ848" t="s">
        <v>74</v>
      </c>
      <c r="AK848" t="s">
        <v>74</v>
      </c>
      <c r="AL848" t="s">
        <v>74</v>
      </c>
      <c r="AM848" t="s">
        <v>74</v>
      </c>
      <c r="AN848" t="s">
        <v>74</v>
      </c>
      <c r="AO848" t="s">
        <v>6144</v>
      </c>
      <c r="AP848" t="s">
        <v>6145</v>
      </c>
      <c r="AQ848" t="s">
        <v>74</v>
      </c>
      <c r="AR848" t="s">
        <v>74</v>
      </c>
      <c r="AS848" t="s">
        <v>74</v>
      </c>
      <c r="AT848" t="s">
        <v>335</v>
      </c>
      <c r="AU848">
        <v>2001</v>
      </c>
      <c r="AV848">
        <v>27</v>
      </c>
      <c r="AW848">
        <v>5</v>
      </c>
      <c r="AX848" t="s">
        <v>74</v>
      </c>
      <c r="AY848" t="s">
        <v>74</v>
      </c>
      <c r="AZ848" t="s">
        <v>74</v>
      </c>
      <c r="BA848" t="s">
        <v>74</v>
      </c>
      <c r="BB848">
        <v>363</v>
      </c>
      <c r="BC848">
        <v>371</v>
      </c>
      <c r="BD848" t="s">
        <v>74</v>
      </c>
      <c r="BE848" t="s">
        <v>6146</v>
      </c>
      <c r="BF848" t="str">
        <f>HYPERLINK("http://dx.doi.org/10.1016/S0160-4120(01)00087-3","http://dx.doi.org/10.1016/S0160-4120(01)00087-3")</f>
        <v>http://dx.doi.org/10.1016/S0160-4120(01)00087-3</v>
      </c>
      <c r="BG848" t="s">
        <v>74</v>
      </c>
      <c r="BH848" t="s">
        <v>74</v>
      </c>
      <c r="BI848" t="s">
        <v>74</v>
      </c>
      <c r="BJ848" t="s">
        <v>74</v>
      </c>
      <c r="BK848" t="s">
        <v>74</v>
      </c>
      <c r="BL848" t="s">
        <v>74</v>
      </c>
      <c r="BM848" t="s">
        <v>74</v>
      </c>
      <c r="BN848">
        <v>11757850</v>
      </c>
      <c r="BO848" t="s">
        <v>74</v>
      </c>
      <c r="BP848" t="s">
        <v>74</v>
      </c>
      <c r="BQ848" t="s">
        <v>74</v>
      </c>
      <c r="BR848" t="s">
        <v>74</v>
      </c>
      <c r="BS848" t="s">
        <v>6147</v>
      </c>
      <c r="BT848" t="str">
        <f>HYPERLINK("https%3A%2F%2Fwww.webofscience.com%2Fwos%2Fwoscc%2Ffull-record%2FWOS:000172154700003","View Full Record in Web of Science")</f>
        <v>View Full Record in Web of Science</v>
      </c>
    </row>
    <row r="849" spans="1:72" x14ac:dyDescent="0.2">
      <c r="A849" t="s">
        <v>72</v>
      </c>
      <c r="B849" t="s">
        <v>6148</v>
      </c>
      <c r="C849" t="s">
        <v>74</v>
      </c>
      <c r="D849" t="s">
        <v>74</v>
      </c>
      <c r="E849" t="s">
        <v>74</v>
      </c>
      <c r="F849" t="s">
        <v>6148</v>
      </c>
      <c r="G849" t="s">
        <v>74</v>
      </c>
      <c r="H849" t="s">
        <v>74</v>
      </c>
      <c r="I849" t="s">
        <v>6149</v>
      </c>
      <c r="J849" t="s">
        <v>5867</v>
      </c>
      <c r="K849" t="s">
        <v>74</v>
      </c>
      <c r="L849" t="s">
        <v>74</v>
      </c>
      <c r="M849" t="s">
        <v>74</v>
      </c>
      <c r="N849" t="s">
        <v>74</v>
      </c>
      <c r="O849" t="s">
        <v>74</v>
      </c>
      <c r="P849" t="s">
        <v>74</v>
      </c>
      <c r="Q849" t="s">
        <v>74</v>
      </c>
      <c r="R849" t="s">
        <v>74</v>
      </c>
      <c r="S849" t="s">
        <v>74</v>
      </c>
      <c r="T849" t="s">
        <v>74</v>
      </c>
      <c r="U849" t="s">
        <v>74</v>
      </c>
      <c r="V849" t="s">
        <v>74</v>
      </c>
      <c r="W849" t="s">
        <v>74</v>
      </c>
      <c r="X849" t="s">
        <v>74</v>
      </c>
      <c r="Y849" t="s">
        <v>74</v>
      </c>
      <c r="Z849" t="s">
        <v>74</v>
      </c>
      <c r="AA849" t="s">
        <v>4817</v>
      </c>
      <c r="AB849" t="s">
        <v>6150</v>
      </c>
      <c r="AC849" t="s">
        <v>74</v>
      </c>
      <c r="AD849" t="s">
        <v>74</v>
      </c>
      <c r="AE849" t="s">
        <v>74</v>
      </c>
      <c r="AF849" t="s">
        <v>74</v>
      </c>
      <c r="AG849" t="s">
        <v>74</v>
      </c>
      <c r="AH849" t="s">
        <v>74</v>
      </c>
      <c r="AI849" t="s">
        <v>74</v>
      </c>
      <c r="AJ849" t="s">
        <v>74</v>
      </c>
      <c r="AK849" t="s">
        <v>74</v>
      </c>
      <c r="AL849" t="s">
        <v>74</v>
      </c>
      <c r="AM849" t="s">
        <v>74</v>
      </c>
      <c r="AN849" t="s">
        <v>74</v>
      </c>
      <c r="AO849" t="s">
        <v>5868</v>
      </c>
      <c r="AP849" t="s">
        <v>5869</v>
      </c>
      <c r="AQ849" t="s">
        <v>74</v>
      </c>
      <c r="AR849" t="s">
        <v>74</v>
      </c>
      <c r="AS849" t="s">
        <v>74</v>
      </c>
      <c r="AT849" t="s">
        <v>335</v>
      </c>
      <c r="AU849">
        <v>2001</v>
      </c>
      <c r="AV849">
        <v>55</v>
      </c>
      <c r="AW849">
        <v>11</v>
      </c>
      <c r="AX849" t="s">
        <v>74</v>
      </c>
      <c r="AY849" t="s">
        <v>74</v>
      </c>
      <c r="AZ849" t="s">
        <v>74</v>
      </c>
      <c r="BA849" t="s">
        <v>74</v>
      </c>
      <c r="BB849">
        <v>2203</v>
      </c>
      <c r="BC849">
        <v>2214</v>
      </c>
      <c r="BD849" t="s">
        <v>74</v>
      </c>
      <c r="BE849" t="s">
        <v>74</v>
      </c>
      <c r="BF849" t="s">
        <v>74</v>
      </c>
      <c r="BG849" t="s">
        <v>74</v>
      </c>
      <c r="BH849" t="s">
        <v>74</v>
      </c>
      <c r="BI849" t="s">
        <v>74</v>
      </c>
      <c r="BJ849" t="s">
        <v>74</v>
      </c>
      <c r="BK849" t="s">
        <v>74</v>
      </c>
      <c r="BL849" t="s">
        <v>74</v>
      </c>
      <c r="BM849" t="s">
        <v>74</v>
      </c>
      <c r="BN849">
        <v>11794781</v>
      </c>
      <c r="BO849" t="s">
        <v>74</v>
      </c>
      <c r="BP849" t="s">
        <v>74</v>
      </c>
      <c r="BQ849" t="s">
        <v>74</v>
      </c>
      <c r="BR849" t="s">
        <v>74</v>
      </c>
      <c r="BS849" t="s">
        <v>6151</v>
      </c>
      <c r="BT849" t="str">
        <f>HYPERLINK("https%3A%2F%2Fwww.webofscience.com%2Fwos%2Fwoscc%2Ffull-record%2FWOS:000172947000006","View Full Record in Web of Science")</f>
        <v>View Full Record in Web of Science</v>
      </c>
    </row>
    <row r="850" spans="1:72" x14ac:dyDescent="0.2">
      <c r="A850" t="s">
        <v>72</v>
      </c>
      <c r="B850" t="s">
        <v>6152</v>
      </c>
      <c r="C850" t="s">
        <v>74</v>
      </c>
      <c r="D850" t="s">
        <v>74</v>
      </c>
      <c r="E850" t="s">
        <v>74</v>
      </c>
      <c r="F850" t="s">
        <v>6152</v>
      </c>
      <c r="G850" t="s">
        <v>74</v>
      </c>
      <c r="H850" t="s">
        <v>74</v>
      </c>
      <c r="I850" t="s">
        <v>6153</v>
      </c>
      <c r="J850" t="s">
        <v>6154</v>
      </c>
      <c r="K850" t="s">
        <v>74</v>
      </c>
      <c r="L850" t="s">
        <v>74</v>
      </c>
      <c r="M850" t="s">
        <v>74</v>
      </c>
      <c r="N850" t="s">
        <v>74</v>
      </c>
      <c r="O850" t="s">
        <v>74</v>
      </c>
      <c r="P850" t="s">
        <v>74</v>
      </c>
      <c r="Q850" t="s">
        <v>74</v>
      </c>
      <c r="R850" t="s">
        <v>74</v>
      </c>
      <c r="S850" t="s">
        <v>74</v>
      </c>
      <c r="T850" t="s">
        <v>74</v>
      </c>
      <c r="U850" t="s">
        <v>74</v>
      </c>
      <c r="V850" t="s">
        <v>74</v>
      </c>
      <c r="W850" t="s">
        <v>74</v>
      </c>
      <c r="X850" t="s">
        <v>74</v>
      </c>
      <c r="Y850" t="s">
        <v>74</v>
      </c>
      <c r="Z850" t="s">
        <v>74</v>
      </c>
      <c r="AA850" t="s">
        <v>74</v>
      </c>
      <c r="AB850" t="s">
        <v>5008</v>
      </c>
      <c r="AC850" t="s">
        <v>74</v>
      </c>
      <c r="AD850" t="s">
        <v>74</v>
      </c>
      <c r="AE850" t="s">
        <v>74</v>
      </c>
      <c r="AF850" t="s">
        <v>74</v>
      </c>
      <c r="AG850" t="s">
        <v>74</v>
      </c>
      <c r="AH850" t="s">
        <v>74</v>
      </c>
      <c r="AI850" t="s">
        <v>74</v>
      </c>
      <c r="AJ850" t="s">
        <v>74</v>
      </c>
      <c r="AK850" t="s">
        <v>74</v>
      </c>
      <c r="AL850" t="s">
        <v>74</v>
      </c>
      <c r="AM850" t="s">
        <v>74</v>
      </c>
      <c r="AN850" t="s">
        <v>74</v>
      </c>
      <c r="AO850" t="s">
        <v>6155</v>
      </c>
      <c r="AP850" t="s">
        <v>6156</v>
      </c>
      <c r="AQ850" t="s">
        <v>74</v>
      </c>
      <c r="AR850" t="s">
        <v>74</v>
      </c>
      <c r="AS850" t="s">
        <v>74</v>
      </c>
      <c r="AT850" t="s">
        <v>406</v>
      </c>
      <c r="AU850">
        <v>2001</v>
      </c>
      <c r="AV850">
        <v>16</v>
      </c>
      <c r="AW850">
        <v>5</v>
      </c>
      <c r="AX850" t="s">
        <v>74</v>
      </c>
      <c r="AY850" t="s">
        <v>74</v>
      </c>
      <c r="AZ850" t="s">
        <v>74</v>
      </c>
      <c r="BA850" t="s">
        <v>74</v>
      </c>
      <c r="BB850">
        <v>428</v>
      </c>
      <c r="BC850">
        <v>438</v>
      </c>
      <c r="BD850" t="s">
        <v>74</v>
      </c>
      <c r="BE850" t="s">
        <v>6157</v>
      </c>
      <c r="BF850" t="str">
        <f>HYPERLINK("http://dx.doi.org/10.1002/tox.10001","http://dx.doi.org/10.1002/tox.10001")</f>
        <v>http://dx.doi.org/10.1002/tox.10001</v>
      </c>
      <c r="BG850" t="s">
        <v>74</v>
      </c>
      <c r="BH850" t="s">
        <v>74</v>
      </c>
      <c r="BI850" t="s">
        <v>74</v>
      </c>
      <c r="BJ850" t="s">
        <v>74</v>
      </c>
      <c r="BK850" t="s">
        <v>74</v>
      </c>
      <c r="BL850" t="s">
        <v>74</v>
      </c>
      <c r="BM850" t="s">
        <v>74</v>
      </c>
      <c r="BN850">
        <v>11594030</v>
      </c>
      <c r="BO850" t="s">
        <v>74</v>
      </c>
      <c r="BP850" t="s">
        <v>74</v>
      </c>
      <c r="BQ850" t="s">
        <v>74</v>
      </c>
      <c r="BR850" t="s">
        <v>74</v>
      </c>
      <c r="BS850" t="s">
        <v>6158</v>
      </c>
      <c r="BT850" t="str">
        <f>HYPERLINK("https%3A%2F%2Fwww.webofscience.com%2Fwos%2Fwoscc%2Ffull-record%2FWOS:000171299900009","View Full Record in Web of Science")</f>
        <v>View Full Record in Web of Science</v>
      </c>
    </row>
    <row r="851" spans="1:72" x14ac:dyDescent="0.2">
      <c r="A851" t="s">
        <v>72</v>
      </c>
      <c r="B851" t="s">
        <v>6159</v>
      </c>
      <c r="C851" t="s">
        <v>74</v>
      </c>
      <c r="D851" t="s">
        <v>74</v>
      </c>
      <c r="E851" t="s">
        <v>74</v>
      </c>
      <c r="F851" t="s">
        <v>6159</v>
      </c>
      <c r="G851" t="s">
        <v>74</v>
      </c>
      <c r="H851" t="s">
        <v>74</v>
      </c>
      <c r="I851" t="s">
        <v>6160</v>
      </c>
      <c r="J851" t="s">
        <v>2769</v>
      </c>
      <c r="K851" t="s">
        <v>74</v>
      </c>
      <c r="L851" t="s">
        <v>74</v>
      </c>
      <c r="M851" t="s">
        <v>74</v>
      </c>
      <c r="N851" t="s">
        <v>74</v>
      </c>
      <c r="O851" t="s">
        <v>74</v>
      </c>
      <c r="P851" t="s">
        <v>74</v>
      </c>
      <c r="Q851" t="s">
        <v>74</v>
      </c>
      <c r="R851" t="s">
        <v>74</v>
      </c>
      <c r="S851" t="s">
        <v>74</v>
      </c>
      <c r="T851" t="s">
        <v>74</v>
      </c>
      <c r="U851" t="s">
        <v>74</v>
      </c>
      <c r="V851" t="s">
        <v>74</v>
      </c>
      <c r="W851" t="s">
        <v>74</v>
      </c>
      <c r="X851" t="s">
        <v>74</v>
      </c>
      <c r="Y851" t="s">
        <v>74</v>
      </c>
      <c r="Z851" t="s">
        <v>74</v>
      </c>
      <c r="AA851" t="s">
        <v>3396</v>
      </c>
      <c r="AB851" t="s">
        <v>6161</v>
      </c>
      <c r="AC851" t="s">
        <v>74</v>
      </c>
      <c r="AD851" t="s">
        <v>74</v>
      </c>
      <c r="AE851" t="s">
        <v>74</v>
      </c>
      <c r="AF851" t="s">
        <v>74</v>
      </c>
      <c r="AG851" t="s">
        <v>74</v>
      </c>
      <c r="AH851" t="s">
        <v>74</v>
      </c>
      <c r="AI851" t="s">
        <v>74</v>
      </c>
      <c r="AJ851" t="s">
        <v>74</v>
      </c>
      <c r="AK851" t="s">
        <v>74</v>
      </c>
      <c r="AL851" t="s">
        <v>74</v>
      </c>
      <c r="AM851" t="s">
        <v>74</v>
      </c>
      <c r="AN851" t="s">
        <v>74</v>
      </c>
      <c r="AO851" t="s">
        <v>2772</v>
      </c>
      <c r="AP851" t="s">
        <v>2773</v>
      </c>
      <c r="AQ851" t="s">
        <v>74</v>
      </c>
      <c r="AR851" t="s">
        <v>74</v>
      </c>
      <c r="AS851" t="s">
        <v>74</v>
      </c>
      <c r="AT851" t="s">
        <v>6162</v>
      </c>
      <c r="AU851">
        <v>2001</v>
      </c>
      <c r="AV851">
        <v>25</v>
      </c>
      <c r="AW851">
        <v>1</v>
      </c>
      <c r="AX851" t="s">
        <v>74</v>
      </c>
      <c r="AY851" t="s">
        <v>74</v>
      </c>
      <c r="AZ851" t="s">
        <v>74</v>
      </c>
      <c r="BA851" t="s">
        <v>74</v>
      </c>
      <c r="BB851">
        <v>55</v>
      </c>
      <c r="BC851">
        <v>63</v>
      </c>
      <c r="BD851" t="s">
        <v>74</v>
      </c>
      <c r="BE851" t="s">
        <v>6163</v>
      </c>
      <c r="BF851" t="str">
        <f>HYPERLINK("http://dx.doi.org/10.3354/ame025055","http://dx.doi.org/10.3354/ame025055")</f>
        <v>http://dx.doi.org/10.3354/ame025055</v>
      </c>
      <c r="BG851" t="s">
        <v>74</v>
      </c>
      <c r="BH851" t="s">
        <v>74</v>
      </c>
      <c r="BI851" t="s">
        <v>74</v>
      </c>
      <c r="BJ851" t="s">
        <v>74</v>
      </c>
      <c r="BK851" t="s">
        <v>74</v>
      </c>
      <c r="BL851" t="s">
        <v>74</v>
      </c>
      <c r="BM851" t="s">
        <v>74</v>
      </c>
      <c r="BN851" t="s">
        <v>74</v>
      </c>
      <c r="BO851" t="s">
        <v>74</v>
      </c>
      <c r="BP851" t="s">
        <v>74</v>
      </c>
      <c r="BQ851" t="s">
        <v>74</v>
      </c>
      <c r="BR851" t="s">
        <v>74</v>
      </c>
      <c r="BS851" t="s">
        <v>6164</v>
      </c>
      <c r="BT851" t="str">
        <f>HYPERLINK("https%3A%2F%2Fwww.webofscience.com%2Fwos%2Fwoscc%2Ffull-record%2FWOS:000170816500006","View Full Record in Web of Science")</f>
        <v>View Full Record in Web of Science</v>
      </c>
    </row>
    <row r="852" spans="1:72" x14ac:dyDescent="0.2">
      <c r="A852" t="s">
        <v>72</v>
      </c>
      <c r="B852" t="s">
        <v>6165</v>
      </c>
      <c r="C852" t="s">
        <v>74</v>
      </c>
      <c r="D852" t="s">
        <v>74</v>
      </c>
      <c r="E852" t="s">
        <v>74</v>
      </c>
      <c r="F852" t="s">
        <v>6165</v>
      </c>
      <c r="G852" t="s">
        <v>74</v>
      </c>
      <c r="H852" t="s">
        <v>74</v>
      </c>
      <c r="I852" t="s">
        <v>6166</v>
      </c>
      <c r="J852" t="s">
        <v>6167</v>
      </c>
      <c r="K852" t="s">
        <v>74</v>
      </c>
      <c r="L852" t="s">
        <v>74</v>
      </c>
      <c r="M852" t="s">
        <v>74</v>
      </c>
      <c r="N852" t="s">
        <v>74</v>
      </c>
      <c r="O852" t="s">
        <v>74</v>
      </c>
      <c r="P852" t="s">
        <v>74</v>
      </c>
      <c r="Q852" t="s">
        <v>74</v>
      </c>
      <c r="R852" t="s">
        <v>74</v>
      </c>
      <c r="S852" t="s">
        <v>74</v>
      </c>
      <c r="T852" t="s">
        <v>74</v>
      </c>
      <c r="U852" t="s">
        <v>74</v>
      </c>
      <c r="V852" t="s">
        <v>74</v>
      </c>
      <c r="W852" t="s">
        <v>74</v>
      </c>
      <c r="X852" t="s">
        <v>74</v>
      </c>
      <c r="Y852" t="s">
        <v>74</v>
      </c>
      <c r="Z852" t="s">
        <v>74</v>
      </c>
      <c r="AA852" t="s">
        <v>74</v>
      </c>
      <c r="AB852" t="s">
        <v>74</v>
      </c>
      <c r="AC852" t="s">
        <v>74</v>
      </c>
      <c r="AD852" t="s">
        <v>74</v>
      </c>
      <c r="AE852" t="s">
        <v>74</v>
      </c>
      <c r="AF852" t="s">
        <v>74</v>
      </c>
      <c r="AG852" t="s">
        <v>74</v>
      </c>
      <c r="AH852" t="s">
        <v>74</v>
      </c>
      <c r="AI852" t="s">
        <v>74</v>
      </c>
      <c r="AJ852" t="s">
        <v>74</v>
      </c>
      <c r="AK852" t="s">
        <v>74</v>
      </c>
      <c r="AL852" t="s">
        <v>74</v>
      </c>
      <c r="AM852" t="s">
        <v>74</v>
      </c>
      <c r="AN852" t="s">
        <v>74</v>
      </c>
      <c r="AO852" t="s">
        <v>6168</v>
      </c>
      <c r="AP852" t="s">
        <v>6169</v>
      </c>
      <c r="AQ852" t="s">
        <v>74</v>
      </c>
      <c r="AR852" t="s">
        <v>74</v>
      </c>
      <c r="AS852" t="s">
        <v>74</v>
      </c>
      <c r="AT852" t="s">
        <v>203</v>
      </c>
      <c r="AU852">
        <v>2001</v>
      </c>
      <c r="AV852">
        <v>22</v>
      </c>
      <c r="AW852">
        <v>4</v>
      </c>
      <c r="AX852" t="s">
        <v>74</v>
      </c>
      <c r="AY852" t="s">
        <v>74</v>
      </c>
      <c r="AZ852" t="s">
        <v>74</v>
      </c>
      <c r="BA852" t="s">
        <v>74</v>
      </c>
      <c r="BB852">
        <v>429</v>
      </c>
      <c r="BC852">
        <v>438</v>
      </c>
      <c r="BD852" t="s">
        <v>74</v>
      </c>
      <c r="BE852" t="s">
        <v>6170</v>
      </c>
      <c r="BF852" t="str">
        <f>HYPERLINK("http://dx.doi.org/10.1080/09593332208618267","http://dx.doi.org/10.1080/09593332208618267")</f>
        <v>http://dx.doi.org/10.1080/09593332208618267</v>
      </c>
      <c r="BG852" t="s">
        <v>74</v>
      </c>
      <c r="BH852" t="s">
        <v>74</v>
      </c>
      <c r="BI852" t="s">
        <v>74</v>
      </c>
      <c r="BJ852" t="s">
        <v>74</v>
      </c>
      <c r="BK852" t="s">
        <v>74</v>
      </c>
      <c r="BL852" t="s">
        <v>74</v>
      </c>
      <c r="BM852" t="s">
        <v>74</v>
      </c>
      <c r="BN852">
        <v>11329805</v>
      </c>
      <c r="BO852" t="s">
        <v>74</v>
      </c>
      <c r="BP852" t="s">
        <v>74</v>
      </c>
      <c r="BQ852" t="s">
        <v>74</v>
      </c>
      <c r="BR852" t="s">
        <v>74</v>
      </c>
      <c r="BS852" t="s">
        <v>6171</v>
      </c>
      <c r="BT852" t="str">
        <f>HYPERLINK("https%3A%2F%2Fwww.webofscience.com%2Fwos%2Fwoscc%2Ffull-record%2FWOS:000168506200007","View Full Record in Web of Science")</f>
        <v>View Full Record in Web of Science</v>
      </c>
    </row>
    <row r="853" spans="1:72" x14ac:dyDescent="0.2">
      <c r="A853" t="s">
        <v>72</v>
      </c>
      <c r="B853" t="s">
        <v>6172</v>
      </c>
      <c r="C853" t="s">
        <v>74</v>
      </c>
      <c r="D853" t="s">
        <v>74</v>
      </c>
      <c r="E853" t="s">
        <v>74</v>
      </c>
      <c r="F853" t="s">
        <v>6172</v>
      </c>
      <c r="G853" t="s">
        <v>74</v>
      </c>
      <c r="H853" t="s">
        <v>74</v>
      </c>
      <c r="I853" t="s">
        <v>6173</v>
      </c>
      <c r="J853" t="s">
        <v>124</v>
      </c>
      <c r="K853" t="s">
        <v>74</v>
      </c>
      <c r="L853" t="s">
        <v>74</v>
      </c>
      <c r="M853" t="s">
        <v>74</v>
      </c>
      <c r="N853" t="s">
        <v>74</v>
      </c>
      <c r="O853" t="s">
        <v>74</v>
      </c>
      <c r="P853" t="s">
        <v>74</v>
      </c>
      <c r="Q853" t="s">
        <v>74</v>
      </c>
      <c r="R853" t="s">
        <v>74</v>
      </c>
      <c r="S853" t="s">
        <v>74</v>
      </c>
      <c r="T853" t="s">
        <v>74</v>
      </c>
      <c r="U853" t="s">
        <v>74</v>
      </c>
      <c r="V853" t="s">
        <v>74</v>
      </c>
      <c r="W853" t="s">
        <v>74</v>
      </c>
      <c r="X853" t="s">
        <v>74</v>
      </c>
      <c r="Y853" t="s">
        <v>74</v>
      </c>
      <c r="Z853" t="s">
        <v>74</v>
      </c>
      <c r="AA853" t="s">
        <v>74</v>
      </c>
      <c r="AB853" t="s">
        <v>74</v>
      </c>
      <c r="AC853" t="s">
        <v>74</v>
      </c>
      <c r="AD853" t="s">
        <v>74</v>
      </c>
      <c r="AE853" t="s">
        <v>74</v>
      </c>
      <c r="AF853" t="s">
        <v>74</v>
      </c>
      <c r="AG853" t="s">
        <v>74</v>
      </c>
      <c r="AH853" t="s">
        <v>74</v>
      </c>
      <c r="AI853" t="s">
        <v>74</v>
      </c>
      <c r="AJ853" t="s">
        <v>74</v>
      </c>
      <c r="AK853" t="s">
        <v>74</v>
      </c>
      <c r="AL853" t="s">
        <v>74</v>
      </c>
      <c r="AM853" t="s">
        <v>74</v>
      </c>
      <c r="AN853" t="s">
        <v>74</v>
      </c>
      <c r="AO853" t="s">
        <v>127</v>
      </c>
      <c r="AP853" t="s">
        <v>128</v>
      </c>
      <c r="AQ853" t="s">
        <v>74</v>
      </c>
      <c r="AR853" t="s">
        <v>74</v>
      </c>
      <c r="AS853" t="s">
        <v>74</v>
      </c>
      <c r="AT853" t="s">
        <v>315</v>
      </c>
      <c r="AU853">
        <v>2001</v>
      </c>
      <c r="AV853">
        <v>442</v>
      </c>
      <c r="AW853" t="s">
        <v>5469</v>
      </c>
      <c r="AX853" t="s">
        <v>74</v>
      </c>
      <c r="AY853" t="s">
        <v>74</v>
      </c>
      <c r="AZ853" t="s">
        <v>74</v>
      </c>
      <c r="BA853" t="s">
        <v>74</v>
      </c>
      <c r="BB853">
        <v>291</v>
      </c>
      <c r="BC853">
        <v>300</v>
      </c>
      <c r="BD853" t="s">
        <v>74</v>
      </c>
      <c r="BE853" t="s">
        <v>74</v>
      </c>
      <c r="BF853" t="s">
        <v>74</v>
      </c>
      <c r="BG853" t="s">
        <v>74</v>
      </c>
      <c r="BH853" t="s">
        <v>74</v>
      </c>
      <c r="BI853" t="s">
        <v>74</v>
      </c>
      <c r="BJ853" t="s">
        <v>74</v>
      </c>
      <c r="BK853" t="s">
        <v>74</v>
      </c>
      <c r="BL853" t="s">
        <v>74</v>
      </c>
      <c r="BM853" t="s">
        <v>74</v>
      </c>
      <c r="BN853" t="s">
        <v>74</v>
      </c>
      <c r="BO853" t="s">
        <v>74</v>
      </c>
      <c r="BP853" t="s">
        <v>74</v>
      </c>
      <c r="BQ853" t="s">
        <v>74</v>
      </c>
      <c r="BR853" t="s">
        <v>74</v>
      </c>
      <c r="BS853" t="s">
        <v>6174</v>
      </c>
      <c r="BT853" t="str">
        <f>HYPERLINK("https%3A%2F%2Fwww.webofscience.com%2Fwos%2Fwoscc%2Ffull-record%2FWOS:000167924900028","View Full Record in Web of Science")</f>
        <v>View Full Record in Web of Science</v>
      </c>
    </row>
    <row r="854" spans="1:72" x14ac:dyDescent="0.2">
      <c r="A854" t="s">
        <v>72</v>
      </c>
      <c r="B854" t="s">
        <v>6175</v>
      </c>
      <c r="C854" t="s">
        <v>74</v>
      </c>
      <c r="D854" t="s">
        <v>74</v>
      </c>
      <c r="E854" t="s">
        <v>74</v>
      </c>
      <c r="F854" t="s">
        <v>6175</v>
      </c>
      <c r="G854" t="s">
        <v>74</v>
      </c>
      <c r="H854" t="s">
        <v>74</v>
      </c>
      <c r="I854" t="s">
        <v>6176</v>
      </c>
      <c r="J854" t="s">
        <v>124</v>
      </c>
      <c r="K854" t="s">
        <v>74</v>
      </c>
      <c r="L854" t="s">
        <v>74</v>
      </c>
      <c r="M854" t="s">
        <v>74</v>
      </c>
      <c r="N854" t="s">
        <v>74</v>
      </c>
      <c r="O854" t="s">
        <v>74</v>
      </c>
      <c r="P854" t="s">
        <v>74</v>
      </c>
      <c r="Q854" t="s">
        <v>74</v>
      </c>
      <c r="R854" t="s">
        <v>74</v>
      </c>
      <c r="S854" t="s">
        <v>74</v>
      </c>
      <c r="T854" t="s">
        <v>74</v>
      </c>
      <c r="U854" t="s">
        <v>74</v>
      </c>
      <c r="V854" t="s">
        <v>74</v>
      </c>
      <c r="W854" t="s">
        <v>74</v>
      </c>
      <c r="X854" t="s">
        <v>74</v>
      </c>
      <c r="Y854" t="s">
        <v>74</v>
      </c>
      <c r="Z854" t="s">
        <v>74</v>
      </c>
      <c r="AA854" t="s">
        <v>74</v>
      </c>
      <c r="AB854" t="s">
        <v>74</v>
      </c>
      <c r="AC854" t="s">
        <v>74</v>
      </c>
      <c r="AD854" t="s">
        <v>74</v>
      </c>
      <c r="AE854" t="s">
        <v>74</v>
      </c>
      <c r="AF854" t="s">
        <v>74</v>
      </c>
      <c r="AG854" t="s">
        <v>74</v>
      </c>
      <c r="AH854" t="s">
        <v>74</v>
      </c>
      <c r="AI854" t="s">
        <v>74</v>
      </c>
      <c r="AJ854" t="s">
        <v>74</v>
      </c>
      <c r="AK854" t="s">
        <v>74</v>
      </c>
      <c r="AL854" t="s">
        <v>74</v>
      </c>
      <c r="AM854" t="s">
        <v>74</v>
      </c>
      <c r="AN854" t="s">
        <v>74</v>
      </c>
      <c r="AO854" t="s">
        <v>127</v>
      </c>
      <c r="AP854" t="s">
        <v>128</v>
      </c>
      <c r="AQ854" t="s">
        <v>74</v>
      </c>
      <c r="AR854" t="s">
        <v>74</v>
      </c>
      <c r="AS854" t="s">
        <v>74</v>
      </c>
      <c r="AT854" t="s">
        <v>74</v>
      </c>
      <c r="AU854">
        <v>2001</v>
      </c>
      <c r="AV854">
        <v>453</v>
      </c>
      <c r="AW854" t="s">
        <v>5469</v>
      </c>
      <c r="AX854" t="s">
        <v>74</v>
      </c>
      <c r="AY854" t="s">
        <v>74</v>
      </c>
      <c r="AZ854" t="s">
        <v>74</v>
      </c>
      <c r="BA854" t="s">
        <v>74</v>
      </c>
      <c r="BB854">
        <v>91</v>
      </c>
      <c r="BC854">
        <v>105</v>
      </c>
      <c r="BD854" t="s">
        <v>74</v>
      </c>
      <c r="BE854" t="s">
        <v>6177</v>
      </c>
      <c r="BF854" t="str">
        <f>HYPERLINK("http://dx.doi.org/10.1023/A:1013111832700","http://dx.doi.org/10.1023/A:1013111832700")</f>
        <v>http://dx.doi.org/10.1023/A:1013111832700</v>
      </c>
      <c r="BG854" t="s">
        <v>74</v>
      </c>
      <c r="BH854" t="s">
        <v>74</v>
      </c>
      <c r="BI854" t="s">
        <v>74</v>
      </c>
      <c r="BJ854" t="s">
        <v>74</v>
      </c>
      <c r="BK854" t="s">
        <v>74</v>
      </c>
      <c r="BL854" t="s">
        <v>74</v>
      </c>
      <c r="BM854" t="s">
        <v>74</v>
      </c>
      <c r="BN854" t="s">
        <v>74</v>
      </c>
      <c r="BO854" t="s">
        <v>74</v>
      </c>
      <c r="BP854" t="s">
        <v>74</v>
      </c>
      <c r="BQ854" t="s">
        <v>74</v>
      </c>
      <c r="BR854" t="s">
        <v>74</v>
      </c>
      <c r="BS854" t="s">
        <v>6178</v>
      </c>
      <c r="BT854" t="str">
        <f>HYPERLINK("https%3A%2F%2Fwww.webofscience.com%2Fwos%2Fwoscc%2Ffull-record%2FWOS:000172600200008","View Full Record in Web of Science")</f>
        <v>View Full Record in Web of Science</v>
      </c>
    </row>
    <row r="855" spans="1:72" x14ac:dyDescent="0.2">
      <c r="A855" t="s">
        <v>72</v>
      </c>
      <c r="B855" t="s">
        <v>6179</v>
      </c>
      <c r="C855" t="s">
        <v>74</v>
      </c>
      <c r="D855" t="s">
        <v>74</v>
      </c>
      <c r="E855" t="s">
        <v>74</v>
      </c>
      <c r="F855" t="s">
        <v>6179</v>
      </c>
      <c r="G855" t="s">
        <v>74</v>
      </c>
      <c r="H855" t="s">
        <v>74</v>
      </c>
      <c r="I855" t="s">
        <v>6180</v>
      </c>
      <c r="J855" t="s">
        <v>6181</v>
      </c>
      <c r="K855" t="s">
        <v>74</v>
      </c>
      <c r="L855" t="s">
        <v>74</v>
      </c>
      <c r="M855" t="s">
        <v>74</v>
      </c>
      <c r="N855" t="s">
        <v>74</v>
      </c>
      <c r="O855" t="s">
        <v>74</v>
      </c>
      <c r="P855" t="s">
        <v>74</v>
      </c>
      <c r="Q855" t="s">
        <v>74</v>
      </c>
      <c r="R855" t="s">
        <v>74</v>
      </c>
      <c r="S855" t="s">
        <v>74</v>
      </c>
      <c r="T855" t="s">
        <v>74</v>
      </c>
      <c r="U855" t="s">
        <v>74</v>
      </c>
      <c r="V855" t="s">
        <v>74</v>
      </c>
      <c r="W855" t="s">
        <v>74</v>
      </c>
      <c r="X855" t="s">
        <v>74</v>
      </c>
      <c r="Y855" t="s">
        <v>74</v>
      </c>
      <c r="Z855" t="s">
        <v>74</v>
      </c>
      <c r="AA855" t="s">
        <v>74</v>
      </c>
      <c r="AB855" t="s">
        <v>74</v>
      </c>
      <c r="AC855" t="s">
        <v>74</v>
      </c>
      <c r="AD855" t="s">
        <v>74</v>
      </c>
      <c r="AE855" t="s">
        <v>74</v>
      </c>
      <c r="AF855" t="s">
        <v>74</v>
      </c>
      <c r="AG855" t="s">
        <v>74</v>
      </c>
      <c r="AH855" t="s">
        <v>74</v>
      </c>
      <c r="AI855" t="s">
        <v>74</v>
      </c>
      <c r="AJ855" t="s">
        <v>74</v>
      </c>
      <c r="AK855" t="s">
        <v>74</v>
      </c>
      <c r="AL855" t="s">
        <v>74</v>
      </c>
      <c r="AM855" t="s">
        <v>74</v>
      </c>
      <c r="AN855" t="s">
        <v>74</v>
      </c>
      <c r="AO855" t="s">
        <v>6182</v>
      </c>
      <c r="AP855" t="s">
        <v>74</v>
      </c>
      <c r="AQ855" t="s">
        <v>74</v>
      </c>
      <c r="AR855" t="s">
        <v>74</v>
      </c>
      <c r="AS855" t="s">
        <v>74</v>
      </c>
      <c r="AT855" t="s">
        <v>257</v>
      </c>
      <c r="AU855">
        <v>2000</v>
      </c>
      <c r="AV855">
        <v>122</v>
      </c>
      <c r="AW855" t="s">
        <v>74</v>
      </c>
      <c r="AX855" t="s">
        <v>74</v>
      </c>
      <c r="AY855" t="s">
        <v>74</v>
      </c>
      <c r="AZ855" t="s">
        <v>74</v>
      </c>
      <c r="BA855" t="s">
        <v>74</v>
      </c>
      <c r="BB855">
        <v>79</v>
      </c>
      <c r="BC855">
        <v>88</v>
      </c>
      <c r="BD855" t="s">
        <v>74</v>
      </c>
      <c r="BE855" t="s">
        <v>74</v>
      </c>
      <c r="BF855" t="s">
        <v>74</v>
      </c>
      <c r="BG855" t="s">
        <v>74</v>
      </c>
      <c r="BH855" t="s">
        <v>74</v>
      </c>
      <c r="BI855" t="s">
        <v>74</v>
      </c>
      <c r="BJ855" t="s">
        <v>74</v>
      </c>
      <c r="BK855" t="s">
        <v>74</v>
      </c>
      <c r="BL855" t="s">
        <v>74</v>
      </c>
      <c r="BM855" t="s">
        <v>74</v>
      </c>
      <c r="BN855" t="s">
        <v>74</v>
      </c>
      <c r="BO855" t="s">
        <v>74</v>
      </c>
      <c r="BP855" t="s">
        <v>74</v>
      </c>
      <c r="BQ855" t="s">
        <v>74</v>
      </c>
      <c r="BR855" t="s">
        <v>74</v>
      </c>
      <c r="BS855" t="s">
        <v>6183</v>
      </c>
      <c r="BT855" t="str">
        <f>HYPERLINK("https%3A%2F%2Fwww.webofscience.com%2Fwos%2Fwoscc%2Ffull-record%2FWOS:000169255200005","View Full Record in Web of Science")</f>
        <v>View Full Record in Web of Science</v>
      </c>
    </row>
    <row r="856" spans="1:72" x14ac:dyDescent="0.2">
      <c r="A856" t="s">
        <v>72</v>
      </c>
      <c r="B856" t="s">
        <v>6184</v>
      </c>
      <c r="C856" t="s">
        <v>74</v>
      </c>
      <c r="D856" t="s">
        <v>74</v>
      </c>
      <c r="E856" t="s">
        <v>74</v>
      </c>
      <c r="F856" t="s">
        <v>6184</v>
      </c>
      <c r="G856" t="s">
        <v>74</v>
      </c>
      <c r="H856" t="s">
        <v>74</v>
      </c>
      <c r="I856" t="s">
        <v>6185</v>
      </c>
      <c r="J856" t="s">
        <v>227</v>
      </c>
      <c r="K856" t="s">
        <v>74</v>
      </c>
      <c r="L856" t="s">
        <v>74</v>
      </c>
      <c r="M856" t="s">
        <v>74</v>
      </c>
      <c r="N856" t="s">
        <v>74</v>
      </c>
      <c r="O856" t="s">
        <v>74</v>
      </c>
      <c r="P856" t="s">
        <v>74</v>
      </c>
      <c r="Q856" t="s">
        <v>74</v>
      </c>
      <c r="R856" t="s">
        <v>74</v>
      </c>
      <c r="S856" t="s">
        <v>74</v>
      </c>
      <c r="T856" t="s">
        <v>74</v>
      </c>
      <c r="U856" t="s">
        <v>74</v>
      </c>
      <c r="V856" t="s">
        <v>74</v>
      </c>
      <c r="W856" t="s">
        <v>74</v>
      </c>
      <c r="X856" t="s">
        <v>74</v>
      </c>
      <c r="Y856" t="s">
        <v>74</v>
      </c>
      <c r="Z856" t="s">
        <v>74</v>
      </c>
      <c r="AA856" t="s">
        <v>6186</v>
      </c>
      <c r="AB856" t="s">
        <v>6187</v>
      </c>
      <c r="AC856" t="s">
        <v>74</v>
      </c>
      <c r="AD856" t="s">
        <v>74</v>
      </c>
      <c r="AE856" t="s">
        <v>74</v>
      </c>
      <c r="AF856" t="s">
        <v>74</v>
      </c>
      <c r="AG856" t="s">
        <v>74</v>
      </c>
      <c r="AH856" t="s">
        <v>74</v>
      </c>
      <c r="AI856" t="s">
        <v>74</v>
      </c>
      <c r="AJ856" t="s">
        <v>74</v>
      </c>
      <c r="AK856" t="s">
        <v>74</v>
      </c>
      <c r="AL856" t="s">
        <v>74</v>
      </c>
      <c r="AM856" t="s">
        <v>74</v>
      </c>
      <c r="AN856" t="s">
        <v>74</v>
      </c>
      <c r="AO856" t="s">
        <v>230</v>
      </c>
      <c r="AP856" t="s">
        <v>74</v>
      </c>
      <c r="AQ856" t="s">
        <v>74</v>
      </c>
      <c r="AR856" t="s">
        <v>74</v>
      </c>
      <c r="AS856" t="s">
        <v>74</v>
      </c>
      <c r="AT856" t="s">
        <v>335</v>
      </c>
      <c r="AU856">
        <v>2000</v>
      </c>
      <c r="AV856">
        <v>45</v>
      </c>
      <c r="AW856">
        <v>7</v>
      </c>
      <c r="AX856" t="s">
        <v>74</v>
      </c>
      <c r="AY856" t="s">
        <v>74</v>
      </c>
      <c r="AZ856" t="s">
        <v>74</v>
      </c>
      <c r="BA856" t="s">
        <v>74</v>
      </c>
      <c r="BB856">
        <v>1672</v>
      </c>
      <c r="BC856">
        <v>1676</v>
      </c>
      <c r="BD856" t="s">
        <v>74</v>
      </c>
      <c r="BE856" t="s">
        <v>6188</v>
      </c>
      <c r="BF856" t="str">
        <f>HYPERLINK("http://dx.doi.org/10.4319/lo.2000.45.7.1672","http://dx.doi.org/10.4319/lo.2000.45.7.1672")</f>
        <v>http://dx.doi.org/10.4319/lo.2000.45.7.1672</v>
      </c>
      <c r="BG856" t="s">
        <v>74</v>
      </c>
      <c r="BH856" t="s">
        <v>74</v>
      </c>
      <c r="BI856" t="s">
        <v>74</v>
      </c>
      <c r="BJ856" t="s">
        <v>74</v>
      </c>
      <c r="BK856" t="s">
        <v>74</v>
      </c>
      <c r="BL856" t="s">
        <v>74</v>
      </c>
      <c r="BM856" t="s">
        <v>74</v>
      </c>
      <c r="BN856" t="s">
        <v>74</v>
      </c>
      <c r="BO856" t="s">
        <v>74</v>
      </c>
      <c r="BP856" t="s">
        <v>74</v>
      </c>
      <c r="BQ856" t="s">
        <v>74</v>
      </c>
      <c r="BR856" t="s">
        <v>74</v>
      </c>
      <c r="BS856" t="s">
        <v>6189</v>
      </c>
      <c r="BT856" t="str">
        <f>HYPERLINK("https%3A%2F%2Fwww.webofscience.com%2Fwos%2Fwoscc%2Ffull-record%2FWOS:000165267100021","View Full Record in Web of Science")</f>
        <v>View Full Record in Web of Science</v>
      </c>
    </row>
    <row r="857" spans="1:72" x14ac:dyDescent="0.2">
      <c r="A857" t="s">
        <v>72</v>
      </c>
      <c r="B857" t="s">
        <v>6190</v>
      </c>
      <c r="C857" t="s">
        <v>74</v>
      </c>
      <c r="D857" t="s">
        <v>74</v>
      </c>
      <c r="E857" t="s">
        <v>74</v>
      </c>
      <c r="F857" t="s">
        <v>6190</v>
      </c>
      <c r="G857" t="s">
        <v>74</v>
      </c>
      <c r="H857" t="s">
        <v>74</v>
      </c>
      <c r="I857" t="s">
        <v>6191</v>
      </c>
      <c r="J857" t="s">
        <v>124</v>
      </c>
      <c r="K857" t="s">
        <v>74</v>
      </c>
      <c r="L857" t="s">
        <v>74</v>
      </c>
      <c r="M857" t="s">
        <v>74</v>
      </c>
      <c r="N857" t="s">
        <v>74</v>
      </c>
      <c r="O857" t="s">
        <v>74</v>
      </c>
      <c r="P857" t="s">
        <v>74</v>
      </c>
      <c r="Q857" t="s">
        <v>74</v>
      </c>
      <c r="R857" t="s">
        <v>74</v>
      </c>
      <c r="S857" t="s">
        <v>74</v>
      </c>
      <c r="T857" t="s">
        <v>74</v>
      </c>
      <c r="U857" t="s">
        <v>74</v>
      </c>
      <c r="V857" t="s">
        <v>74</v>
      </c>
      <c r="W857" t="s">
        <v>74</v>
      </c>
      <c r="X857" t="s">
        <v>74</v>
      </c>
      <c r="Y857" t="s">
        <v>74</v>
      </c>
      <c r="Z857" t="s">
        <v>74</v>
      </c>
      <c r="AA857" t="s">
        <v>74</v>
      </c>
      <c r="AB857" t="s">
        <v>6003</v>
      </c>
      <c r="AC857" t="s">
        <v>74</v>
      </c>
      <c r="AD857" t="s">
        <v>74</v>
      </c>
      <c r="AE857" t="s">
        <v>74</v>
      </c>
      <c r="AF857" t="s">
        <v>74</v>
      </c>
      <c r="AG857" t="s">
        <v>74</v>
      </c>
      <c r="AH857" t="s">
        <v>74</v>
      </c>
      <c r="AI857" t="s">
        <v>74</v>
      </c>
      <c r="AJ857" t="s">
        <v>74</v>
      </c>
      <c r="AK857" t="s">
        <v>74</v>
      </c>
      <c r="AL857" t="s">
        <v>74</v>
      </c>
      <c r="AM857" t="s">
        <v>74</v>
      </c>
      <c r="AN857" t="s">
        <v>74</v>
      </c>
      <c r="AO857" t="s">
        <v>127</v>
      </c>
      <c r="AP857" t="s">
        <v>128</v>
      </c>
      <c r="AQ857" t="s">
        <v>74</v>
      </c>
      <c r="AR857" t="s">
        <v>74</v>
      </c>
      <c r="AS857" t="s">
        <v>74</v>
      </c>
      <c r="AT857" t="s">
        <v>335</v>
      </c>
      <c r="AU857">
        <v>2000</v>
      </c>
      <c r="AV857">
        <v>438</v>
      </c>
      <c r="AW857" t="s">
        <v>5469</v>
      </c>
      <c r="AX857" t="s">
        <v>74</v>
      </c>
      <c r="AY857" t="s">
        <v>74</v>
      </c>
      <c r="AZ857" t="s">
        <v>74</v>
      </c>
      <c r="BA857" t="s">
        <v>74</v>
      </c>
      <c r="BB857">
        <v>75</v>
      </c>
      <c r="BC857">
        <v>90</v>
      </c>
      <c r="BD857" t="s">
        <v>74</v>
      </c>
      <c r="BE857" t="s">
        <v>6192</v>
      </c>
      <c r="BF857" t="str">
        <f>HYPERLINK("http://dx.doi.org/10.1023/A:1004161928957","http://dx.doi.org/10.1023/A:1004161928957")</f>
        <v>http://dx.doi.org/10.1023/A:1004161928957</v>
      </c>
      <c r="BG857" t="s">
        <v>74</v>
      </c>
      <c r="BH857" t="s">
        <v>74</v>
      </c>
      <c r="BI857" t="s">
        <v>74</v>
      </c>
      <c r="BJ857" t="s">
        <v>74</v>
      </c>
      <c r="BK857" t="s">
        <v>74</v>
      </c>
      <c r="BL857" t="s">
        <v>74</v>
      </c>
      <c r="BM857" t="s">
        <v>74</v>
      </c>
      <c r="BN857" t="s">
        <v>74</v>
      </c>
      <c r="BO857" t="s">
        <v>74</v>
      </c>
      <c r="BP857" t="s">
        <v>74</v>
      </c>
      <c r="BQ857" t="s">
        <v>74</v>
      </c>
      <c r="BR857" t="s">
        <v>74</v>
      </c>
      <c r="BS857" t="s">
        <v>6193</v>
      </c>
      <c r="BT857" t="str">
        <f>HYPERLINK("https%3A%2F%2Fwww.webofscience.com%2Fwos%2Fwoscc%2Ffull-record%2FWOS:000166048100006","View Full Record in Web of Science")</f>
        <v>View Full Record in Web of Science</v>
      </c>
    </row>
    <row r="858" spans="1:72" x14ac:dyDescent="0.2">
      <c r="A858" t="s">
        <v>72</v>
      </c>
      <c r="B858" t="s">
        <v>6194</v>
      </c>
      <c r="C858" t="s">
        <v>74</v>
      </c>
      <c r="D858" t="s">
        <v>74</v>
      </c>
      <c r="E858" t="s">
        <v>74</v>
      </c>
      <c r="F858" t="s">
        <v>6194</v>
      </c>
      <c r="G858" t="s">
        <v>74</v>
      </c>
      <c r="H858" t="s">
        <v>74</v>
      </c>
      <c r="I858" t="s">
        <v>6195</v>
      </c>
      <c r="J858" t="s">
        <v>1523</v>
      </c>
      <c r="K858" t="s">
        <v>74</v>
      </c>
      <c r="L858" t="s">
        <v>74</v>
      </c>
      <c r="M858" t="s">
        <v>74</v>
      </c>
      <c r="N858" t="s">
        <v>74</v>
      </c>
      <c r="O858" t="s">
        <v>74</v>
      </c>
      <c r="P858" t="s">
        <v>74</v>
      </c>
      <c r="Q858" t="s">
        <v>74</v>
      </c>
      <c r="R858" t="s">
        <v>74</v>
      </c>
      <c r="S858" t="s">
        <v>74</v>
      </c>
      <c r="T858" t="s">
        <v>74</v>
      </c>
      <c r="U858" t="s">
        <v>74</v>
      </c>
      <c r="V858" t="s">
        <v>74</v>
      </c>
      <c r="W858" t="s">
        <v>74</v>
      </c>
      <c r="X858" t="s">
        <v>74</v>
      </c>
      <c r="Y858" t="s">
        <v>74</v>
      </c>
      <c r="Z858" t="s">
        <v>74</v>
      </c>
      <c r="AA858" t="s">
        <v>5730</v>
      </c>
      <c r="AB858" t="s">
        <v>6196</v>
      </c>
      <c r="AC858" t="s">
        <v>74</v>
      </c>
      <c r="AD858" t="s">
        <v>74</v>
      </c>
      <c r="AE858" t="s">
        <v>74</v>
      </c>
      <c r="AF858" t="s">
        <v>74</v>
      </c>
      <c r="AG858" t="s">
        <v>74</v>
      </c>
      <c r="AH858" t="s">
        <v>74</v>
      </c>
      <c r="AI858" t="s">
        <v>74</v>
      </c>
      <c r="AJ858" t="s">
        <v>74</v>
      </c>
      <c r="AK858" t="s">
        <v>74</v>
      </c>
      <c r="AL858" t="s">
        <v>74</v>
      </c>
      <c r="AM858" t="s">
        <v>74</v>
      </c>
      <c r="AN858" t="s">
        <v>74</v>
      </c>
      <c r="AO858" t="s">
        <v>1524</v>
      </c>
      <c r="AP858" t="s">
        <v>1525</v>
      </c>
      <c r="AQ858" t="s">
        <v>74</v>
      </c>
      <c r="AR858" t="s">
        <v>74</v>
      </c>
      <c r="AS858" t="s">
        <v>74</v>
      </c>
      <c r="AT858" t="s">
        <v>335</v>
      </c>
      <c r="AU858">
        <v>2000</v>
      </c>
      <c r="AV858">
        <v>81</v>
      </c>
      <c r="AW858">
        <v>11</v>
      </c>
      <c r="AX858" t="s">
        <v>74</v>
      </c>
      <c r="AY858" t="s">
        <v>74</v>
      </c>
      <c r="AZ858" t="s">
        <v>74</v>
      </c>
      <c r="BA858" t="s">
        <v>74</v>
      </c>
      <c r="BB858">
        <v>3062</v>
      </c>
      <c r="BC858">
        <v>3073</v>
      </c>
      <c r="BD858" t="s">
        <v>74</v>
      </c>
      <c r="BE858" t="s">
        <v>6197</v>
      </c>
      <c r="BF858" t="str">
        <f>HYPERLINK("http://dx.doi.org/10.1890/0012-9658(2000)081[3062:LARZSR]2.0.CO;2","http://dx.doi.org/10.1890/0012-9658(2000)081[3062:LARZSR]2.0.CO;2")</f>
        <v>http://dx.doi.org/10.1890/0012-9658(2000)081[3062:LARZSR]2.0.CO;2</v>
      </c>
      <c r="BG858" t="s">
        <v>74</v>
      </c>
      <c r="BH858" t="s">
        <v>74</v>
      </c>
      <c r="BI858" t="s">
        <v>74</v>
      </c>
      <c r="BJ858" t="s">
        <v>74</v>
      </c>
      <c r="BK858" t="s">
        <v>74</v>
      </c>
      <c r="BL858" t="s">
        <v>74</v>
      </c>
      <c r="BM858" t="s">
        <v>74</v>
      </c>
      <c r="BN858" t="s">
        <v>74</v>
      </c>
      <c r="BO858" t="s">
        <v>74</v>
      </c>
      <c r="BP858" t="s">
        <v>74</v>
      </c>
      <c r="BQ858" t="s">
        <v>74</v>
      </c>
      <c r="BR858" t="s">
        <v>74</v>
      </c>
      <c r="BS858" t="s">
        <v>6198</v>
      </c>
      <c r="BT858" t="str">
        <f>HYPERLINK("https%3A%2F%2Fwww.webofscience.com%2Fwos%2Fwoscc%2Ffull-record%2FWOS:000165384000010","View Full Record in Web of Science")</f>
        <v>View Full Record in Web of Science</v>
      </c>
    </row>
    <row r="859" spans="1:72" x14ac:dyDescent="0.2">
      <c r="A859" t="s">
        <v>72</v>
      </c>
      <c r="B859" t="s">
        <v>6199</v>
      </c>
      <c r="C859" t="s">
        <v>74</v>
      </c>
      <c r="D859" t="s">
        <v>74</v>
      </c>
      <c r="E859" t="s">
        <v>74</v>
      </c>
      <c r="F859" t="s">
        <v>6199</v>
      </c>
      <c r="G859" t="s">
        <v>74</v>
      </c>
      <c r="H859" t="s">
        <v>74</v>
      </c>
      <c r="I859" t="s">
        <v>6200</v>
      </c>
      <c r="J859" t="s">
        <v>88</v>
      </c>
      <c r="K859" t="s">
        <v>74</v>
      </c>
      <c r="L859" t="s">
        <v>74</v>
      </c>
      <c r="M859" t="s">
        <v>74</v>
      </c>
      <c r="N859" t="s">
        <v>74</v>
      </c>
      <c r="O859" t="s">
        <v>74</v>
      </c>
      <c r="P859" t="s">
        <v>74</v>
      </c>
      <c r="Q859" t="s">
        <v>74</v>
      </c>
      <c r="R859" t="s">
        <v>74</v>
      </c>
      <c r="S859" t="s">
        <v>74</v>
      </c>
      <c r="T859" t="s">
        <v>74</v>
      </c>
      <c r="U859" t="s">
        <v>74</v>
      </c>
      <c r="V859" t="s">
        <v>74</v>
      </c>
      <c r="W859" t="s">
        <v>74</v>
      </c>
      <c r="X859" t="s">
        <v>74</v>
      </c>
      <c r="Y859" t="s">
        <v>74</v>
      </c>
      <c r="Z859" t="s">
        <v>74</v>
      </c>
      <c r="AA859" t="s">
        <v>5677</v>
      </c>
      <c r="AB859" t="s">
        <v>5678</v>
      </c>
      <c r="AC859" t="s">
        <v>74</v>
      </c>
      <c r="AD859" t="s">
        <v>74</v>
      </c>
      <c r="AE859" t="s">
        <v>74</v>
      </c>
      <c r="AF859" t="s">
        <v>74</v>
      </c>
      <c r="AG859" t="s">
        <v>74</v>
      </c>
      <c r="AH859" t="s">
        <v>74</v>
      </c>
      <c r="AI859" t="s">
        <v>74</v>
      </c>
      <c r="AJ859" t="s">
        <v>74</v>
      </c>
      <c r="AK859" t="s">
        <v>74</v>
      </c>
      <c r="AL859" t="s">
        <v>74</v>
      </c>
      <c r="AM859" t="s">
        <v>74</v>
      </c>
      <c r="AN859" t="s">
        <v>74</v>
      </c>
      <c r="AO859" t="s">
        <v>89</v>
      </c>
      <c r="AP859" t="s">
        <v>74</v>
      </c>
      <c r="AQ859" t="s">
        <v>74</v>
      </c>
      <c r="AR859" t="s">
        <v>74</v>
      </c>
      <c r="AS859" t="s">
        <v>74</v>
      </c>
      <c r="AT859" t="s">
        <v>406</v>
      </c>
      <c r="AU859">
        <v>2000</v>
      </c>
      <c r="AV859">
        <v>57</v>
      </c>
      <c r="AW859">
        <v>10</v>
      </c>
      <c r="AX859" t="s">
        <v>74</v>
      </c>
      <c r="AY859" t="s">
        <v>74</v>
      </c>
      <c r="AZ859" t="s">
        <v>74</v>
      </c>
      <c r="BA859" t="s">
        <v>74</v>
      </c>
      <c r="BB859">
        <v>1965</v>
      </c>
      <c r="BC859">
        <v>1968</v>
      </c>
      <c r="BD859" t="s">
        <v>74</v>
      </c>
      <c r="BE859" t="s">
        <v>6201</v>
      </c>
      <c r="BF859" t="str">
        <f>HYPERLINK("http://dx.doi.org/10.1139/cjfas-57-10-1965","http://dx.doi.org/10.1139/cjfas-57-10-1965")</f>
        <v>http://dx.doi.org/10.1139/cjfas-57-10-1965</v>
      </c>
      <c r="BG859" t="s">
        <v>74</v>
      </c>
      <c r="BH859" t="s">
        <v>74</v>
      </c>
      <c r="BI859" t="s">
        <v>74</v>
      </c>
      <c r="BJ859" t="s">
        <v>74</v>
      </c>
      <c r="BK859" t="s">
        <v>74</v>
      </c>
      <c r="BL859" t="s">
        <v>74</v>
      </c>
      <c r="BM859" t="s">
        <v>74</v>
      </c>
      <c r="BN859" t="s">
        <v>74</v>
      </c>
      <c r="BO859" t="s">
        <v>74</v>
      </c>
      <c r="BP859" t="s">
        <v>74</v>
      </c>
      <c r="BQ859" t="s">
        <v>74</v>
      </c>
      <c r="BR859" t="s">
        <v>74</v>
      </c>
      <c r="BS859" t="s">
        <v>6202</v>
      </c>
      <c r="BT859" t="str">
        <f>HYPERLINK("https%3A%2F%2Fwww.webofscience.com%2Fwos%2Fwoscc%2Ffull-record%2FWOS:000165188300001","View Full Record in Web of Science")</f>
        <v>View Full Record in Web of Science</v>
      </c>
    </row>
    <row r="860" spans="1:72" x14ac:dyDescent="0.2">
      <c r="A860" t="s">
        <v>72</v>
      </c>
      <c r="B860" t="s">
        <v>6203</v>
      </c>
      <c r="C860" t="s">
        <v>74</v>
      </c>
      <c r="D860" t="s">
        <v>74</v>
      </c>
      <c r="E860" t="s">
        <v>74</v>
      </c>
      <c r="F860" t="s">
        <v>6203</v>
      </c>
      <c r="G860" t="s">
        <v>74</v>
      </c>
      <c r="H860" t="s">
        <v>74</v>
      </c>
      <c r="I860" t="s">
        <v>6204</v>
      </c>
      <c r="J860" t="s">
        <v>106</v>
      </c>
      <c r="K860" t="s">
        <v>74</v>
      </c>
      <c r="L860" t="s">
        <v>74</v>
      </c>
      <c r="M860" t="s">
        <v>74</v>
      </c>
      <c r="N860" t="s">
        <v>74</v>
      </c>
      <c r="O860" t="s">
        <v>74</v>
      </c>
      <c r="P860" t="s">
        <v>74</v>
      </c>
      <c r="Q860" t="s">
        <v>74</v>
      </c>
      <c r="R860" t="s">
        <v>74</v>
      </c>
      <c r="S860" t="s">
        <v>74</v>
      </c>
      <c r="T860" t="s">
        <v>74</v>
      </c>
      <c r="U860" t="s">
        <v>74</v>
      </c>
      <c r="V860" t="s">
        <v>74</v>
      </c>
      <c r="W860" t="s">
        <v>74</v>
      </c>
      <c r="X860" t="s">
        <v>74</v>
      </c>
      <c r="Y860" t="s">
        <v>74</v>
      </c>
      <c r="Z860" t="s">
        <v>74</v>
      </c>
      <c r="AA860" t="s">
        <v>74</v>
      </c>
      <c r="AB860" t="s">
        <v>74</v>
      </c>
      <c r="AC860" t="s">
        <v>74</v>
      </c>
      <c r="AD860" t="s">
        <v>74</v>
      </c>
      <c r="AE860" t="s">
        <v>74</v>
      </c>
      <c r="AF860" t="s">
        <v>74</v>
      </c>
      <c r="AG860" t="s">
        <v>74</v>
      </c>
      <c r="AH860" t="s">
        <v>74</v>
      </c>
      <c r="AI860" t="s">
        <v>74</v>
      </c>
      <c r="AJ860" t="s">
        <v>74</v>
      </c>
      <c r="AK860" t="s">
        <v>74</v>
      </c>
      <c r="AL860" t="s">
        <v>74</v>
      </c>
      <c r="AM860" t="s">
        <v>74</v>
      </c>
      <c r="AN860" t="s">
        <v>74</v>
      </c>
      <c r="AO860" t="s">
        <v>107</v>
      </c>
      <c r="AP860" t="s">
        <v>74</v>
      </c>
      <c r="AQ860" t="s">
        <v>74</v>
      </c>
      <c r="AR860" t="s">
        <v>74</v>
      </c>
      <c r="AS860" t="s">
        <v>74</v>
      </c>
      <c r="AT860" t="s">
        <v>575</v>
      </c>
      <c r="AU860">
        <v>2000</v>
      </c>
      <c r="AV860">
        <v>22</v>
      </c>
      <c r="AW860">
        <v>5</v>
      </c>
      <c r="AX860" t="s">
        <v>74</v>
      </c>
      <c r="AY860" t="s">
        <v>74</v>
      </c>
      <c r="AZ860" t="s">
        <v>74</v>
      </c>
      <c r="BA860" t="s">
        <v>74</v>
      </c>
      <c r="BB860">
        <v>987</v>
      </c>
      <c r="BC860">
        <v>995</v>
      </c>
      <c r="BD860" t="s">
        <v>74</v>
      </c>
      <c r="BE860" t="s">
        <v>6205</v>
      </c>
      <c r="BF860" t="str">
        <f>HYPERLINK("http://dx.doi.org/10.1093/plankt/22.5.987","http://dx.doi.org/10.1093/plankt/22.5.987")</f>
        <v>http://dx.doi.org/10.1093/plankt/22.5.987</v>
      </c>
      <c r="BG860" t="s">
        <v>74</v>
      </c>
      <c r="BH860" t="s">
        <v>74</v>
      </c>
      <c r="BI860" t="s">
        <v>74</v>
      </c>
      <c r="BJ860" t="s">
        <v>74</v>
      </c>
      <c r="BK860" t="s">
        <v>74</v>
      </c>
      <c r="BL860" t="s">
        <v>74</v>
      </c>
      <c r="BM860" t="s">
        <v>74</v>
      </c>
      <c r="BN860" t="s">
        <v>74</v>
      </c>
      <c r="BO860" t="s">
        <v>74</v>
      </c>
      <c r="BP860" t="s">
        <v>74</v>
      </c>
      <c r="BQ860" t="s">
        <v>74</v>
      </c>
      <c r="BR860" t="s">
        <v>74</v>
      </c>
      <c r="BS860" t="s">
        <v>6206</v>
      </c>
      <c r="BT860" t="str">
        <f>HYPERLINK("https%3A%2F%2Fwww.webofscience.com%2Fwos%2Fwoscc%2Ffull-record%2FWOS:000087155100010","View Full Record in Web of Science")</f>
        <v>View Full Record in Web of Science</v>
      </c>
    </row>
    <row r="861" spans="1:72" x14ac:dyDescent="0.2">
      <c r="A861" t="s">
        <v>72</v>
      </c>
      <c r="B861" t="s">
        <v>6207</v>
      </c>
      <c r="C861" t="s">
        <v>74</v>
      </c>
      <c r="D861" t="s">
        <v>74</v>
      </c>
      <c r="E861" t="s">
        <v>74</v>
      </c>
      <c r="F861" t="s">
        <v>6207</v>
      </c>
      <c r="G861" t="s">
        <v>74</v>
      </c>
      <c r="H861" t="s">
        <v>74</v>
      </c>
      <c r="I861" t="s">
        <v>6208</v>
      </c>
      <c r="J861" t="s">
        <v>423</v>
      </c>
      <c r="K861" t="s">
        <v>74</v>
      </c>
      <c r="L861" t="s">
        <v>74</v>
      </c>
      <c r="M861" t="s">
        <v>74</v>
      </c>
      <c r="N861" t="s">
        <v>74</v>
      </c>
      <c r="O861" t="s">
        <v>74</v>
      </c>
      <c r="P861" t="s">
        <v>74</v>
      </c>
      <c r="Q861" t="s">
        <v>74</v>
      </c>
      <c r="R861" t="s">
        <v>74</v>
      </c>
      <c r="S861" t="s">
        <v>74</v>
      </c>
      <c r="T861" t="s">
        <v>74</v>
      </c>
      <c r="U861" t="s">
        <v>74</v>
      </c>
      <c r="V861" t="s">
        <v>74</v>
      </c>
      <c r="W861" t="s">
        <v>74</v>
      </c>
      <c r="X861" t="s">
        <v>74</v>
      </c>
      <c r="Y861" t="s">
        <v>74</v>
      </c>
      <c r="Z861" t="s">
        <v>74</v>
      </c>
      <c r="AA861" t="s">
        <v>74</v>
      </c>
      <c r="AB861" t="s">
        <v>74</v>
      </c>
      <c r="AC861" t="s">
        <v>74</v>
      </c>
      <c r="AD861" t="s">
        <v>74</v>
      </c>
      <c r="AE861" t="s">
        <v>74</v>
      </c>
      <c r="AF861" t="s">
        <v>74</v>
      </c>
      <c r="AG861" t="s">
        <v>74</v>
      </c>
      <c r="AH861" t="s">
        <v>74</v>
      </c>
      <c r="AI861" t="s">
        <v>74</v>
      </c>
      <c r="AJ861" t="s">
        <v>74</v>
      </c>
      <c r="AK861" t="s">
        <v>74</v>
      </c>
      <c r="AL861" t="s">
        <v>74</v>
      </c>
      <c r="AM861" t="s">
        <v>74</v>
      </c>
      <c r="AN861" t="s">
        <v>74</v>
      </c>
      <c r="AO861" t="s">
        <v>425</v>
      </c>
      <c r="AP861" t="s">
        <v>74</v>
      </c>
      <c r="AQ861" t="s">
        <v>74</v>
      </c>
      <c r="AR861" t="s">
        <v>74</v>
      </c>
      <c r="AS861" t="s">
        <v>74</v>
      </c>
      <c r="AT861" t="s">
        <v>203</v>
      </c>
      <c r="AU861">
        <v>2000</v>
      </c>
      <c r="AV861">
        <v>43</v>
      </c>
      <c r="AW861">
        <v>4</v>
      </c>
      <c r="AX861" t="s">
        <v>74</v>
      </c>
      <c r="AY861" t="s">
        <v>74</v>
      </c>
      <c r="AZ861" t="s">
        <v>74</v>
      </c>
      <c r="BA861" t="s">
        <v>74</v>
      </c>
      <c r="BB861">
        <v>649</v>
      </c>
      <c r="BC861">
        <v>662</v>
      </c>
      <c r="BD861" t="s">
        <v>74</v>
      </c>
      <c r="BE861" t="s">
        <v>6209</v>
      </c>
      <c r="BF861" t="str">
        <f>HYPERLINK("http://dx.doi.org/10.1046/j.1365-2427.2000.t01-1-00537.x","http://dx.doi.org/10.1046/j.1365-2427.2000.t01-1-00537.x")</f>
        <v>http://dx.doi.org/10.1046/j.1365-2427.2000.t01-1-00537.x</v>
      </c>
      <c r="BG861" t="s">
        <v>74</v>
      </c>
      <c r="BH861" t="s">
        <v>74</v>
      </c>
      <c r="BI861" t="s">
        <v>74</v>
      </c>
      <c r="BJ861" t="s">
        <v>74</v>
      </c>
      <c r="BK861" t="s">
        <v>74</v>
      </c>
      <c r="BL861" t="s">
        <v>74</v>
      </c>
      <c r="BM861" t="s">
        <v>74</v>
      </c>
      <c r="BN861" t="s">
        <v>74</v>
      </c>
      <c r="BO861" t="s">
        <v>74</v>
      </c>
      <c r="BP861" t="s">
        <v>74</v>
      </c>
      <c r="BQ861" t="s">
        <v>74</v>
      </c>
      <c r="BR861" t="s">
        <v>74</v>
      </c>
      <c r="BS861" t="s">
        <v>6210</v>
      </c>
      <c r="BT861" t="str">
        <f>HYPERLINK("https%3A%2F%2Fwww.webofscience.com%2Fwos%2Fwoscc%2Ffull-record%2FWOS:000086330700010","View Full Record in Web of Science")</f>
        <v>View Full Record in Web of Science</v>
      </c>
    </row>
    <row r="862" spans="1:72" x14ac:dyDescent="0.2">
      <c r="A862" t="s">
        <v>72</v>
      </c>
      <c r="B862" t="s">
        <v>6211</v>
      </c>
      <c r="C862" t="s">
        <v>74</v>
      </c>
      <c r="D862" t="s">
        <v>74</v>
      </c>
      <c r="E862" t="s">
        <v>74</v>
      </c>
      <c r="F862" t="s">
        <v>6211</v>
      </c>
      <c r="G862" t="s">
        <v>74</v>
      </c>
      <c r="H862" t="s">
        <v>74</v>
      </c>
      <c r="I862" t="s">
        <v>6212</v>
      </c>
      <c r="J862" t="s">
        <v>1523</v>
      </c>
      <c r="K862" t="s">
        <v>74</v>
      </c>
      <c r="L862" t="s">
        <v>74</v>
      </c>
      <c r="M862" t="s">
        <v>74</v>
      </c>
      <c r="N862" t="s">
        <v>74</v>
      </c>
      <c r="O862" t="s">
        <v>74</v>
      </c>
      <c r="P862" t="s">
        <v>74</v>
      </c>
      <c r="Q862" t="s">
        <v>74</v>
      </c>
      <c r="R862" t="s">
        <v>74</v>
      </c>
      <c r="S862" t="s">
        <v>74</v>
      </c>
      <c r="T862" t="s">
        <v>74</v>
      </c>
      <c r="U862" t="s">
        <v>74</v>
      </c>
      <c r="V862" t="s">
        <v>74</v>
      </c>
      <c r="W862" t="s">
        <v>74</v>
      </c>
      <c r="X862" t="s">
        <v>74</v>
      </c>
      <c r="Y862" t="s">
        <v>74</v>
      </c>
      <c r="Z862" t="s">
        <v>74</v>
      </c>
      <c r="AA862" t="s">
        <v>74</v>
      </c>
      <c r="AB862" t="s">
        <v>74</v>
      </c>
      <c r="AC862" t="s">
        <v>74</v>
      </c>
      <c r="AD862" t="s">
        <v>74</v>
      </c>
      <c r="AE862" t="s">
        <v>74</v>
      </c>
      <c r="AF862" t="s">
        <v>74</v>
      </c>
      <c r="AG862" t="s">
        <v>74</v>
      </c>
      <c r="AH862" t="s">
        <v>74</v>
      </c>
      <c r="AI862" t="s">
        <v>74</v>
      </c>
      <c r="AJ862" t="s">
        <v>74</v>
      </c>
      <c r="AK862" t="s">
        <v>74</v>
      </c>
      <c r="AL862" t="s">
        <v>74</v>
      </c>
      <c r="AM862" t="s">
        <v>74</v>
      </c>
      <c r="AN862" t="s">
        <v>74</v>
      </c>
      <c r="AO862" t="s">
        <v>1524</v>
      </c>
      <c r="AP862" t="s">
        <v>1525</v>
      </c>
      <c r="AQ862" t="s">
        <v>74</v>
      </c>
      <c r="AR862" t="s">
        <v>74</v>
      </c>
      <c r="AS862" t="s">
        <v>74</v>
      </c>
      <c r="AT862" t="s">
        <v>157</v>
      </c>
      <c r="AU862">
        <v>2000</v>
      </c>
      <c r="AV862">
        <v>81</v>
      </c>
      <c r="AW862">
        <v>3</v>
      </c>
      <c r="AX862" t="s">
        <v>74</v>
      </c>
      <c r="AY862" t="s">
        <v>74</v>
      </c>
      <c r="AZ862" t="s">
        <v>74</v>
      </c>
      <c r="BA862" t="s">
        <v>74</v>
      </c>
      <c r="BB862">
        <v>826</v>
      </c>
      <c r="BC862">
        <v>841</v>
      </c>
      <c r="BD862" t="s">
        <v>74</v>
      </c>
      <c r="BE862" t="s">
        <v>7181</v>
      </c>
      <c r="BF862" t="str">
        <f>HYPERLINK("http://dx.doi.org/10.1890/0012-9658(2000)081[0826:AFTOIR]2.0.CO;2","http://dx.doi.org/10.1890/0012-9658(2000)081[0826:AFTOIR]2.0.CO;2")</f>
        <v>http://dx.doi.org/10.1890/0012-9658(2000)081[0826:AFTOIR]2.0.CO;2</v>
      </c>
      <c r="BG862" t="s">
        <v>74</v>
      </c>
      <c r="BH862" t="s">
        <v>74</v>
      </c>
      <c r="BI862" t="s">
        <v>74</v>
      </c>
      <c r="BJ862" t="s">
        <v>74</v>
      </c>
      <c r="BK862" t="s">
        <v>74</v>
      </c>
      <c r="BL862" t="s">
        <v>74</v>
      </c>
      <c r="BM862" t="s">
        <v>74</v>
      </c>
      <c r="BN862" t="s">
        <v>74</v>
      </c>
      <c r="BO862" t="s">
        <v>74</v>
      </c>
      <c r="BP862" t="s">
        <v>74</v>
      </c>
      <c r="BQ862" t="s">
        <v>74</v>
      </c>
      <c r="BR862" t="s">
        <v>74</v>
      </c>
      <c r="BS862" t="s">
        <v>6213</v>
      </c>
      <c r="BT862" t="str">
        <f>HYPERLINK("https%3A%2F%2Fwww.webofscience.com%2Fwos%2Fwoscc%2Ffull-record%2FWOS:000085611400019","View Full Record in Web of Science")</f>
        <v>View Full Record in Web of Science</v>
      </c>
    </row>
    <row r="863" spans="1:72" x14ac:dyDescent="0.2">
      <c r="A863" t="s">
        <v>72</v>
      </c>
      <c r="B863" t="s">
        <v>6214</v>
      </c>
      <c r="C863" t="s">
        <v>74</v>
      </c>
      <c r="D863" t="s">
        <v>74</v>
      </c>
      <c r="E863" t="s">
        <v>74</v>
      </c>
      <c r="F863" t="s">
        <v>6214</v>
      </c>
      <c r="G863" t="s">
        <v>74</v>
      </c>
      <c r="H863" t="s">
        <v>74</v>
      </c>
      <c r="I863" t="s">
        <v>6215</v>
      </c>
      <c r="J863" t="s">
        <v>6216</v>
      </c>
      <c r="K863" t="s">
        <v>74</v>
      </c>
      <c r="L863" t="s">
        <v>74</v>
      </c>
      <c r="M863" t="s">
        <v>74</v>
      </c>
      <c r="N863" t="s">
        <v>74</v>
      </c>
      <c r="O863" t="s">
        <v>74</v>
      </c>
      <c r="P863" t="s">
        <v>74</v>
      </c>
      <c r="Q863" t="s">
        <v>74</v>
      </c>
      <c r="R863" t="s">
        <v>74</v>
      </c>
      <c r="S863" t="s">
        <v>74</v>
      </c>
      <c r="T863" t="s">
        <v>74</v>
      </c>
      <c r="U863" t="s">
        <v>74</v>
      </c>
      <c r="V863" t="s">
        <v>74</v>
      </c>
      <c r="W863" t="s">
        <v>74</v>
      </c>
      <c r="X863" t="s">
        <v>74</v>
      </c>
      <c r="Y863" t="s">
        <v>74</v>
      </c>
      <c r="Z863" t="s">
        <v>74</v>
      </c>
      <c r="AA863" t="s">
        <v>6217</v>
      </c>
      <c r="AB863" t="s">
        <v>74</v>
      </c>
      <c r="AC863" t="s">
        <v>74</v>
      </c>
      <c r="AD863" t="s">
        <v>74</v>
      </c>
      <c r="AE863" t="s">
        <v>74</v>
      </c>
      <c r="AF863" t="s">
        <v>74</v>
      </c>
      <c r="AG863" t="s">
        <v>74</v>
      </c>
      <c r="AH863" t="s">
        <v>74</v>
      </c>
      <c r="AI863" t="s">
        <v>74</v>
      </c>
      <c r="AJ863" t="s">
        <v>74</v>
      </c>
      <c r="AK863" t="s">
        <v>74</v>
      </c>
      <c r="AL863" t="s">
        <v>74</v>
      </c>
      <c r="AM863" t="s">
        <v>74</v>
      </c>
      <c r="AN863" t="s">
        <v>74</v>
      </c>
      <c r="AO863" t="s">
        <v>6218</v>
      </c>
      <c r="AP863" t="s">
        <v>6219</v>
      </c>
      <c r="AQ863" t="s">
        <v>74</v>
      </c>
      <c r="AR863" t="s">
        <v>74</v>
      </c>
      <c r="AS863" t="s">
        <v>74</v>
      </c>
      <c r="AT863" t="s">
        <v>416</v>
      </c>
      <c r="AU863">
        <v>2000</v>
      </c>
      <c r="AV863">
        <v>250</v>
      </c>
      <c r="AW863" t="s">
        <v>74</v>
      </c>
      <c r="AX863">
        <v>2</v>
      </c>
      <c r="AY863" t="s">
        <v>74</v>
      </c>
      <c r="AZ863" t="s">
        <v>74</v>
      </c>
      <c r="BA863" t="s">
        <v>74</v>
      </c>
      <c r="BB863">
        <v>141</v>
      </c>
      <c r="BC863">
        <v>160</v>
      </c>
      <c r="BD863" t="s">
        <v>74</v>
      </c>
      <c r="BE863" t="s">
        <v>6220</v>
      </c>
      <c r="BF863" t="str">
        <f>HYPERLINK("http://dx.doi.org/10.1017/S0952836900002016","http://dx.doi.org/10.1017/S0952836900002016")</f>
        <v>http://dx.doi.org/10.1017/S0952836900002016</v>
      </c>
      <c r="BG863" t="s">
        <v>74</v>
      </c>
      <c r="BH863" t="s">
        <v>74</v>
      </c>
      <c r="BI863" t="s">
        <v>74</v>
      </c>
      <c r="BJ863" t="s">
        <v>74</v>
      </c>
      <c r="BK863" t="s">
        <v>74</v>
      </c>
      <c r="BL863" t="s">
        <v>74</v>
      </c>
      <c r="BM863" t="s">
        <v>74</v>
      </c>
      <c r="BN863" t="s">
        <v>74</v>
      </c>
      <c r="BO863" t="s">
        <v>74</v>
      </c>
      <c r="BP863" t="s">
        <v>74</v>
      </c>
      <c r="BQ863" t="s">
        <v>74</v>
      </c>
      <c r="BR863" t="s">
        <v>74</v>
      </c>
      <c r="BS863" t="s">
        <v>6221</v>
      </c>
      <c r="BT863" t="str">
        <f>HYPERLINK("https%3A%2F%2Fwww.webofscience.com%2Fwos%2Fwoscc%2Ffull-record%2FWOS:000085859900001","View Full Record in Web of Science")</f>
        <v>View Full Record in Web of Science</v>
      </c>
    </row>
    <row r="864" spans="1:72" x14ac:dyDescent="0.2">
      <c r="A864" t="s">
        <v>72</v>
      </c>
      <c r="B864" t="s">
        <v>6222</v>
      </c>
      <c r="C864" t="s">
        <v>74</v>
      </c>
      <c r="D864" t="s">
        <v>74</v>
      </c>
      <c r="E864" t="s">
        <v>74</v>
      </c>
      <c r="F864" t="s">
        <v>6222</v>
      </c>
      <c r="G864" t="s">
        <v>74</v>
      </c>
      <c r="H864" t="s">
        <v>74</v>
      </c>
      <c r="I864" t="s">
        <v>6223</v>
      </c>
      <c r="J864" t="s">
        <v>106</v>
      </c>
      <c r="K864" t="s">
        <v>74</v>
      </c>
      <c r="L864" t="s">
        <v>74</v>
      </c>
      <c r="M864" t="s">
        <v>74</v>
      </c>
      <c r="N864" t="s">
        <v>74</v>
      </c>
      <c r="O864" t="s">
        <v>74</v>
      </c>
      <c r="P864" t="s">
        <v>74</v>
      </c>
      <c r="Q864" t="s">
        <v>74</v>
      </c>
      <c r="R864" t="s">
        <v>74</v>
      </c>
      <c r="S864" t="s">
        <v>74</v>
      </c>
      <c r="T864" t="s">
        <v>74</v>
      </c>
      <c r="U864" t="s">
        <v>74</v>
      </c>
      <c r="V864" t="s">
        <v>74</v>
      </c>
      <c r="W864" t="s">
        <v>74</v>
      </c>
      <c r="X864" t="s">
        <v>74</v>
      </c>
      <c r="Y864" t="s">
        <v>74</v>
      </c>
      <c r="Z864" t="s">
        <v>74</v>
      </c>
      <c r="AA864" t="s">
        <v>74</v>
      </c>
      <c r="AB864" t="s">
        <v>74</v>
      </c>
      <c r="AC864" t="s">
        <v>74</v>
      </c>
      <c r="AD864" t="s">
        <v>74</v>
      </c>
      <c r="AE864" t="s">
        <v>74</v>
      </c>
      <c r="AF864" t="s">
        <v>74</v>
      </c>
      <c r="AG864" t="s">
        <v>74</v>
      </c>
      <c r="AH864" t="s">
        <v>74</v>
      </c>
      <c r="AI864" t="s">
        <v>74</v>
      </c>
      <c r="AJ864" t="s">
        <v>74</v>
      </c>
      <c r="AK864" t="s">
        <v>74</v>
      </c>
      <c r="AL864" t="s">
        <v>74</v>
      </c>
      <c r="AM864" t="s">
        <v>74</v>
      </c>
      <c r="AN864" t="s">
        <v>74</v>
      </c>
      <c r="AO864" t="s">
        <v>107</v>
      </c>
      <c r="AP864" t="s">
        <v>74</v>
      </c>
      <c r="AQ864" t="s">
        <v>74</v>
      </c>
      <c r="AR864" t="s">
        <v>74</v>
      </c>
      <c r="AS864" t="s">
        <v>74</v>
      </c>
      <c r="AT864" t="s">
        <v>416</v>
      </c>
      <c r="AU864">
        <v>2000</v>
      </c>
      <c r="AV864">
        <v>22</v>
      </c>
      <c r="AW864">
        <v>2</v>
      </c>
      <c r="AX864" t="s">
        <v>74</v>
      </c>
      <c r="AY864" t="s">
        <v>74</v>
      </c>
      <c r="AZ864" t="s">
        <v>74</v>
      </c>
      <c r="BA864" t="s">
        <v>74</v>
      </c>
      <c r="BB864">
        <v>241</v>
      </c>
      <c r="BC864">
        <v>251</v>
      </c>
      <c r="BD864" t="s">
        <v>74</v>
      </c>
      <c r="BE864" t="s">
        <v>6224</v>
      </c>
      <c r="BF864" t="str">
        <f>HYPERLINK("http://dx.doi.org/10.1093/plankt/22.2.241","http://dx.doi.org/10.1093/plankt/22.2.241")</f>
        <v>http://dx.doi.org/10.1093/plankt/22.2.241</v>
      </c>
      <c r="BG864" t="s">
        <v>74</v>
      </c>
      <c r="BH864" t="s">
        <v>74</v>
      </c>
      <c r="BI864" t="s">
        <v>74</v>
      </c>
      <c r="BJ864" t="s">
        <v>74</v>
      </c>
      <c r="BK864" t="s">
        <v>74</v>
      </c>
      <c r="BL864" t="s">
        <v>74</v>
      </c>
      <c r="BM864" t="s">
        <v>74</v>
      </c>
      <c r="BN864" t="s">
        <v>74</v>
      </c>
      <c r="BO864" t="s">
        <v>74</v>
      </c>
      <c r="BP864" t="s">
        <v>74</v>
      </c>
      <c r="BQ864" t="s">
        <v>74</v>
      </c>
      <c r="BR864" t="s">
        <v>74</v>
      </c>
      <c r="BS864" t="s">
        <v>6225</v>
      </c>
      <c r="BT864" t="str">
        <f>HYPERLINK("https%3A%2F%2Fwww.webofscience.com%2Fwos%2Fwoscc%2Ffull-record%2FWOS:000085216000003","View Full Record in Web of Science")</f>
        <v>View Full Record in Web of Science</v>
      </c>
    </row>
    <row r="865" spans="1:72" x14ac:dyDescent="0.2">
      <c r="A865" t="s">
        <v>72</v>
      </c>
      <c r="B865" t="s">
        <v>6226</v>
      </c>
      <c r="C865" t="s">
        <v>74</v>
      </c>
      <c r="D865" t="s">
        <v>74</v>
      </c>
      <c r="E865" t="s">
        <v>74</v>
      </c>
      <c r="F865" t="s">
        <v>6226</v>
      </c>
      <c r="G865" t="s">
        <v>74</v>
      </c>
      <c r="H865" t="s">
        <v>74</v>
      </c>
      <c r="I865" t="s">
        <v>6227</v>
      </c>
      <c r="J865" t="s">
        <v>1299</v>
      </c>
      <c r="K865" t="s">
        <v>74</v>
      </c>
      <c r="L865" t="s">
        <v>74</v>
      </c>
      <c r="M865" t="s">
        <v>74</v>
      </c>
      <c r="N865" t="s">
        <v>74</v>
      </c>
      <c r="O865" t="s">
        <v>74</v>
      </c>
      <c r="P865" t="s">
        <v>74</v>
      </c>
      <c r="Q865" t="s">
        <v>74</v>
      </c>
      <c r="R865" t="s">
        <v>74</v>
      </c>
      <c r="S865" t="s">
        <v>74</v>
      </c>
      <c r="T865" t="s">
        <v>74</v>
      </c>
      <c r="U865" t="s">
        <v>74</v>
      </c>
      <c r="V865" t="s">
        <v>74</v>
      </c>
      <c r="W865" t="s">
        <v>74</v>
      </c>
      <c r="X865" t="s">
        <v>74</v>
      </c>
      <c r="Y865" t="s">
        <v>74</v>
      </c>
      <c r="Z865" t="s">
        <v>74</v>
      </c>
      <c r="AA865" t="s">
        <v>74</v>
      </c>
      <c r="AB865" t="s">
        <v>74</v>
      </c>
      <c r="AC865" t="s">
        <v>74</v>
      </c>
      <c r="AD865" t="s">
        <v>74</v>
      </c>
      <c r="AE865" t="s">
        <v>74</v>
      </c>
      <c r="AF865" t="s">
        <v>74</v>
      </c>
      <c r="AG865" t="s">
        <v>74</v>
      </c>
      <c r="AH865" t="s">
        <v>74</v>
      </c>
      <c r="AI865" t="s">
        <v>74</v>
      </c>
      <c r="AJ865" t="s">
        <v>74</v>
      </c>
      <c r="AK865" t="s">
        <v>74</v>
      </c>
      <c r="AL865" t="s">
        <v>74</v>
      </c>
      <c r="AM865" t="s">
        <v>74</v>
      </c>
      <c r="AN865" t="s">
        <v>74</v>
      </c>
      <c r="AO865" t="s">
        <v>1302</v>
      </c>
      <c r="AP865" t="s">
        <v>1303</v>
      </c>
      <c r="AQ865" t="s">
        <v>74</v>
      </c>
      <c r="AR865" t="s">
        <v>74</v>
      </c>
      <c r="AS865" t="s">
        <v>74</v>
      </c>
      <c r="AT865" t="s">
        <v>416</v>
      </c>
      <c r="AU865">
        <v>2000</v>
      </c>
      <c r="AV865">
        <v>122</v>
      </c>
      <c r="AW865">
        <v>3</v>
      </c>
      <c r="AX865" t="s">
        <v>74</v>
      </c>
      <c r="AY865" t="s">
        <v>74</v>
      </c>
      <c r="AZ865" t="s">
        <v>74</v>
      </c>
      <c r="BA865" t="s">
        <v>74</v>
      </c>
      <c r="BB865">
        <v>318</v>
      </c>
      <c r="BC865">
        <v>326</v>
      </c>
      <c r="BD865" t="s">
        <v>74</v>
      </c>
      <c r="BE865" t="s">
        <v>6228</v>
      </c>
      <c r="BF865" t="str">
        <f>HYPERLINK("http://dx.doi.org/10.1007/s004420050037","http://dx.doi.org/10.1007/s004420050037")</f>
        <v>http://dx.doi.org/10.1007/s004420050037</v>
      </c>
      <c r="BG865" t="s">
        <v>74</v>
      </c>
      <c r="BH865" t="s">
        <v>74</v>
      </c>
      <c r="BI865" t="s">
        <v>74</v>
      </c>
      <c r="BJ865" t="s">
        <v>74</v>
      </c>
      <c r="BK865" t="s">
        <v>74</v>
      </c>
      <c r="BL865" t="s">
        <v>74</v>
      </c>
      <c r="BM865" t="s">
        <v>74</v>
      </c>
      <c r="BN865">
        <v>28308282</v>
      </c>
      <c r="BO865" t="s">
        <v>74</v>
      </c>
      <c r="BP865" t="s">
        <v>74</v>
      </c>
      <c r="BQ865" t="s">
        <v>74</v>
      </c>
      <c r="BR865" t="s">
        <v>74</v>
      </c>
      <c r="BS865" t="s">
        <v>6229</v>
      </c>
      <c r="BT865" t="str">
        <f>HYPERLINK("https%3A%2F%2Fwww.webofscience.com%2Fwos%2Fwoscc%2Ffull-record%2FWOS:000085943100003","View Full Record in Web of Science")</f>
        <v>View Full Record in Web of Science</v>
      </c>
    </row>
    <row r="866" spans="1:72" x14ac:dyDescent="0.2">
      <c r="A866" t="s">
        <v>72</v>
      </c>
      <c r="B866" t="s">
        <v>6230</v>
      </c>
      <c r="C866" t="s">
        <v>74</v>
      </c>
      <c r="D866" t="s">
        <v>74</v>
      </c>
      <c r="E866" t="s">
        <v>74</v>
      </c>
      <c r="F866" t="s">
        <v>6230</v>
      </c>
      <c r="G866" t="s">
        <v>74</v>
      </c>
      <c r="H866" t="s">
        <v>74</v>
      </c>
      <c r="I866" t="s">
        <v>6231</v>
      </c>
      <c r="J866" t="s">
        <v>227</v>
      </c>
      <c r="K866" t="s">
        <v>74</v>
      </c>
      <c r="L866" t="s">
        <v>74</v>
      </c>
      <c r="M866" t="s">
        <v>74</v>
      </c>
      <c r="N866" t="s">
        <v>74</v>
      </c>
      <c r="O866" t="s">
        <v>74</v>
      </c>
      <c r="P866" t="s">
        <v>74</v>
      </c>
      <c r="Q866" t="s">
        <v>74</v>
      </c>
      <c r="R866" t="s">
        <v>74</v>
      </c>
      <c r="S866" t="s">
        <v>74</v>
      </c>
      <c r="T866" t="s">
        <v>74</v>
      </c>
      <c r="U866" t="s">
        <v>74</v>
      </c>
      <c r="V866" t="s">
        <v>74</v>
      </c>
      <c r="W866" t="s">
        <v>74</v>
      </c>
      <c r="X866" t="s">
        <v>74</v>
      </c>
      <c r="Y866" t="s">
        <v>74</v>
      </c>
      <c r="Z866" t="s">
        <v>74</v>
      </c>
      <c r="AA866" t="s">
        <v>74</v>
      </c>
      <c r="AB866" t="s">
        <v>74</v>
      </c>
      <c r="AC866" t="s">
        <v>74</v>
      </c>
      <c r="AD866" t="s">
        <v>74</v>
      </c>
      <c r="AE866" t="s">
        <v>74</v>
      </c>
      <c r="AF866" t="s">
        <v>74</v>
      </c>
      <c r="AG866" t="s">
        <v>74</v>
      </c>
      <c r="AH866" t="s">
        <v>74</v>
      </c>
      <c r="AI866" t="s">
        <v>74</v>
      </c>
      <c r="AJ866" t="s">
        <v>74</v>
      </c>
      <c r="AK866" t="s">
        <v>74</v>
      </c>
      <c r="AL866" t="s">
        <v>74</v>
      </c>
      <c r="AM866" t="s">
        <v>74</v>
      </c>
      <c r="AN866" t="s">
        <v>74</v>
      </c>
      <c r="AO866" t="s">
        <v>230</v>
      </c>
      <c r="AP866" t="s">
        <v>231</v>
      </c>
      <c r="AQ866" t="s">
        <v>74</v>
      </c>
      <c r="AR866" t="s">
        <v>74</v>
      </c>
      <c r="AS866" t="s">
        <v>74</v>
      </c>
      <c r="AT866" t="s">
        <v>315</v>
      </c>
      <c r="AU866">
        <v>2000</v>
      </c>
      <c r="AV866">
        <v>45</v>
      </c>
      <c r="AW866">
        <v>1</v>
      </c>
      <c r="AX866" t="s">
        <v>74</v>
      </c>
      <c r="AY866" t="s">
        <v>74</v>
      </c>
      <c r="AZ866" t="s">
        <v>74</v>
      </c>
      <c r="BA866" t="s">
        <v>74</v>
      </c>
      <c r="BB866">
        <v>22</v>
      </c>
      <c r="BC866">
        <v>30</v>
      </c>
      <c r="BD866" t="s">
        <v>74</v>
      </c>
      <c r="BE866" t="s">
        <v>6232</v>
      </c>
      <c r="BF866" t="str">
        <f>HYPERLINK("http://dx.doi.org/10.4319/lo.2000.45.1.0022","http://dx.doi.org/10.4319/lo.2000.45.1.0022")</f>
        <v>http://dx.doi.org/10.4319/lo.2000.45.1.0022</v>
      </c>
      <c r="BG866" t="s">
        <v>74</v>
      </c>
      <c r="BH866" t="s">
        <v>74</v>
      </c>
      <c r="BI866" t="s">
        <v>74</v>
      </c>
      <c r="BJ866" t="s">
        <v>74</v>
      </c>
      <c r="BK866" t="s">
        <v>74</v>
      </c>
      <c r="BL866" t="s">
        <v>74</v>
      </c>
      <c r="BM866" t="s">
        <v>74</v>
      </c>
      <c r="BN866" t="s">
        <v>74</v>
      </c>
      <c r="BO866" t="s">
        <v>74</v>
      </c>
      <c r="BP866" t="s">
        <v>74</v>
      </c>
      <c r="BQ866" t="s">
        <v>74</v>
      </c>
      <c r="BR866" t="s">
        <v>74</v>
      </c>
      <c r="BS866" t="s">
        <v>6233</v>
      </c>
      <c r="BT866" t="str">
        <f>HYPERLINK("https%3A%2F%2Fwww.webofscience.com%2Fwos%2Fwoscc%2Ffull-record%2FWOS:000084949600003","View Full Record in Web of Science")</f>
        <v>View Full Record in Web of Science</v>
      </c>
    </row>
    <row r="867" spans="1:72" x14ac:dyDescent="0.2">
      <c r="A867" t="s">
        <v>72</v>
      </c>
      <c r="B867" t="s">
        <v>6234</v>
      </c>
      <c r="C867" t="s">
        <v>74</v>
      </c>
      <c r="D867" t="s">
        <v>74</v>
      </c>
      <c r="E867" t="s">
        <v>74</v>
      </c>
      <c r="F867" t="s">
        <v>6234</v>
      </c>
      <c r="G867" t="s">
        <v>74</v>
      </c>
      <c r="H867" t="s">
        <v>74</v>
      </c>
      <c r="I867" t="s">
        <v>6235</v>
      </c>
      <c r="J867" t="s">
        <v>1523</v>
      </c>
      <c r="K867" t="s">
        <v>74</v>
      </c>
      <c r="L867" t="s">
        <v>74</v>
      </c>
      <c r="M867" t="s">
        <v>74</v>
      </c>
      <c r="N867" t="s">
        <v>74</v>
      </c>
      <c r="O867" t="s">
        <v>74</v>
      </c>
      <c r="P867" t="s">
        <v>74</v>
      </c>
      <c r="Q867" t="s">
        <v>74</v>
      </c>
      <c r="R867" t="s">
        <v>74</v>
      </c>
      <c r="S867" t="s">
        <v>74</v>
      </c>
      <c r="T867" t="s">
        <v>74</v>
      </c>
      <c r="U867" t="s">
        <v>74</v>
      </c>
      <c r="V867" t="s">
        <v>74</v>
      </c>
      <c r="W867" t="s">
        <v>74</v>
      </c>
      <c r="X867" t="s">
        <v>74</v>
      </c>
      <c r="Y867" t="s">
        <v>74</v>
      </c>
      <c r="Z867" t="s">
        <v>74</v>
      </c>
      <c r="AA867" t="s">
        <v>6236</v>
      </c>
      <c r="AB867" t="s">
        <v>6237</v>
      </c>
      <c r="AC867" t="s">
        <v>74</v>
      </c>
      <c r="AD867" t="s">
        <v>74</v>
      </c>
      <c r="AE867" t="s">
        <v>74</v>
      </c>
      <c r="AF867" t="s">
        <v>74</v>
      </c>
      <c r="AG867" t="s">
        <v>74</v>
      </c>
      <c r="AH867" t="s">
        <v>74</v>
      </c>
      <c r="AI867" t="s">
        <v>74</v>
      </c>
      <c r="AJ867" t="s">
        <v>74</v>
      </c>
      <c r="AK867" t="s">
        <v>74</v>
      </c>
      <c r="AL867" t="s">
        <v>74</v>
      </c>
      <c r="AM867" t="s">
        <v>74</v>
      </c>
      <c r="AN867" t="s">
        <v>74</v>
      </c>
      <c r="AO867" t="s">
        <v>1524</v>
      </c>
      <c r="AP867" t="s">
        <v>1525</v>
      </c>
      <c r="AQ867" t="s">
        <v>74</v>
      </c>
      <c r="AR867" t="s">
        <v>74</v>
      </c>
      <c r="AS867" t="s">
        <v>74</v>
      </c>
      <c r="AT867" t="s">
        <v>315</v>
      </c>
      <c r="AU867">
        <v>2000</v>
      </c>
      <c r="AV867">
        <v>81</v>
      </c>
      <c r="AW867">
        <v>1</v>
      </c>
      <c r="AX867" t="s">
        <v>74</v>
      </c>
      <c r="AY867" t="s">
        <v>74</v>
      </c>
      <c r="AZ867" t="s">
        <v>74</v>
      </c>
      <c r="BA867" t="s">
        <v>74</v>
      </c>
      <c r="BB867">
        <v>150</v>
      </c>
      <c r="BC867">
        <v>163</v>
      </c>
      <c r="BD867" t="s">
        <v>74</v>
      </c>
      <c r="BE867" t="s">
        <v>6238</v>
      </c>
      <c r="BF867" t="str">
        <f>HYPERLINK("http://dx.doi.org/10.1890/0012-9658(2000)081[0150:LHAMAD]2.0.CO;2","http://dx.doi.org/10.1890/0012-9658(2000)081[0150:LHAMAD]2.0.CO;2")</f>
        <v>http://dx.doi.org/10.1890/0012-9658(2000)081[0150:LHAMAD]2.0.CO;2</v>
      </c>
      <c r="BG867" t="s">
        <v>74</v>
      </c>
      <c r="BH867" t="s">
        <v>74</v>
      </c>
      <c r="BI867" t="s">
        <v>74</v>
      </c>
      <c r="BJ867" t="s">
        <v>74</v>
      </c>
      <c r="BK867" t="s">
        <v>74</v>
      </c>
      <c r="BL867" t="s">
        <v>74</v>
      </c>
      <c r="BM867" t="s">
        <v>74</v>
      </c>
      <c r="BN867" t="s">
        <v>74</v>
      </c>
      <c r="BO867" t="s">
        <v>74</v>
      </c>
      <c r="BP867" t="s">
        <v>74</v>
      </c>
      <c r="BQ867" t="s">
        <v>74</v>
      </c>
      <c r="BR867" t="s">
        <v>74</v>
      </c>
      <c r="BS867" t="s">
        <v>6239</v>
      </c>
      <c r="BT867" t="str">
        <f>HYPERLINK("https%3A%2F%2Fwww.webofscience.com%2Fwos%2Fwoscc%2Ffull-record%2FWOS:000084913400014","View Full Record in Web of Science")</f>
        <v>View Full Record in Web of Science</v>
      </c>
    </row>
    <row r="868" spans="1:72" x14ac:dyDescent="0.2">
      <c r="A868" t="s">
        <v>72</v>
      </c>
      <c r="B868" t="s">
        <v>6240</v>
      </c>
      <c r="C868" t="s">
        <v>74</v>
      </c>
      <c r="D868" t="s">
        <v>74</v>
      </c>
      <c r="E868" t="s">
        <v>74</v>
      </c>
      <c r="F868" t="s">
        <v>6240</v>
      </c>
      <c r="G868" t="s">
        <v>74</v>
      </c>
      <c r="H868" t="s">
        <v>74</v>
      </c>
      <c r="I868" t="s">
        <v>6241</v>
      </c>
      <c r="J868" t="s">
        <v>6154</v>
      </c>
      <c r="K868" t="s">
        <v>74</v>
      </c>
      <c r="L868" t="s">
        <v>74</v>
      </c>
      <c r="M868" t="s">
        <v>74</v>
      </c>
      <c r="N868" t="s">
        <v>74</v>
      </c>
      <c r="O868" t="s">
        <v>74</v>
      </c>
      <c r="P868" t="s">
        <v>74</v>
      </c>
      <c r="Q868" t="s">
        <v>74</v>
      </c>
      <c r="R868" t="s">
        <v>74</v>
      </c>
      <c r="S868" t="s">
        <v>74</v>
      </c>
      <c r="T868" t="s">
        <v>74</v>
      </c>
      <c r="U868" t="s">
        <v>74</v>
      </c>
      <c r="V868" t="s">
        <v>74</v>
      </c>
      <c r="W868" t="s">
        <v>74</v>
      </c>
      <c r="X868" t="s">
        <v>74</v>
      </c>
      <c r="Y868" t="s">
        <v>74</v>
      </c>
      <c r="Z868" t="s">
        <v>74</v>
      </c>
      <c r="AA868" t="s">
        <v>74</v>
      </c>
      <c r="AB868" t="s">
        <v>74</v>
      </c>
      <c r="AC868" t="s">
        <v>74</v>
      </c>
      <c r="AD868" t="s">
        <v>74</v>
      </c>
      <c r="AE868" t="s">
        <v>74</v>
      </c>
      <c r="AF868" t="s">
        <v>74</v>
      </c>
      <c r="AG868" t="s">
        <v>74</v>
      </c>
      <c r="AH868" t="s">
        <v>74</v>
      </c>
      <c r="AI868" t="s">
        <v>74</v>
      </c>
      <c r="AJ868" t="s">
        <v>74</v>
      </c>
      <c r="AK868" t="s">
        <v>74</v>
      </c>
      <c r="AL868" t="s">
        <v>74</v>
      </c>
      <c r="AM868" t="s">
        <v>74</v>
      </c>
      <c r="AN868" t="s">
        <v>74</v>
      </c>
      <c r="AO868" t="s">
        <v>6155</v>
      </c>
      <c r="AP868" t="s">
        <v>74</v>
      </c>
      <c r="AQ868" t="s">
        <v>74</v>
      </c>
      <c r="AR868" t="s">
        <v>74</v>
      </c>
      <c r="AS868" t="s">
        <v>74</v>
      </c>
      <c r="AT868" t="s">
        <v>82</v>
      </c>
      <c r="AU868">
        <v>1999</v>
      </c>
      <c r="AV868">
        <v>14</v>
      </c>
      <c r="AW868">
        <v>5</v>
      </c>
      <c r="AX868" t="s">
        <v>74</v>
      </c>
      <c r="AY868" t="s">
        <v>74</v>
      </c>
      <c r="AZ868" t="s">
        <v>74</v>
      </c>
      <c r="BA868" t="s">
        <v>74</v>
      </c>
      <c r="BB868">
        <v>523</v>
      </c>
      <c r="BC868">
        <v>530</v>
      </c>
      <c r="BD868" t="s">
        <v>74</v>
      </c>
      <c r="BE868" t="s">
        <v>6242</v>
      </c>
      <c r="BF868" t="str">
        <f>HYPERLINK("http://dx.doi.org/10.1002/(SICI)1522-7278(199912)14:5&lt;523::AID-TOX6&gt;3.0.CO;2-2","http://dx.doi.org/10.1002/(SICI)1522-7278(199912)14:5&lt;523::AID-TOX6&gt;3.0.CO;2-2")</f>
        <v>http://dx.doi.org/10.1002/(SICI)1522-7278(199912)14:5&lt;523::AID-TOX6&gt;3.0.CO;2-2</v>
      </c>
      <c r="BG868" t="s">
        <v>74</v>
      </c>
      <c r="BH868" t="s">
        <v>74</v>
      </c>
      <c r="BI868" t="s">
        <v>74</v>
      </c>
      <c r="BJ868" t="s">
        <v>74</v>
      </c>
      <c r="BK868" t="s">
        <v>74</v>
      </c>
      <c r="BL868" t="s">
        <v>74</v>
      </c>
      <c r="BM868" t="s">
        <v>74</v>
      </c>
      <c r="BN868" t="s">
        <v>74</v>
      </c>
      <c r="BO868" t="s">
        <v>74</v>
      </c>
      <c r="BP868" t="s">
        <v>74</v>
      </c>
      <c r="BQ868" t="s">
        <v>74</v>
      </c>
      <c r="BR868" t="s">
        <v>74</v>
      </c>
      <c r="BS868" t="s">
        <v>6243</v>
      </c>
      <c r="BT868" t="str">
        <f>HYPERLINK("https%3A%2F%2Fwww.webofscience.com%2Fwos%2Fwoscc%2Ffull-record%2FWOS:000083912000006","View Full Record in Web of Science")</f>
        <v>View Full Record in Web of Science</v>
      </c>
    </row>
    <row r="869" spans="1:72" x14ac:dyDescent="0.2">
      <c r="A869" t="s">
        <v>72</v>
      </c>
      <c r="B869" t="s">
        <v>6244</v>
      </c>
      <c r="C869" t="s">
        <v>74</v>
      </c>
      <c r="D869" t="s">
        <v>74</v>
      </c>
      <c r="E869" t="s">
        <v>74</v>
      </c>
      <c r="F869" t="s">
        <v>6244</v>
      </c>
      <c r="G869" t="s">
        <v>74</v>
      </c>
      <c r="H869" t="s">
        <v>74</v>
      </c>
      <c r="I869" t="s">
        <v>6245</v>
      </c>
      <c r="J869" t="s">
        <v>5867</v>
      </c>
      <c r="K869" t="s">
        <v>74</v>
      </c>
      <c r="L869" t="s">
        <v>74</v>
      </c>
      <c r="M869" t="s">
        <v>74</v>
      </c>
      <c r="N869" t="s">
        <v>74</v>
      </c>
      <c r="O869" t="s">
        <v>74</v>
      </c>
      <c r="P869" t="s">
        <v>74</v>
      </c>
      <c r="Q869" t="s">
        <v>74</v>
      </c>
      <c r="R869" t="s">
        <v>74</v>
      </c>
      <c r="S869" t="s">
        <v>74</v>
      </c>
      <c r="T869" t="s">
        <v>74</v>
      </c>
      <c r="U869" t="s">
        <v>74</v>
      </c>
      <c r="V869" t="s">
        <v>74</v>
      </c>
      <c r="W869" t="s">
        <v>74</v>
      </c>
      <c r="X869" t="s">
        <v>74</v>
      </c>
      <c r="Y869" t="s">
        <v>74</v>
      </c>
      <c r="Z869" t="s">
        <v>74</v>
      </c>
      <c r="AA869" t="s">
        <v>74</v>
      </c>
      <c r="AB869" t="s">
        <v>74</v>
      </c>
      <c r="AC869" t="s">
        <v>74</v>
      </c>
      <c r="AD869" t="s">
        <v>74</v>
      </c>
      <c r="AE869" t="s">
        <v>74</v>
      </c>
      <c r="AF869" t="s">
        <v>74</v>
      </c>
      <c r="AG869" t="s">
        <v>74</v>
      </c>
      <c r="AH869" t="s">
        <v>74</v>
      </c>
      <c r="AI869" t="s">
        <v>74</v>
      </c>
      <c r="AJ869" t="s">
        <v>74</v>
      </c>
      <c r="AK869" t="s">
        <v>74</v>
      </c>
      <c r="AL869" t="s">
        <v>74</v>
      </c>
      <c r="AM869" t="s">
        <v>74</v>
      </c>
      <c r="AN869" t="s">
        <v>74</v>
      </c>
      <c r="AO869" t="s">
        <v>5868</v>
      </c>
      <c r="AP869" t="s">
        <v>5869</v>
      </c>
      <c r="AQ869" t="s">
        <v>74</v>
      </c>
      <c r="AR869" t="s">
        <v>74</v>
      </c>
      <c r="AS869" t="s">
        <v>74</v>
      </c>
      <c r="AT869" t="s">
        <v>82</v>
      </c>
      <c r="AU869">
        <v>1999</v>
      </c>
      <c r="AV869">
        <v>53</v>
      </c>
      <c r="AW869">
        <v>6</v>
      </c>
      <c r="AX869" t="s">
        <v>74</v>
      </c>
      <c r="AY869" t="s">
        <v>74</v>
      </c>
      <c r="AZ869" t="s">
        <v>74</v>
      </c>
      <c r="BA869" t="s">
        <v>74</v>
      </c>
      <c r="BB869">
        <v>1744</v>
      </c>
      <c r="BC869">
        <v>1756</v>
      </c>
      <c r="BD869" t="s">
        <v>74</v>
      </c>
      <c r="BE869" t="s">
        <v>6246</v>
      </c>
      <c r="BF869" t="str">
        <f>HYPERLINK("http://dx.doi.org/10.2307/2640437","http://dx.doi.org/10.2307/2640437")</f>
        <v>http://dx.doi.org/10.2307/2640437</v>
      </c>
      <c r="BG869" t="s">
        <v>74</v>
      </c>
      <c r="BH869" t="s">
        <v>74</v>
      </c>
      <c r="BI869" t="s">
        <v>74</v>
      </c>
      <c r="BJ869" t="s">
        <v>74</v>
      </c>
      <c r="BK869" t="s">
        <v>74</v>
      </c>
      <c r="BL869" t="s">
        <v>74</v>
      </c>
      <c r="BM869" t="s">
        <v>74</v>
      </c>
      <c r="BN869">
        <v>28565448</v>
      </c>
      <c r="BO869" t="s">
        <v>74</v>
      </c>
      <c r="BP869" t="s">
        <v>74</v>
      </c>
      <c r="BQ869" t="s">
        <v>74</v>
      </c>
      <c r="BR869" t="s">
        <v>74</v>
      </c>
      <c r="BS869" t="s">
        <v>6247</v>
      </c>
      <c r="BT869" t="str">
        <f>HYPERLINK("https%3A%2F%2Fwww.webofscience.com%2Fwos%2Fwoscc%2Ffull-record%2FWOS:000084703100010","View Full Record in Web of Science")</f>
        <v>View Full Record in Web of Science</v>
      </c>
    </row>
    <row r="870" spans="1:72" x14ac:dyDescent="0.2">
      <c r="A870" t="s">
        <v>72</v>
      </c>
      <c r="B870" t="s">
        <v>6248</v>
      </c>
      <c r="C870" t="s">
        <v>74</v>
      </c>
      <c r="D870" t="s">
        <v>74</v>
      </c>
      <c r="E870" t="s">
        <v>74</v>
      </c>
      <c r="F870" t="s">
        <v>6248</v>
      </c>
      <c r="G870" t="s">
        <v>74</v>
      </c>
      <c r="H870" t="s">
        <v>74</v>
      </c>
      <c r="I870" t="s">
        <v>6249</v>
      </c>
      <c r="J870" t="s">
        <v>6250</v>
      </c>
      <c r="K870" t="s">
        <v>74</v>
      </c>
      <c r="L870" t="s">
        <v>74</v>
      </c>
      <c r="M870" t="s">
        <v>74</v>
      </c>
      <c r="N870" t="s">
        <v>74</v>
      </c>
      <c r="O870" t="s">
        <v>74</v>
      </c>
      <c r="P870" t="s">
        <v>74</v>
      </c>
      <c r="Q870" t="s">
        <v>74</v>
      </c>
      <c r="R870" t="s">
        <v>74</v>
      </c>
      <c r="S870" t="s">
        <v>74</v>
      </c>
      <c r="T870" t="s">
        <v>74</v>
      </c>
      <c r="U870" t="s">
        <v>74</v>
      </c>
      <c r="V870" t="s">
        <v>74</v>
      </c>
      <c r="W870" t="s">
        <v>74</v>
      </c>
      <c r="X870" t="s">
        <v>74</v>
      </c>
      <c r="Y870" t="s">
        <v>74</v>
      </c>
      <c r="Z870" t="s">
        <v>74</v>
      </c>
      <c r="AA870" t="s">
        <v>74</v>
      </c>
      <c r="AB870" t="s">
        <v>74</v>
      </c>
      <c r="AC870" t="s">
        <v>74</v>
      </c>
      <c r="AD870" t="s">
        <v>74</v>
      </c>
      <c r="AE870" t="s">
        <v>74</v>
      </c>
      <c r="AF870" t="s">
        <v>74</v>
      </c>
      <c r="AG870" t="s">
        <v>74</v>
      </c>
      <c r="AH870" t="s">
        <v>74</v>
      </c>
      <c r="AI870" t="s">
        <v>74</v>
      </c>
      <c r="AJ870" t="s">
        <v>74</v>
      </c>
      <c r="AK870" t="s">
        <v>74</v>
      </c>
      <c r="AL870" t="s">
        <v>74</v>
      </c>
      <c r="AM870" t="s">
        <v>74</v>
      </c>
      <c r="AN870" t="s">
        <v>74</v>
      </c>
      <c r="AO870" t="s">
        <v>6251</v>
      </c>
      <c r="AP870" t="s">
        <v>6252</v>
      </c>
      <c r="AQ870" t="s">
        <v>74</v>
      </c>
      <c r="AR870" t="s">
        <v>74</v>
      </c>
      <c r="AS870" t="s">
        <v>74</v>
      </c>
      <c r="AT870" t="s">
        <v>82</v>
      </c>
      <c r="AU870">
        <v>1999</v>
      </c>
      <c r="AV870">
        <v>72</v>
      </c>
      <c r="AW870">
        <v>4</v>
      </c>
      <c r="AX870" t="s">
        <v>74</v>
      </c>
      <c r="AY870" t="s">
        <v>74</v>
      </c>
      <c r="AZ870" t="s">
        <v>74</v>
      </c>
      <c r="BA870" t="s">
        <v>74</v>
      </c>
      <c r="BB870">
        <v>671</v>
      </c>
      <c r="BC870">
        <v>676</v>
      </c>
      <c r="BD870" t="s">
        <v>74</v>
      </c>
      <c r="BE870" t="s">
        <v>74</v>
      </c>
      <c r="BF870" t="s">
        <v>74</v>
      </c>
      <c r="BG870" t="s">
        <v>74</v>
      </c>
      <c r="BH870" t="s">
        <v>74</v>
      </c>
      <c r="BI870" t="s">
        <v>74</v>
      </c>
      <c r="BJ870" t="s">
        <v>74</v>
      </c>
      <c r="BK870" t="s">
        <v>74</v>
      </c>
      <c r="BL870" t="s">
        <v>74</v>
      </c>
      <c r="BM870" t="s">
        <v>74</v>
      </c>
      <c r="BN870" t="s">
        <v>74</v>
      </c>
      <c r="BO870" t="s">
        <v>74</v>
      </c>
      <c r="BP870" t="s">
        <v>74</v>
      </c>
      <c r="BQ870" t="s">
        <v>74</v>
      </c>
      <c r="BR870" t="s">
        <v>74</v>
      </c>
      <c r="BS870" t="s">
        <v>6253</v>
      </c>
      <c r="BT870" t="str">
        <f>HYPERLINK("https%3A%2F%2Fwww.webofscience.com%2Fwos%2Fwoscc%2Ffull-record%2FWOS:000084976900016","View Full Record in Web of Science")</f>
        <v>View Full Record in Web of Science</v>
      </c>
    </row>
    <row r="871" spans="1:72" x14ac:dyDescent="0.2">
      <c r="A871" t="s">
        <v>72</v>
      </c>
      <c r="B871" t="s">
        <v>6254</v>
      </c>
      <c r="C871" t="s">
        <v>74</v>
      </c>
      <c r="D871" t="s">
        <v>74</v>
      </c>
      <c r="E871" t="s">
        <v>74</v>
      </c>
      <c r="F871" t="s">
        <v>6254</v>
      </c>
      <c r="G871" t="s">
        <v>74</v>
      </c>
      <c r="H871" t="s">
        <v>74</v>
      </c>
      <c r="I871" t="s">
        <v>6255</v>
      </c>
      <c r="J871" t="s">
        <v>423</v>
      </c>
      <c r="K871" t="s">
        <v>74</v>
      </c>
      <c r="L871" t="s">
        <v>74</v>
      </c>
      <c r="M871" t="s">
        <v>74</v>
      </c>
      <c r="N871" t="s">
        <v>74</v>
      </c>
      <c r="O871" t="s">
        <v>74</v>
      </c>
      <c r="P871" t="s">
        <v>74</v>
      </c>
      <c r="Q871" t="s">
        <v>74</v>
      </c>
      <c r="R871" t="s">
        <v>74</v>
      </c>
      <c r="S871" t="s">
        <v>74</v>
      </c>
      <c r="T871" t="s">
        <v>74</v>
      </c>
      <c r="U871" t="s">
        <v>74</v>
      </c>
      <c r="V871" t="s">
        <v>74</v>
      </c>
      <c r="W871" t="s">
        <v>74</v>
      </c>
      <c r="X871" t="s">
        <v>74</v>
      </c>
      <c r="Y871" t="s">
        <v>74</v>
      </c>
      <c r="Z871" t="s">
        <v>74</v>
      </c>
      <c r="AA871" t="s">
        <v>6256</v>
      </c>
      <c r="AB871" t="s">
        <v>4906</v>
      </c>
      <c r="AC871" t="s">
        <v>74</v>
      </c>
      <c r="AD871" t="s">
        <v>74</v>
      </c>
      <c r="AE871" t="s">
        <v>74</v>
      </c>
      <c r="AF871" t="s">
        <v>74</v>
      </c>
      <c r="AG871" t="s">
        <v>74</v>
      </c>
      <c r="AH871" t="s">
        <v>74</v>
      </c>
      <c r="AI871" t="s">
        <v>74</v>
      </c>
      <c r="AJ871" t="s">
        <v>74</v>
      </c>
      <c r="AK871" t="s">
        <v>74</v>
      </c>
      <c r="AL871" t="s">
        <v>74</v>
      </c>
      <c r="AM871" t="s">
        <v>74</v>
      </c>
      <c r="AN871" t="s">
        <v>74</v>
      </c>
      <c r="AO871" t="s">
        <v>425</v>
      </c>
      <c r="AP871" t="s">
        <v>426</v>
      </c>
      <c r="AQ871" t="s">
        <v>74</v>
      </c>
      <c r="AR871" t="s">
        <v>74</v>
      </c>
      <c r="AS871" t="s">
        <v>74</v>
      </c>
      <c r="AT871" t="s">
        <v>335</v>
      </c>
      <c r="AU871">
        <v>1999</v>
      </c>
      <c r="AV871">
        <v>42</v>
      </c>
      <c r="AW871">
        <v>3</v>
      </c>
      <c r="AX871" t="s">
        <v>74</v>
      </c>
      <c r="AY871" t="s">
        <v>74</v>
      </c>
      <c r="AZ871" t="s">
        <v>74</v>
      </c>
      <c r="BA871" t="s">
        <v>74</v>
      </c>
      <c r="BB871">
        <v>545</v>
      </c>
      <c r="BC871">
        <v>560</v>
      </c>
      <c r="BD871" t="s">
        <v>74</v>
      </c>
      <c r="BE871" t="s">
        <v>6257</v>
      </c>
      <c r="BF871" t="str">
        <f>HYPERLINK("http://dx.doi.org/10.1046/j.1365-2427.1999.00478.x","http://dx.doi.org/10.1046/j.1365-2427.1999.00478.x")</f>
        <v>http://dx.doi.org/10.1046/j.1365-2427.1999.00478.x</v>
      </c>
      <c r="BG871" t="s">
        <v>74</v>
      </c>
      <c r="BH871" t="s">
        <v>74</v>
      </c>
      <c r="BI871" t="s">
        <v>74</v>
      </c>
      <c r="BJ871" t="s">
        <v>74</v>
      </c>
      <c r="BK871" t="s">
        <v>74</v>
      </c>
      <c r="BL871" t="s">
        <v>74</v>
      </c>
      <c r="BM871" t="s">
        <v>74</v>
      </c>
      <c r="BN871" t="s">
        <v>74</v>
      </c>
      <c r="BO871" t="s">
        <v>74</v>
      </c>
      <c r="BP871" t="s">
        <v>74</v>
      </c>
      <c r="BQ871" t="s">
        <v>74</v>
      </c>
      <c r="BR871" t="s">
        <v>74</v>
      </c>
      <c r="BS871" t="s">
        <v>6258</v>
      </c>
      <c r="BT871" t="str">
        <f>HYPERLINK("https%3A%2F%2Fwww.webofscience.com%2Fwos%2Fwoscc%2Ffull-record%2FWOS:000083843900013","View Full Record in Web of Science")</f>
        <v>View Full Record in Web of Science</v>
      </c>
    </row>
    <row r="872" spans="1:72" x14ac:dyDescent="0.2">
      <c r="A872" t="s">
        <v>72</v>
      </c>
      <c r="B872" t="s">
        <v>6259</v>
      </c>
      <c r="C872" t="s">
        <v>74</v>
      </c>
      <c r="D872" t="s">
        <v>74</v>
      </c>
      <c r="E872" t="s">
        <v>74</v>
      </c>
      <c r="F872" t="s">
        <v>6259</v>
      </c>
      <c r="G872" t="s">
        <v>74</v>
      </c>
      <c r="H872" t="s">
        <v>74</v>
      </c>
      <c r="I872" t="s">
        <v>6260</v>
      </c>
      <c r="J872" t="s">
        <v>5142</v>
      </c>
      <c r="K872" t="s">
        <v>74</v>
      </c>
      <c r="L872" t="s">
        <v>74</v>
      </c>
      <c r="M872" t="s">
        <v>74</v>
      </c>
      <c r="N872" t="s">
        <v>74</v>
      </c>
      <c r="O872" t="s">
        <v>74</v>
      </c>
      <c r="P872" t="s">
        <v>74</v>
      </c>
      <c r="Q872" t="s">
        <v>74</v>
      </c>
      <c r="R872" t="s">
        <v>74</v>
      </c>
      <c r="S872" t="s">
        <v>74</v>
      </c>
      <c r="T872" t="s">
        <v>74</v>
      </c>
      <c r="U872" t="s">
        <v>74</v>
      </c>
      <c r="V872" t="s">
        <v>74</v>
      </c>
      <c r="W872" t="s">
        <v>74</v>
      </c>
      <c r="X872" t="s">
        <v>74</v>
      </c>
      <c r="Y872" t="s">
        <v>74</v>
      </c>
      <c r="Z872" t="s">
        <v>74</v>
      </c>
      <c r="AA872" t="s">
        <v>6261</v>
      </c>
      <c r="AB872" t="s">
        <v>6262</v>
      </c>
      <c r="AC872" t="s">
        <v>74</v>
      </c>
      <c r="AD872" t="s">
        <v>74</v>
      </c>
      <c r="AE872" t="s">
        <v>74</v>
      </c>
      <c r="AF872" t="s">
        <v>74</v>
      </c>
      <c r="AG872" t="s">
        <v>74</v>
      </c>
      <c r="AH872" t="s">
        <v>74</v>
      </c>
      <c r="AI872" t="s">
        <v>74</v>
      </c>
      <c r="AJ872" t="s">
        <v>74</v>
      </c>
      <c r="AK872" t="s">
        <v>74</v>
      </c>
      <c r="AL872" t="s">
        <v>74</v>
      </c>
      <c r="AM872" t="s">
        <v>74</v>
      </c>
      <c r="AN872" t="s">
        <v>74</v>
      </c>
      <c r="AO872" t="s">
        <v>5143</v>
      </c>
      <c r="AP872" t="s">
        <v>5144</v>
      </c>
      <c r="AQ872" t="s">
        <v>74</v>
      </c>
      <c r="AR872" t="s">
        <v>74</v>
      </c>
      <c r="AS872" t="s">
        <v>74</v>
      </c>
      <c r="AT872" t="s">
        <v>335</v>
      </c>
      <c r="AU872">
        <v>1999</v>
      </c>
      <c r="AV872">
        <v>47</v>
      </c>
      <c r="AW872">
        <v>2</v>
      </c>
      <c r="AX872" t="s">
        <v>74</v>
      </c>
      <c r="AY872" t="s">
        <v>74</v>
      </c>
      <c r="AZ872" t="s">
        <v>74</v>
      </c>
      <c r="BA872" t="s">
        <v>74</v>
      </c>
      <c r="BB872">
        <v>93</v>
      </c>
      <c r="BC872">
        <v>105</v>
      </c>
      <c r="BD872" t="s">
        <v>74</v>
      </c>
      <c r="BE872" t="s">
        <v>6263</v>
      </c>
      <c r="BF872" t="str">
        <f>HYPERLINK("http://dx.doi.org/10.1016/S0166-445X(99)00012-0","http://dx.doi.org/10.1016/S0166-445X(99)00012-0")</f>
        <v>http://dx.doi.org/10.1016/S0166-445X(99)00012-0</v>
      </c>
      <c r="BG872" t="s">
        <v>74</v>
      </c>
      <c r="BH872" t="s">
        <v>74</v>
      </c>
      <c r="BI872" t="s">
        <v>74</v>
      </c>
      <c r="BJ872" t="s">
        <v>74</v>
      </c>
      <c r="BK872" t="s">
        <v>74</v>
      </c>
      <c r="BL872" t="s">
        <v>74</v>
      </c>
      <c r="BM872" t="s">
        <v>74</v>
      </c>
      <c r="BN872" t="s">
        <v>74</v>
      </c>
      <c r="BO872" t="s">
        <v>74</v>
      </c>
      <c r="BP872" t="s">
        <v>74</v>
      </c>
      <c r="BQ872" t="s">
        <v>74</v>
      </c>
      <c r="BR872" t="s">
        <v>74</v>
      </c>
      <c r="BS872" t="s">
        <v>6264</v>
      </c>
      <c r="BT872" t="str">
        <f>HYPERLINK("https%3A%2F%2Fwww.webofscience.com%2Fwos%2Fwoscc%2Ffull-record%2FWOS:000083718700002","View Full Record in Web of Science")</f>
        <v>View Full Record in Web of Science</v>
      </c>
    </row>
    <row r="873" spans="1:72" x14ac:dyDescent="0.2">
      <c r="A873" t="s">
        <v>72</v>
      </c>
      <c r="B873" t="s">
        <v>6265</v>
      </c>
      <c r="C873" t="s">
        <v>74</v>
      </c>
      <c r="D873" t="s">
        <v>74</v>
      </c>
      <c r="E873" t="s">
        <v>74</v>
      </c>
      <c r="F873" t="s">
        <v>6265</v>
      </c>
      <c r="G873" t="s">
        <v>74</v>
      </c>
      <c r="H873" t="s">
        <v>74</v>
      </c>
      <c r="I873" t="s">
        <v>6266</v>
      </c>
      <c r="J873" t="s">
        <v>3191</v>
      </c>
      <c r="K873" t="s">
        <v>74</v>
      </c>
      <c r="L873" t="s">
        <v>74</v>
      </c>
      <c r="M873" t="s">
        <v>74</v>
      </c>
      <c r="N873" t="s">
        <v>74</v>
      </c>
      <c r="O873" t="s">
        <v>74</v>
      </c>
      <c r="P873" t="s">
        <v>74</v>
      </c>
      <c r="Q873" t="s">
        <v>74</v>
      </c>
      <c r="R873" t="s">
        <v>74</v>
      </c>
      <c r="S873" t="s">
        <v>74</v>
      </c>
      <c r="T873" t="s">
        <v>74</v>
      </c>
      <c r="U873" t="s">
        <v>74</v>
      </c>
      <c r="V873" t="s">
        <v>74</v>
      </c>
      <c r="W873" t="s">
        <v>74</v>
      </c>
      <c r="X873" t="s">
        <v>74</v>
      </c>
      <c r="Y873" t="s">
        <v>74</v>
      </c>
      <c r="Z873" t="s">
        <v>74</v>
      </c>
      <c r="AA873" t="s">
        <v>74</v>
      </c>
      <c r="AB873" t="s">
        <v>74</v>
      </c>
      <c r="AC873" t="s">
        <v>74</v>
      </c>
      <c r="AD873" t="s">
        <v>74</v>
      </c>
      <c r="AE873" t="s">
        <v>74</v>
      </c>
      <c r="AF873" t="s">
        <v>74</v>
      </c>
      <c r="AG873" t="s">
        <v>74</v>
      </c>
      <c r="AH873" t="s">
        <v>74</v>
      </c>
      <c r="AI873" t="s">
        <v>74</v>
      </c>
      <c r="AJ873" t="s">
        <v>74</v>
      </c>
      <c r="AK873" t="s">
        <v>74</v>
      </c>
      <c r="AL873" t="s">
        <v>74</v>
      </c>
      <c r="AM873" t="s">
        <v>74</v>
      </c>
      <c r="AN873" t="s">
        <v>74</v>
      </c>
      <c r="AO873" t="s">
        <v>3194</v>
      </c>
      <c r="AP873" t="s">
        <v>3195</v>
      </c>
      <c r="AQ873" t="s">
        <v>74</v>
      </c>
      <c r="AR873" t="s">
        <v>74</v>
      </c>
      <c r="AS873" t="s">
        <v>74</v>
      </c>
      <c r="AT873" t="s">
        <v>335</v>
      </c>
      <c r="AU873">
        <v>1999</v>
      </c>
      <c r="AV873">
        <v>74</v>
      </c>
      <c r="AW873">
        <v>4</v>
      </c>
      <c r="AX873" t="s">
        <v>74</v>
      </c>
      <c r="AY873" t="s">
        <v>74</v>
      </c>
      <c r="AZ873" t="s">
        <v>74</v>
      </c>
      <c r="BA873" t="s">
        <v>74</v>
      </c>
      <c r="BB873">
        <v>397</v>
      </c>
      <c r="BC873">
        <v>423</v>
      </c>
      <c r="BD873" t="s">
        <v>74</v>
      </c>
      <c r="BE873" t="s">
        <v>6267</v>
      </c>
      <c r="BF873" t="str">
        <f>HYPERLINK("http://dx.doi.org/10.1017/S0006323199005381","http://dx.doi.org/10.1017/S0006323199005381")</f>
        <v>http://dx.doi.org/10.1017/S0006323199005381</v>
      </c>
      <c r="BG873" t="s">
        <v>74</v>
      </c>
      <c r="BH873" t="s">
        <v>74</v>
      </c>
      <c r="BI873" t="s">
        <v>74</v>
      </c>
      <c r="BJ873" t="s">
        <v>74</v>
      </c>
      <c r="BK873" t="s">
        <v>74</v>
      </c>
      <c r="BL873" t="s">
        <v>74</v>
      </c>
      <c r="BM873" t="s">
        <v>74</v>
      </c>
      <c r="BN873" t="s">
        <v>74</v>
      </c>
      <c r="BO873" t="s">
        <v>74</v>
      </c>
      <c r="BP873" t="s">
        <v>74</v>
      </c>
      <c r="BQ873" t="s">
        <v>74</v>
      </c>
      <c r="BR873" t="s">
        <v>74</v>
      </c>
      <c r="BS873" t="s">
        <v>6268</v>
      </c>
      <c r="BT873" t="str">
        <f>HYPERLINK("https%3A%2F%2Fwww.webofscience.com%2Fwos%2Fwoscc%2Ffull-record%2FWOS:000083662400002","View Full Record in Web of Science")</f>
        <v>View Full Record in Web of Science</v>
      </c>
    </row>
    <row r="874" spans="1:72" x14ac:dyDescent="0.2">
      <c r="A874" t="s">
        <v>72</v>
      </c>
      <c r="B874" t="s">
        <v>6269</v>
      </c>
      <c r="C874" t="s">
        <v>74</v>
      </c>
      <c r="D874" t="s">
        <v>74</v>
      </c>
      <c r="E874" t="s">
        <v>74</v>
      </c>
      <c r="F874" t="s">
        <v>6269</v>
      </c>
      <c r="G874" t="s">
        <v>74</v>
      </c>
      <c r="H874" t="s">
        <v>74</v>
      </c>
      <c r="I874" t="s">
        <v>6270</v>
      </c>
      <c r="J874" t="s">
        <v>180</v>
      </c>
      <c r="K874" t="s">
        <v>74</v>
      </c>
      <c r="L874" t="s">
        <v>74</v>
      </c>
      <c r="M874" t="s">
        <v>74</v>
      </c>
      <c r="N874" t="s">
        <v>74</v>
      </c>
      <c r="O874" t="s">
        <v>74</v>
      </c>
      <c r="P874" t="s">
        <v>74</v>
      </c>
      <c r="Q874" t="s">
        <v>74</v>
      </c>
      <c r="R874" t="s">
        <v>74</v>
      </c>
      <c r="S874" t="s">
        <v>74</v>
      </c>
      <c r="T874" t="s">
        <v>74</v>
      </c>
      <c r="U874" t="s">
        <v>74</v>
      </c>
      <c r="V874" t="s">
        <v>74</v>
      </c>
      <c r="W874" t="s">
        <v>74</v>
      </c>
      <c r="X874" t="s">
        <v>74</v>
      </c>
      <c r="Y874" t="s">
        <v>74</v>
      </c>
      <c r="Z874" t="s">
        <v>74</v>
      </c>
      <c r="AA874" t="s">
        <v>6271</v>
      </c>
      <c r="AB874" t="s">
        <v>6272</v>
      </c>
      <c r="AC874" t="s">
        <v>74</v>
      </c>
      <c r="AD874" t="s">
        <v>74</v>
      </c>
      <c r="AE874" t="s">
        <v>74</v>
      </c>
      <c r="AF874" t="s">
        <v>74</v>
      </c>
      <c r="AG874" t="s">
        <v>74</v>
      </c>
      <c r="AH874" t="s">
        <v>74</v>
      </c>
      <c r="AI874" t="s">
        <v>74</v>
      </c>
      <c r="AJ874" t="s">
        <v>74</v>
      </c>
      <c r="AK874" t="s">
        <v>74</v>
      </c>
      <c r="AL874" t="s">
        <v>74</v>
      </c>
      <c r="AM874" t="s">
        <v>74</v>
      </c>
      <c r="AN874" t="s">
        <v>74</v>
      </c>
      <c r="AO874" t="s">
        <v>182</v>
      </c>
      <c r="AP874" t="s">
        <v>183</v>
      </c>
      <c r="AQ874" t="s">
        <v>74</v>
      </c>
      <c r="AR874" t="s">
        <v>74</v>
      </c>
      <c r="AS874" t="s">
        <v>74</v>
      </c>
      <c r="AT874" t="s">
        <v>520</v>
      </c>
      <c r="AU874">
        <v>1999</v>
      </c>
      <c r="AV874">
        <v>86</v>
      </c>
      <c r="AW874">
        <v>2</v>
      </c>
      <c r="AX874" t="s">
        <v>74</v>
      </c>
      <c r="AY874" t="s">
        <v>74</v>
      </c>
      <c r="AZ874" t="s">
        <v>74</v>
      </c>
      <c r="BA874" t="s">
        <v>74</v>
      </c>
      <c r="BB874">
        <v>217</v>
      </c>
      <c r="BC874">
        <v>232</v>
      </c>
      <c r="BD874" t="s">
        <v>74</v>
      </c>
      <c r="BE874" t="s">
        <v>6273</v>
      </c>
      <c r="BF874" t="str">
        <f>HYPERLINK("http://dx.doi.org/10.2307/3546440","http://dx.doi.org/10.2307/3546440")</f>
        <v>http://dx.doi.org/10.2307/3546440</v>
      </c>
      <c r="BG874" t="s">
        <v>74</v>
      </c>
      <c r="BH874" t="s">
        <v>74</v>
      </c>
      <c r="BI874" t="s">
        <v>74</v>
      </c>
      <c r="BJ874" t="s">
        <v>74</v>
      </c>
      <c r="BK874" t="s">
        <v>74</v>
      </c>
      <c r="BL874" t="s">
        <v>74</v>
      </c>
      <c r="BM874" t="s">
        <v>74</v>
      </c>
      <c r="BN874" t="s">
        <v>74</v>
      </c>
      <c r="BO874" t="s">
        <v>74</v>
      </c>
      <c r="BP874" t="s">
        <v>74</v>
      </c>
      <c r="BQ874" t="s">
        <v>74</v>
      </c>
      <c r="BR874" t="s">
        <v>74</v>
      </c>
      <c r="BS874" t="s">
        <v>6274</v>
      </c>
      <c r="BT874" t="str">
        <f>HYPERLINK("https%3A%2F%2Fwww.webofscience.com%2Fwos%2Fwoscc%2Ffull-record%2FWOS:000082100200004","View Full Record in Web of Science")</f>
        <v>View Full Record in Web of Science</v>
      </c>
    </row>
    <row r="875" spans="1:72" x14ac:dyDescent="0.2">
      <c r="A875" t="s">
        <v>72</v>
      </c>
      <c r="B875" t="s">
        <v>6275</v>
      </c>
      <c r="C875" t="s">
        <v>74</v>
      </c>
      <c r="D875" t="s">
        <v>74</v>
      </c>
      <c r="E875" t="s">
        <v>74</v>
      </c>
      <c r="F875" t="s">
        <v>6275</v>
      </c>
      <c r="G875" t="s">
        <v>74</v>
      </c>
      <c r="H875" t="s">
        <v>74</v>
      </c>
      <c r="I875" t="s">
        <v>6276</v>
      </c>
      <c r="J875" t="s">
        <v>2769</v>
      </c>
      <c r="K875" t="s">
        <v>74</v>
      </c>
      <c r="L875" t="s">
        <v>74</v>
      </c>
      <c r="M875" t="s">
        <v>74</v>
      </c>
      <c r="N875" t="s">
        <v>74</v>
      </c>
      <c r="O875" t="s">
        <v>74</v>
      </c>
      <c r="P875" t="s">
        <v>74</v>
      </c>
      <c r="Q875" t="s">
        <v>74</v>
      </c>
      <c r="R875" t="s">
        <v>74</v>
      </c>
      <c r="S875" t="s">
        <v>74</v>
      </c>
      <c r="T875" t="s">
        <v>74</v>
      </c>
      <c r="U875" t="s">
        <v>74</v>
      </c>
      <c r="V875" t="s">
        <v>74</v>
      </c>
      <c r="W875" t="s">
        <v>74</v>
      </c>
      <c r="X875" t="s">
        <v>74</v>
      </c>
      <c r="Y875" t="s">
        <v>74</v>
      </c>
      <c r="Z875" t="s">
        <v>74</v>
      </c>
      <c r="AA875" t="s">
        <v>74</v>
      </c>
      <c r="AB875" t="s">
        <v>7182</v>
      </c>
      <c r="AC875" t="s">
        <v>74</v>
      </c>
      <c r="AD875" t="s">
        <v>74</v>
      </c>
      <c r="AE875" t="s">
        <v>74</v>
      </c>
      <c r="AF875" t="s">
        <v>74</v>
      </c>
      <c r="AG875" t="s">
        <v>74</v>
      </c>
      <c r="AH875" t="s">
        <v>74</v>
      </c>
      <c r="AI875" t="s">
        <v>74</v>
      </c>
      <c r="AJ875" t="s">
        <v>74</v>
      </c>
      <c r="AK875" t="s">
        <v>74</v>
      </c>
      <c r="AL875" t="s">
        <v>74</v>
      </c>
      <c r="AM875" t="s">
        <v>74</v>
      </c>
      <c r="AN875" t="s">
        <v>74</v>
      </c>
      <c r="AO875" t="s">
        <v>2772</v>
      </c>
      <c r="AP875" t="s">
        <v>2773</v>
      </c>
      <c r="AQ875" t="s">
        <v>74</v>
      </c>
      <c r="AR875" t="s">
        <v>74</v>
      </c>
      <c r="AS875" t="s">
        <v>74</v>
      </c>
      <c r="AT875" t="s">
        <v>6277</v>
      </c>
      <c r="AU875">
        <v>1999</v>
      </c>
      <c r="AV875">
        <v>18</v>
      </c>
      <c r="AW875">
        <v>1</v>
      </c>
      <c r="AX875" t="s">
        <v>74</v>
      </c>
      <c r="AY875" t="s">
        <v>74</v>
      </c>
      <c r="AZ875" t="s">
        <v>74</v>
      </c>
      <c r="BA875" t="s">
        <v>74</v>
      </c>
      <c r="BB875">
        <v>95</v>
      </c>
      <c r="BC875">
        <v>103</v>
      </c>
      <c r="BD875" t="s">
        <v>74</v>
      </c>
      <c r="BE875" t="s">
        <v>6278</v>
      </c>
      <c r="BF875" t="str">
        <f>HYPERLINK("http://dx.doi.org/10.3354/ame018095","http://dx.doi.org/10.3354/ame018095")</f>
        <v>http://dx.doi.org/10.3354/ame018095</v>
      </c>
      <c r="BG875" t="s">
        <v>74</v>
      </c>
      <c r="BH875" t="s">
        <v>74</v>
      </c>
      <c r="BI875" t="s">
        <v>74</v>
      </c>
      <c r="BJ875" t="s">
        <v>74</v>
      </c>
      <c r="BK875" t="s">
        <v>74</v>
      </c>
      <c r="BL875" t="s">
        <v>74</v>
      </c>
      <c r="BM875" t="s">
        <v>74</v>
      </c>
      <c r="BN875" t="s">
        <v>74</v>
      </c>
      <c r="BO875" t="s">
        <v>74</v>
      </c>
      <c r="BP875" t="s">
        <v>74</v>
      </c>
      <c r="BQ875" t="s">
        <v>74</v>
      </c>
      <c r="BR875" t="s">
        <v>74</v>
      </c>
      <c r="BS875" t="s">
        <v>6279</v>
      </c>
      <c r="BT875" t="str">
        <f>HYPERLINK("https%3A%2F%2Fwww.webofscience.com%2Fwos%2Fwoscc%2Ffull-record%2FWOS:000081787900009","View Full Record in Web of Science")</f>
        <v>View Full Record in Web of Science</v>
      </c>
    </row>
    <row r="876" spans="1:72" x14ac:dyDescent="0.2">
      <c r="A876" t="s">
        <v>72</v>
      </c>
      <c r="B876" t="s">
        <v>6280</v>
      </c>
      <c r="C876" t="s">
        <v>74</v>
      </c>
      <c r="D876" t="s">
        <v>74</v>
      </c>
      <c r="E876" t="s">
        <v>74</v>
      </c>
      <c r="F876" t="s">
        <v>6280</v>
      </c>
      <c r="G876" t="s">
        <v>74</v>
      </c>
      <c r="H876" t="s">
        <v>74</v>
      </c>
      <c r="I876" t="s">
        <v>6281</v>
      </c>
      <c r="J876" t="s">
        <v>2769</v>
      </c>
      <c r="K876" t="s">
        <v>74</v>
      </c>
      <c r="L876" t="s">
        <v>74</v>
      </c>
      <c r="M876" t="s">
        <v>74</v>
      </c>
      <c r="N876" t="s">
        <v>74</v>
      </c>
      <c r="O876" t="s">
        <v>74</v>
      </c>
      <c r="P876" t="s">
        <v>74</v>
      </c>
      <c r="Q876" t="s">
        <v>74</v>
      </c>
      <c r="R876" t="s">
        <v>74</v>
      </c>
      <c r="S876" t="s">
        <v>74</v>
      </c>
      <c r="T876" t="s">
        <v>74</v>
      </c>
      <c r="U876" t="s">
        <v>74</v>
      </c>
      <c r="V876" t="s">
        <v>74</v>
      </c>
      <c r="W876" t="s">
        <v>74</v>
      </c>
      <c r="X876" t="s">
        <v>74</v>
      </c>
      <c r="Y876" t="s">
        <v>74</v>
      </c>
      <c r="Z876" t="s">
        <v>74</v>
      </c>
      <c r="AA876" t="s">
        <v>74</v>
      </c>
      <c r="AB876" t="s">
        <v>74</v>
      </c>
      <c r="AC876" t="s">
        <v>74</v>
      </c>
      <c r="AD876" t="s">
        <v>74</v>
      </c>
      <c r="AE876" t="s">
        <v>74</v>
      </c>
      <c r="AF876" t="s">
        <v>74</v>
      </c>
      <c r="AG876" t="s">
        <v>74</v>
      </c>
      <c r="AH876" t="s">
        <v>74</v>
      </c>
      <c r="AI876" t="s">
        <v>74</v>
      </c>
      <c r="AJ876" t="s">
        <v>74</v>
      </c>
      <c r="AK876" t="s">
        <v>74</v>
      </c>
      <c r="AL876" t="s">
        <v>74</v>
      </c>
      <c r="AM876" t="s">
        <v>74</v>
      </c>
      <c r="AN876" t="s">
        <v>74</v>
      </c>
      <c r="AO876" t="s">
        <v>2772</v>
      </c>
      <c r="AP876" t="s">
        <v>2773</v>
      </c>
      <c r="AQ876" t="s">
        <v>74</v>
      </c>
      <c r="AR876" t="s">
        <v>74</v>
      </c>
      <c r="AS876" t="s">
        <v>74</v>
      </c>
      <c r="AT876" t="s">
        <v>6282</v>
      </c>
      <c r="AU876">
        <v>1999</v>
      </c>
      <c r="AV876">
        <v>17</v>
      </c>
      <c r="AW876">
        <v>1</v>
      </c>
      <c r="AX876" t="s">
        <v>74</v>
      </c>
      <c r="AY876" t="s">
        <v>74</v>
      </c>
      <c r="AZ876" t="s">
        <v>74</v>
      </c>
      <c r="BA876" t="s">
        <v>74</v>
      </c>
      <c r="BB876">
        <v>49</v>
      </c>
      <c r="BC876">
        <v>60</v>
      </c>
      <c r="BD876" t="s">
        <v>74</v>
      </c>
      <c r="BE876" t="s">
        <v>6283</v>
      </c>
      <c r="BF876" t="str">
        <f>HYPERLINK("http://dx.doi.org/10.3354/ame017049","http://dx.doi.org/10.3354/ame017049")</f>
        <v>http://dx.doi.org/10.3354/ame017049</v>
      </c>
      <c r="BG876" t="s">
        <v>74</v>
      </c>
      <c r="BH876" t="s">
        <v>74</v>
      </c>
      <c r="BI876" t="s">
        <v>74</v>
      </c>
      <c r="BJ876" t="s">
        <v>74</v>
      </c>
      <c r="BK876" t="s">
        <v>74</v>
      </c>
      <c r="BL876" t="s">
        <v>74</v>
      </c>
      <c r="BM876" t="s">
        <v>74</v>
      </c>
      <c r="BN876" t="s">
        <v>74</v>
      </c>
      <c r="BO876" t="s">
        <v>74</v>
      </c>
      <c r="BP876" t="s">
        <v>74</v>
      </c>
      <c r="BQ876" t="s">
        <v>74</v>
      </c>
      <c r="BR876" t="s">
        <v>74</v>
      </c>
      <c r="BS876" t="s">
        <v>6284</v>
      </c>
      <c r="BT876" t="str">
        <f>HYPERLINK("https%3A%2F%2Fwww.webofscience.com%2Fwos%2Fwoscc%2Ffull-record%2FWOS:000080660500005","View Full Record in Web of Science")</f>
        <v>View Full Record in Web of Science</v>
      </c>
    </row>
    <row r="877" spans="1:72" x14ac:dyDescent="0.2">
      <c r="A877" t="s">
        <v>72</v>
      </c>
      <c r="B877" t="s">
        <v>6285</v>
      </c>
      <c r="C877" t="s">
        <v>74</v>
      </c>
      <c r="D877" t="s">
        <v>74</v>
      </c>
      <c r="E877" t="s">
        <v>74</v>
      </c>
      <c r="F877" t="s">
        <v>6285</v>
      </c>
      <c r="G877" t="s">
        <v>74</v>
      </c>
      <c r="H877" t="s">
        <v>74</v>
      </c>
      <c r="I877" t="s">
        <v>6286</v>
      </c>
      <c r="J877" t="s">
        <v>1716</v>
      </c>
      <c r="K877" t="s">
        <v>74</v>
      </c>
      <c r="L877" t="s">
        <v>74</v>
      </c>
      <c r="M877" t="s">
        <v>74</v>
      </c>
      <c r="N877" t="s">
        <v>74</v>
      </c>
      <c r="O877" t="s">
        <v>74</v>
      </c>
      <c r="P877" t="s">
        <v>74</v>
      </c>
      <c r="Q877" t="s">
        <v>74</v>
      </c>
      <c r="R877" t="s">
        <v>74</v>
      </c>
      <c r="S877" t="s">
        <v>74</v>
      </c>
      <c r="T877" t="s">
        <v>74</v>
      </c>
      <c r="U877" t="s">
        <v>74</v>
      </c>
      <c r="V877" t="s">
        <v>74</v>
      </c>
      <c r="W877" t="s">
        <v>74</v>
      </c>
      <c r="X877" t="s">
        <v>74</v>
      </c>
      <c r="Y877" t="s">
        <v>74</v>
      </c>
      <c r="Z877" t="s">
        <v>74</v>
      </c>
      <c r="AA877" t="s">
        <v>5747</v>
      </c>
      <c r="AB877" t="s">
        <v>5748</v>
      </c>
      <c r="AC877" t="s">
        <v>74</v>
      </c>
      <c r="AD877" t="s">
        <v>74</v>
      </c>
      <c r="AE877" t="s">
        <v>74</v>
      </c>
      <c r="AF877" t="s">
        <v>74</v>
      </c>
      <c r="AG877" t="s">
        <v>74</v>
      </c>
      <c r="AH877" t="s">
        <v>74</v>
      </c>
      <c r="AI877" t="s">
        <v>74</v>
      </c>
      <c r="AJ877" t="s">
        <v>74</v>
      </c>
      <c r="AK877" t="s">
        <v>74</v>
      </c>
      <c r="AL877" t="s">
        <v>74</v>
      </c>
      <c r="AM877" t="s">
        <v>74</v>
      </c>
      <c r="AN877" t="s">
        <v>74</v>
      </c>
      <c r="AO877" t="s">
        <v>1717</v>
      </c>
      <c r="AP877" t="s">
        <v>74</v>
      </c>
      <c r="AQ877" t="s">
        <v>74</v>
      </c>
      <c r="AR877" t="s">
        <v>74</v>
      </c>
      <c r="AS877" t="s">
        <v>74</v>
      </c>
      <c r="AT877" t="s">
        <v>203</v>
      </c>
      <c r="AU877">
        <v>1999</v>
      </c>
      <c r="AV877">
        <v>35</v>
      </c>
      <c r="AW877">
        <v>2</v>
      </c>
      <c r="AX877" t="s">
        <v>74</v>
      </c>
      <c r="AY877" t="s">
        <v>74</v>
      </c>
      <c r="AZ877" t="s">
        <v>74</v>
      </c>
      <c r="BA877" t="s">
        <v>74</v>
      </c>
      <c r="BB877">
        <v>403</v>
      </c>
      <c r="BC877">
        <v>424</v>
      </c>
      <c r="BD877" t="s">
        <v>74</v>
      </c>
      <c r="BE877" t="s">
        <v>6287</v>
      </c>
      <c r="BF877" t="str">
        <f>HYPERLINK("http://dx.doi.org/10.1046/j.1529-8817.1999.3520403.x","http://dx.doi.org/10.1046/j.1529-8817.1999.3520403.x")</f>
        <v>http://dx.doi.org/10.1046/j.1529-8817.1999.3520403.x</v>
      </c>
      <c r="BG877" t="s">
        <v>74</v>
      </c>
      <c r="BH877" t="s">
        <v>74</v>
      </c>
      <c r="BI877" t="s">
        <v>74</v>
      </c>
      <c r="BJ877" t="s">
        <v>74</v>
      </c>
      <c r="BK877" t="s">
        <v>74</v>
      </c>
      <c r="BL877" t="s">
        <v>74</v>
      </c>
      <c r="BM877" t="s">
        <v>74</v>
      </c>
      <c r="BN877" t="s">
        <v>74</v>
      </c>
      <c r="BO877" t="s">
        <v>74</v>
      </c>
      <c r="BP877" t="s">
        <v>74</v>
      </c>
      <c r="BQ877" t="s">
        <v>74</v>
      </c>
      <c r="BR877" t="s">
        <v>74</v>
      </c>
      <c r="BS877" t="s">
        <v>6288</v>
      </c>
      <c r="BT877" t="str">
        <f>HYPERLINK("https%3A%2F%2Fwww.webofscience.com%2Fwos%2Fwoscc%2Ffull-record%2FWOS:000080222900021","View Full Record in Web of Science")</f>
        <v>View Full Record in Web of Science</v>
      </c>
    </row>
    <row r="878" spans="1:72" x14ac:dyDescent="0.2">
      <c r="A878" t="s">
        <v>72</v>
      </c>
      <c r="B878" t="s">
        <v>6289</v>
      </c>
      <c r="C878" t="s">
        <v>74</v>
      </c>
      <c r="D878" t="s">
        <v>74</v>
      </c>
      <c r="E878" t="s">
        <v>74</v>
      </c>
      <c r="F878" t="s">
        <v>6289</v>
      </c>
      <c r="G878" t="s">
        <v>74</v>
      </c>
      <c r="H878" t="s">
        <v>74</v>
      </c>
      <c r="I878" t="s">
        <v>6290</v>
      </c>
      <c r="J878" t="s">
        <v>6291</v>
      </c>
      <c r="K878" t="s">
        <v>74</v>
      </c>
      <c r="L878" t="s">
        <v>74</v>
      </c>
      <c r="M878" t="s">
        <v>74</v>
      </c>
      <c r="N878" t="s">
        <v>74</v>
      </c>
      <c r="O878" t="s">
        <v>74</v>
      </c>
      <c r="P878" t="s">
        <v>74</v>
      </c>
      <c r="Q878" t="s">
        <v>74</v>
      </c>
      <c r="R878" t="s">
        <v>74</v>
      </c>
      <c r="S878" t="s">
        <v>74</v>
      </c>
      <c r="T878" t="s">
        <v>74</v>
      </c>
      <c r="U878" t="s">
        <v>74</v>
      </c>
      <c r="V878" t="s">
        <v>74</v>
      </c>
      <c r="W878" t="s">
        <v>74</v>
      </c>
      <c r="X878" t="s">
        <v>74</v>
      </c>
      <c r="Y878" t="s">
        <v>74</v>
      </c>
      <c r="Z878" t="s">
        <v>74</v>
      </c>
      <c r="AA878" t="s">
        <v>74</v>
      </c>
      <c r="AB878" t="s">
        <v>74</v>
      </c>
      <c r="AC878" t="s">
        <v>74</v>
      </c>
      <c r="AD878" t="s">
        <v>74</v>
      </c>
      <c r="AE878" t="s">
        <v>74</v>
      </c>
      <c r="AF878" t="s">
        <v>74</v>
      </c>
      <c r="AG878" t="s">
        <v>74</v>
      </c>
      <c r="AH878" t="s">
        <v>74</v>
      </c>
      <c r="AI878" t="s">
        <v>74</v>
      </c>
      <c r="AJ878" t="s">
        <v>74</v>
      </c>
      <c r="AK878" t="s">
        <v>74</v>
      </c>
      <c r="AL878" t="s">
        <v>74</v>
      </c>
      <c r="AM878" t="s">
        <v>74</v>
      </c>
      <c r="AN878" t="s">
        <v>74</v>
      </c>
      <c r="AO878" t="s">
        <v>6292</v>
      </c>
      <c r="AP878" t="s">
        <v>74</v>
      </c>
      <c r="AQ878" t="s">
        <v>74</v>
      </c>
      <c r="AR878" t="s">
        <v>74</v>
      </c>
      <c r="AS878" t="s">
        <v>74</v>
      </c>
      <c r="AT878" t="s">
        <v>335</v>
      </c>
      <c r="AU878">
        <v>1998</v>
      </c>
      <c r="AV878">
        <v>127</v>
      </c>
      <c r="AW878">
        <v>6</v>
      </c>
      <c r="AX878" t="s">
        <v>74</v>
      </c>
      <c r="AY878" t="s">
        <v>74</v>
      </c>
      <c r="AZ878" t="s">
        <v>74</v>
      </c>
      <c r="BA878" t="s">
        <v>74</v>
      </c>
      <c r="BB878">
        <v>1040</v>
      </c>
      <c r="BC878">
        <v>1050</v>
      </c>
      <c r="BD878" t="s">
        <v>74</v>
      </c>
      <c r="BE878" t="s">
        <v>6293</v>
      </c>
      <c r="BF878" t="str">
        <f>HYPERLINK("http://dx.doi.org/10.1577/1548-8659(1998)127&lt;1040:PSBLFA&gt;2.0.CO;2","http://dx.doi.org/10.1577/1548-8659(1998)127&lt;1040:PSBLFA&gt;2.0.CO;2")</f>
        <v>http://dx.doi.org/10.1577/1548-8659(1998)127&lt;1040:PSBLFA&gt;2.0.CO;2</v>
      </c>
      <c r="BG878" t="s">
        <v>74</v>
      </c>
      <c r="BH878" t="s">
        <v>74</v>
      </c>
      <c r="BI878" t="s">
        <v>74</v>
      </c>
      <c r="BJ878" t="s">
        <v>74</v>
      </c>
      <c r="BK878" t="s">
        <v>74</v>
      </c>
      <c r="BL878" t="s">
        <v>74</v>
      </c>
      <c r="BM878" t="s">
        <v>74</v>
      </c>
      <c r="BN878" t="s">
        <v>74</v>
      </c>
      <c r="BO878" t="s">
        <v>74</v>
      </c>
      <c r="BP878" t="s">
        <v>74</v>
      </c>
      <c r="BQ878" t="s">
        <v>74</v>
      </c>
      <c r="BR878" t="s">
        <v>74</v>
      </c>
      <c r="BS878" t="s">
        <v>6294</v>
      </c>
      <c r="BT878" t="str">
        <f>HYPERLINK("https%3A%2F%2Fwww.webofscience.com%2Fwos%2Fwoscc%2Ffull-record%2FWOS:000078728600014","View Full Record in Web of Science")</f>
        <v>View Full Record in Web of Science</v>
      </c>
    </row>
    <row r="879" spans="1:72" x14ac:dyDescent="0.2">
      <c r="A879" t="s">
        <v>72</v>
      </c>
      <c r="B879" t="s">
        <v>6295</v>
      </c>
      <c r="C879" t="s">
        <v>74</v>
      </c>
      <c r="D879" t="s">
        <v>74</v>
      </c>
      <c r="E879" t="s">
        <v>74</v>
      </c>
      <c r="F879" t="s">
        <v>6295</v>
      </c>
      <c r="G879" t="s">
        <v>74</v>
      </c>
      <c r="H879" t="s">
        <v>74</v>
      </c>
      <c r="I879" t="s">
        <v>6296</v>
      </c>
      <c r="J879" t="s">
        <v>5710</v>
      </c>
      <c r="K879" t="s">
        <v>74</v>
      </c>
      <c r="L879" t="s">
        <v>74</v>
      </c>
      <c r="M879" t="s">
        <v>74</v>
      </c>
      <c r="N879" t="s">
        <v>74</v>
      </c>
      <c r="O879" t="s">
        <v>74</v>
      </c>
      <c r="P879" t="s">
        <v>74</v>
      </c>
      <c r="Q879" t="s">
        <v>74</v>
      </c>
      <c r="R879" t="s">
        <v>74</v>
      </c>
      <c r="S879" t="s">
        <v>74</v>
      </c>
      <c r="T879" t="s">
        <v>74</v>
      </c>
      <c r="U879" t="s">
        <v>74</v>
      </c>
      <c r="V879" t="s">
        <v>74</v>
      </c>
      <c r="W879" t="s">
        <v>74</v>
      </c>
      <c r="X879" t="s">
        <v>74</v>
      </c>
      <c r="Y879" t="s">
        <v>74</v>
      </c>
      <c r="Z879" t="s">
        <v>74</v>
      </c>
      <c r="AA879" t="s">
        <v>6069</v>
      </c>
      <c r="AB879" t="s">
        <v>6070</v>
      </c>
      <c r="AC879" t="s">
        <v>74</v>
      </c>
      <c r="AD879" t="s">
        <v>74</v>
      </c>
      <c r="AE879" t="s">
        <v>74</v>
      </c>
      <c r="AF879" t="s">
        <v>74</v>
      </c>
      <c r="AG879" t="s">
        <v>74</v>
      </c>
      <c r="AH879" t="s">
        <v>74</v>
      </c>
      <c r="AI879" t="s">
        <v>74</v>
      </c>
      <c r="AJ879" t="s">
        <v>74</v>
      </c>
      <c r="AK879" t="s">
        <v>74</v>
      </c>
      <c r="AL879" t="s">
        <v>74</v>
      </c>
      <c r="AM879" t="s">
        <v>74</v>
      </c>
      <c r="AN879" t="s">
        <v>74</v>
      </c>
      <c r="AO879" t="s">
        <v>5711</v>
      </c>
      <c r="AP879" t="s">
        <v>74</v>
      </c>
      <c r="AQ879" t="s">
        <v>74</v>
      </c>
      <c r="AR879" t="s">
        <v>74</v>
      </c>
      <c r="AS879" t="s">
        <v>74</v>
      </c>
      <c r="AT879" t="s">
        <v>451</v>
      </c>
      <c r="AU879">
        <v>1998</v>
      </c>
      <c r="AV879">
        <v>143</v>
      </c>
      <c r="AW879">
        <v>2</v>
      </c>
      <c r="AX879" t="s">
        <v>74</v>
      </c>
      <c r="AY879" t="s">
        <v>74</v>
      </c>
      <c r="AZ879" t="s">
        <v>74</v>
      </c>
      <c r="BA879" t="s">
        <v>74</v>
      </c>
      <c r="BB879">
        <v>227</v>
      </c>
      <c r="BC879">
        <v>255</v>
      </c>
      <c r="BD879" t="s">
        <v>74</v>
      </c>
      <c r="BE879" t="s">
        <v>74</v>
      </c>
      <c r="BF879" t="s">
        <v>74</v>
      </c>
      <c r="BG879" t="s">
        <v>74</v>
      </c>
      <c r="BH879" t="s">
        <v>74</v>
      </c>
      <c r="BI879" t="s">
        <v>74</v>
      </c>
      <c r="BJ879" t="s">
        <v>74</v>
      </c>
      <c r="BK879" t="s">
        <v>74</v>
      </c>
      <c r="BL879" t="s">
        <v>74</v>
      </c>
      <c r="BM879" t="s">
        <v>74</v>
      </c>
      <c r="BN879" t="s">
        <v>74</v>
      </c>
      <c r="BO879" t="s">
        <v>74</v>
      </c>
      <c r="BP879" t="s">
        <v>74</v>
      </c>
      <c r="BQ879" t="s">
        <v>74</v>
      </c>
      <c r="BR879" t="s">
        <v>74</v>
      </c>
      <c r="BS879" t="s">
        <v>6297</v>
      </c>
      <c r="BT879" t="str">
        <f>HYPERLINK("https%3A%2F%2Fwww.webofscience.com%2Fwos%2Fwoscc%2Ffull-record%2FWOS:000076817700006","View Full Record in Web of Science")</f>
        <v>View Full Record in Web of Science</v>
      </c>
    </row>
    <row r="880" spans="1:72" x14ac:dyDescent="0.2">
      <c r="A880" t="s">
        <v>72</v>
      </c>
      <c r="B880" t="s">
        <v>6298</v>
      </c>
      <c r="C880" t="s">
        <v>74</v>
      </c>
      <c r="D880" t="s">
        <v>74</v>
      </c>
      <c r="E880" t="s">
        <v>74</v>
      </c>
      <c r="F880" t="s">
        <v>6298</v>
      </c>
      <c r="G880" t="s">
        <v>74</v>
      </c>
      <c r="H880" t="s">
        <v>74</v>
      </c>
      <c r="I880" t="s">
        <v>6299</v>
      </c>
      <c r="J880" t="s">
        <v>227</v>
      </c>
      <c r="K880" t="s">
        <v>74</v>
      </c>
      <c r="L880" t="s">
        <v>74</v>
      </c>
      <c r="M880" t="s">
        <v>74</v>
      </c>
      <c r="N880" t="s">
        <v>74</v>
      </c>
      <c r="O880" t="s">
        <v>74</v>
      </c>
      <c r="P880" t="s">
        <v>74</v>
      </c>
      <c r="Q880" t="s">
        <v>74</v>
      </c>
      <c r="R880" t="s">
        <v>74</v>
      </c>
      <c r="S880" t="s">
        <v>74</v>
      </c>
      <c r="T880" t="s">
        <v>74</v>
      </c>
      <c r="U880" t="s">
        <v>74</v>
      </c>
      <c r="V880" t="s">
        <v>74</v>
      </c>
      <c r="W880" t="s">
        <v>74</v>
      </c>
      <c r="X880" t="s">
        <v>74</v>
      </c>
      <c r="Y880" t="s">
        <v>74</v>
      </c>
      <c r="Z880" t="s">
        <v>74</v>
      </c>
      <c r="AA880" t="s">
        <v>6300</v>
      </c>
      <c r="AB880" t="s">
        <v>3975</v>
      </c>
      <c r="AC880" t="s">
        <v>74</v>
      </c>
      <c r="AD880" t="s">
        <v>74</v>
      </c>
      <c r="AE880" t="s">
        <v>74</v>
      </c>
      <c r="AF880" t="s">
        <v>74</v>
      </c>
      <c r="AG880" t="s">
        <v>74</v>
      </c>
      <c r="AH880" t="s">
        <v>74</v>
      </c>
      <c r="AI880" t="s">
        <v>74</v>
      </c>
      <c r="AJ880" t="s">
        <v>74</v>
      </c>
      <c r="AK880" t="s">
        <v>74</v>
      </c>
      <c r="AL880" t="s">
        <v>74</v>
      </c>
      <c r="AM880" t="s">
        <v>74</v>
      </c>
      <c r="AN880" t="s">
        <v>74</v>
      </c>
      <c r="AO880" t="s">
        <v>230</v>
      </c>
      <c r="AP880" t="s">
        <v>74</v>
      </c>
      <c r="AQ880" t="s">
        <v>74</v>
      </c>
      <c r="AR880" t="s">
        <v>74</v>
      </c>
      <c r="AS880" t="s">
        <v>74</v>
      </c>
      <c r="AT880" t="s">
        <v>451</v>
      </c>
      <c r="AU880">
        <v>1998</v>
      </c>
      <c r="AV880">
        <v>43</v>
      </c>
      <c r="AW880">
        <v>6</v>
      </c>
      <c r="AX880" t="s">
        <v>74</v>
      </c>
      <c r="AY880" t="s">
        <v>74</v>
      </c>
      <c r="AZ880" t="s">
        <v>74</v>
      </c>
      <c r="BA880" t="s">
        <v>74</v>
      </c>
      <c r="BB880">
        <v>1362</v>
      </c>
      <c r="BC880">
        <v>1368</v>
      </c>
      <c r="BD880" t="s">
        <v>74</v>
      </c>
      <c r="BE880" t="s">
        <v>6301</v>
      </c>
      <c r="BF880" t="str">
        <f>HYPERLINK("http://dx.doi.org/10.4319/lo.1998.43.6.1362","http://dx.doi.org/10.4319/lo.1998.43.6.1362")</f>
        <v>http://dx.doi.org/10.4319/lo.1998.43.6.1362</v>
      </c>
      <c r="BG880" t="s">
        <v>74</v>
      </c>
      <c r="BH880" t="s">
        <v>74</v>
      </c>
      <c r="BI880" t="s">
        <v>74</v>
      </c>
      <c r="BJ880" t="s">
        <v>74</v>
      </c>
      <c r="BK880" t="s">
        <v>74</v>
      </c>
      <c r="BL880" t="s">
        <v>74</v>
      </c>
      <c r="BM880" t="s">
        <v>74</v>
      </c>
      <c r="BN880" t="s">
        <v>74</v>
      </c>
      <c r="BO880" t="s">
        <v>74</v>
      </c>
      <c r="BP880" t="s">
        <v>74</v>
      </c>
      <c r="BQ880" t="s">
        <v>74</v>
      </c>
      <c r="BR880" t="s">
        <v>74</v>
      </c>
      <c r="BS880" t="s">
        <v>6302</v>
      </c>
      <c r="BT880" t="str">
        <f>HYPERLINK("https%3A%2F%2Fwww.webofscience.com%2Fwos%2Fwoscc%2Ffull-record%2FWOS:000076791700029","View Full Record in Web of Science")</f>
        <v>View Full Record in Web of Science</v>
      </c>
    </row>
    <row r="881" spans="1:72" x14ac:dyDescent="0.2">
      <c r="A881" t="s">
        <v>72</v>
      </c>
      <c r="B881" t="s">
        <v>6303</v>
      </c>
      <c r="C881" t="s">
        <v>74</v>
      </c>
      <c r="D881" t="s">
        <v>74</v>
      </c>
      <c r="E881" t="s">
        <v>74</v>
      </c>
      <c r="F881" t="s">
        <v>6303</v>
      </c>
      <c r="G881" t="s">
        <v>74</v>
      </c>
      <c r="H881" t="s">
        <v>74</v>
      </c>
      <c r="I881" t="s">
        <v>6304</v>
      </c>
      <c r="J881" t="s">
        <v>1523</v>
      </c>
      <c r="K881" t="s">
        <v>74</v>
      </c>
      <c r="L881" t="s">
        <v>74</v>
      </c>
      <c r="M881" t="s">
        <v>74</v>
      </c>
      <c r="N881" t="s">
        <v>74</v>
      </c>
      <c r="O881" t="s">
        <v>74</v>
      </c>
      <c r="P881" t="s">
        <v>74</v>
      </c>
      <c r="Q881" t="s">
        <v>74</v>
      </c>
      <c r="R881" t="s">
        <v>74</v>
      </c>
      <c r="S881" t="s">
        <v>74</v>
      </c>
      <c r="T881" t="s">
        <v>74</v>
      </c>
      <c r="U881" t="s">
        <v>74</v>
      </c>
      <c r="V881" t="s">
        <v>74</v>
      </c>
      <c r="W881" t="s">
        <v>74</v>
      </c>
      <c r="X881" t="s">
        <v>74</v>
      </c>
      <c r="Y881" t="s">
        <v>74</v>
      </c>
      <c r="Z881" t="s">
        <v>74</v>
      </c>
      <c r="AA881" t="s">
        <v>74</v>
      </c>
      <c r="AB881" t="s">
        <v>74</v>
      </c>
      <c r="AC881" t="s">
        <v>74</v>
      </c>
      <c r="AD881" t="s">
        <v>74</v>
      </c>
      <c r="AE881" t="s">
        <v>74</v>
      </c>
      <c r="AF881" t="s">
        <v>74</v>
      </c>
      <c r="AG881" t="s">
        <v>74</v>
      </c>
      <c r="AH881" t="s">
        <v>74</v>
      </c>
      <c r="AI881" t="s">
        <v>74</v>
      </c>
      <c r="AJ881" t="s">
        <v>74</v>
      </c>
      <c r="AK881" t="s">
        <v>74</v>
      </c>
      <c r="AL881" t="s">
        <v>74</v>
      </c>
      <c r="AM881" t="s">
        <v>74</v>
      </c>
      <c r="AN881" t="s">
        <v>74</v>
      </c>
      <c r="AO881" t="s">
        <v>1524</v>
      </c>
      <c r="AP881" t="s">
        <v>1525</v>
      </c>
      <c r="AQ881" t="s">
        <v>74</v>
      </c>
      <c r="AR881" t="s">
        <v>74</v>
      </c>
      <c r="AS881" t="s">
        <v>74</v>
      </c>
      <c r="AT881" t="s">
        <v>451</v>
      </c>
      <c r="AU881">
        <v>1998</v>
      </c>
      <c r="AV881">
        <v>79</v>
      </c>
      <c r="AW881">
        <v>6</v>
      </c>
      <c r="AX881" t="s">
        <v>74</v>
      </c>
      <c r="AY881" t="s">
        <v>74</v>
      </c>
      <c r="AZ881" t="s">
        <v>74</v>
      </c>
      <c r="BA881" t="s">
        <v>74</v>
      </c>
      <c r="BB881">
        <v>1980</v>
      </c>
      <c r="BC881">
        <v>1994</v>
      </c>
      <c r="BD881" t="s">
        <v>74</v>
      </c>
      <c r="BE881" t="s">
        <v>74</v>
      </c>
      <c r="BF881" t="s">
        <v>74</v>
      </c>
      <c r="BG881" t="s">
        <v>74</v>
      </c>
      <c r="BH881" t="s">
        <v>74</v>
      </c>
      <c r="BI881" t="s">
        <v>74</v>
      </c>
      <c r="BJ881" t="s">
        <v>74</v>
      </c>
      <c r="BK881" t="s">
        <v>74</v>
      </c>
      <c r="BL881" t="s">
        <v>74</v>
      </c>
      <c r="BM881" t="s">
        <v>74</v>
      </c>
      <c r="BN881" t="s">
        <v>74</v>
      </c>
      <c r="BO881" t="s">
        <v>74</v>
      </c>
      <c r="BP881" t="s">
        <v>74</v>
      </c>
      <c r="BQ881" t="s">
        <v>74</v>
      </c>
      <c r="BR881" t="s">
        <v>74</v>
      </c>
      <c r="BS881" t="s">
        <v>6305</v>
      </c>
      <c r="BT881" t="str">
        <f>HYPERLINK("https%3A%2F%2Fwww.webofscience.com%2Fwos%2Fwoscc%2Ffull-record%2FWOS:000075752700011","View Full Record in Web of Science")</f>
        <v>View Full Record in Web of Science</v>
      </c>
    </row>
    <row r="882" spans="1:72" x14ac:dyDescent="0.2">
      <c r="A882" t="s">
        <v>72</v>
      </c>
      <c r="B882" t="s">
        <v>6306</v>
      </c>
      <c r="C882" t="s">
        <v>74</v>
      </c>
      <c r="D882" t="s">
        <v>74</v>
      </c>
      <c r="E882" t="s">
        <v>74</v>
      </c>
      <c r="F882" t="s">
        <v>6306</v>
      </c>
      <c r="G882" t="s">
        <v>74</v>
      </c>
      <c r="H882" t="s">
        <v>74</v>
      </c>
      <c r="I882" t="s">
        <v>6307</v>
      </c>
      <c r="J882" t="s">
        <v>227</v>
      </c>
      <c r="K882" t="s">
        <v>74</v>
      </c>
      <c r="L882" t="s">
        <v>74</v>
      </c>
      <c r="M882" t="s">
        <v>74</v>
      </c>
      <c r="N882" t="s">
        <v>74</v>
      </c>
      <c r="O882" t="s">
        <v>74</v>
      </c>
      <c r="P882" t="s">
        <v>74</v>
      </c>
      <c r="Q882" t="s">
        <v>74</v>
      </c>
      <c r="R882" t="s">
        <v>74</v>
      </c>
      <c r="S882" t="s">
        <v>74</v>
      </c>
      <c r="T882" t="s">
        <v>74</v>
      </c>
      <c r="U882" t="s">
        <v>74</v>
      </c>
      <c r="V882" t="s">
        <v>74</v>
      </c>
      <c r="W882" t="s">
        <v>74</v>
      </c>
      <c r="X882" t="s">
        <v>74</v>
      </c>
      <c r="Y882" t="s">
        <v>74</v>
      </c>
      <c r="Z882" t="s">
        <v>74</v>
      </c>
      <c r="AA882" t="s">
        <v>74</v>
      </c>
      <c r="AB882" t="s">
        <v>74</v>
      </c>
      <c r="AC882" t="s">
        <v>74</v>
      </c>
      <c r="AD882" t="s">
        <v>74</v>
      </c>
      <c r="AE882" t="s">
        <v>74</v>
      </c>
      <c r="AF882" t="s">
        <v>74</v>
      </c>
      <c r="AG882" t="s">
        <v>74</v>
      </c>
      <c r="AH882" t="s">
        <v>74</v>
      </c>
      <c r="AI882" t="s">
        <v>74</v>
      </c>
      <c r="AJ882" t="s">
        <v>74</v>
      </c>
      <c r="AK882" t="s">
        <v>74</v>
      </c>
      <c r="AL882" t="s">
        <v>74</v>
      </c>
      <c r="AM882" t="s">
        <v>74</v>
      </c>
      <c r="AN882" t="s">
        <v>74</v>
      </c>
      <c r="AO882" t="s">
        <v>230</v>
      </c>
      <c r="AP882" t="s">
        <v>231</v>
      </c>
      <c r="AQ882" t="s">
        <v>74</v>
      </c>
      <c r="AR882" t="s">
        <v>74</v>
      </c>
      <c r="AS882" t="s">
        <v>74</v>
      </c>
      <c r="AT882" t="s">
        <v>451</v>
      </c>
      <c r="AU882">
        <v>1998</v>
      </c>
      <c r="AV882">
        <v>43</v>
      </c>
      <c r="AW882">
        <v>6</v>
      </c>
      <c r="AX882" t="s">
        <v>74</v>
      </c>
      <c r="AY882" t="s">
        <v>74</v>
      </c>
      <c r="AZ882" t="s">
        <v>74</v>
      </c>
      <c r="BA882" t="s">
        <v>74</v>
      </c>
      <c r="BB882">
        <v>1119</v>
      </c>
      <c r="BC882">
        <v>1132</v>
      </c>
      <c r="BD882" t="s">
        <v>74</v>
      </c>
      <c r="BE882" t="s">
        <v>6308</v>
      </c>
      <c r="BF882" t="str">
        <f>HYPERLINK("http://dx.doi.org/10.4319/lo.1998.43.6.1119","http://dx.doi.org/10.4319/lo.1998.43.6.1119")</f>
        <v>http://dx.doi.org/10.4319/lo.1998.43.6.1119</v>
      </c>
      <c r="BG882" t="s">
        <v>74</v>
      </c>
      <c r="BH882" t="s">
        <v>74</v>
      </c>
      <c r="BI882" t="s">
        <v>74</v>
      </c>
      <c r="BJ882" t="s">
        <v>74</v>
      </c>
      <c r="BK882" t="s">
        <v>74</v>
      </c>
      <c r="BL882" t="s">
        <v>74</v>
      </c>
      <c r="BM882" t="s">
        <v>74</v>
      </c>
      <c r="BN882" t="s">
        <v>74</v>
      </c>
      <c r="BO882" t="s">
        <v>74</v>
      </c>
      <c r="BP882" t="s">
        <v>74</v>
      </c>
      <c r="BQ882" t="s">
        <v>74</v>
      </c>
      <c r="BR882" t="s">
        <v>74</v>
      </c>
      <c r="BS882" t="s">
        <v>6309</v>
      </c>
      <c r="BT882" t="str">
        <f>HYPERLINK("https%3A%2F%2Fwww.webofscience.com%2Fwos%2Fwoscc%2Ffull-record%2FWOS:000076791700008","View Full Record in Web of Science")</f>
        <v>View Full Record in Web of Science</v>
      </c>
    </row>
    <row r="883" spans="1:72" x14ac:dyDescent="0.2">
      <c r="A883" t="s">
        <v>72</v>
      </c>
      <c r="B883" t="s">
        <v>6310</v>
      </c>
      <c r="C883" t="s">
        <v>74</v>
      </c>
      <c r="D883" t="s">
        <v>74</v>
      </c>
      <c r="E883" t="s">
        <v>74</v>
      </c>
      <c r="F883" t="s">
        <v>6310</v>
      </c>
      <c r="G883" t="s">
        <v>74</v>
      </c>
      <c r="H883" t="s">
        <v>74</v>
      </c>
      <c r="I883" t="s">
        <v>6311</v>
      </c>
      <c r="J883" t="s">
        <v>198</v>
      </c>
      <c r="K883" t="s">
        <v>74</v>
      </c>
      <c r="L883" t="s">
        <v>74</v>
      </c>
      <c r="M883" t="s">
        <v>74</v>
      </c>
      <c r="N883" t="s">
        <v>74</v>
      </c>
      <c r="O883" t="s">
        <v>74</v>
      </c>
      <c r="P883" t="s">
        <v>74</v>
      </c>
      <c r="Q883" t="s">
        <v>74</v>
      </c>
      <c r="R883" t="s">
        <v>74</v>
      </c>
      <c r="S883" t="s">
        <v>74</v>
      </c>
      <c r="T883" t="s">
        <v>74</v>
      </c>
      <c r="U883" t="s">
        <v>74</v>
      </c>
      <c r="V883" t="s">
        <v>74</v>
      </c>
      <c r="W883" t="s">
        <v>74</v>
      </c>
      <c r="X883" t="s">
        <v>74</v>
      </c>
      <c r="Y883" t="s">
        <v>74</v>
      </c>
      <c r="Z883" t="s">
        <v>74</v>
      </c>
      <c r="AA883" t="s">
        <v>6312</v>
      </c>
      <c r="AB883" t="s">
        <v>74</v>
      </c>
      <c r="AC883" t="s">
        <v>74</v>
      </c>
      <c r="AD883" t="s">
        <v>74</v>
      </c>
      <c r="AE883" t="s">
        <v>74</v>
      </c>
      <c r="AF883" t="s">
        <v>74</v>
      </c>
      <c r="AG883" t="s">
        <v>74</v>
      </c>
      <c r="AH883" t="s">
        <v>74</v>
      </c>
      <c r="AI883" t="s">
        <v>74</v>
      </c>
      <c r="AJ883" t="s">
        <v>74</v>
      </c>
      <c r="AK883" t="s">
        <v>74</v>
      </c>
      <c r="AL883" t="s">
        <v>74</v>
      </c>
      <c r="AM883" t="s">
        <v>74</v>
      </c>
      <c r="AN883" t="s">
        <v>74</v>
      </c>
      <c r="AO883" t="s">
        <v>201</v>
      </c>
      <c r="AP883" t="s">
        <v>202</v>
      </c>
      <c r="AQ883" t="s">
        <v>74</v>
      </c>
      <c r="AR883" t="s">
        <v>74</v>
      </c>
      <c r="AS883" t="s">
        <v>74</v>
      </c>
      <c r="AT883" t="s">
        <v>520</v>
      </c>
      <c r="AU883">
        <v>1998</v>
      </c>
      <c r="AV883">
        <v>12</v>
      </c>
      <c r="AW883">
        <v>4</v>
      </c>
      <c r="AX883" t="s">
        <v>74</v>
      </c>
      <c r="AY883" t="s">
        <v>74</v>
      </c>
      <c r="AZ883" t="s">
        <v>74</v>
      </c>
      <c r="BA883" t="s">
        <v>74</v>
      </c>
      <c r="BB883">
        <v>503</v>
      </c>
      <c r="BC883">
        <v>513</v>
      </c>
      <c r="BD883" t="s">
        <v>74</v>
      </c>
      <c r="BE883" t="s">
        <v>6313</v>
      </c>
      <c r="BF883" t="str">
        <f>HYPERLINK("http://dx.doi.org/10.1046/j.1365-2435.1998.00233.x","http://dx.doi.org/10.1046/j.1365-2435.1998.00233.x")</f>
        <v>http://dx.doi.org/10.1046/j.1365-2435.1998.00233.x</v>
      </c>
      <c r="BG883" t="s">
        <v>74</v>
      </c>
      <c r="BH883" t="s">
        <v>74</v>
      </c>
      <c r="BI883" t="s">
        <v>74</v>
      </c>
      <c r="BJ883" t="s">
        <v>74</v>
      </c>
      <c r="BK883" t="s">
        <v>74</v>
      </c>
      <c r="BL883" t="s">
        <v>74</v>
      </c>
      <c r="BM883" t="s">
        <v>74</v>
      </c>
      <c r="BN883" t="s">
        <v>74</v>
      </c>
      <c r="BO883" t="s">
        <v>74</v>
      </c>
      <c r="BP883" t="s">
        <v>74</v>
      </c>
      <c r="BQ883" t="s">
        <v>74</v>
      </c>
      <c r="BR883" t="s">
        <v>74</v>
      </c>
      <c r="BS883" t="s">
        <v>6314</v>
      </c>
      <c r="BT883" t="str">
        <f>HYPERLINK("https%3A%2F%2Fwww.webofscience.com%2Fwos%2Fwoscc%2Ffull-record%2FWOS:000076276900001","View Full Record in Web of Science")</f>
        <v>View Full Record in Web of Science</v>
      </c>
    </row>
    <row r="884" spans="1:72" x14ac:dyDescent="0.2">
      <c r="A884" t="s">
        <v>72</v>
      </c>
      <c r="B884" t="s">
        <v>6315</v>
      </c>
      <c r="C884" t="s">
        <v>74</v>
      </c>
      <c r="D884" t="s">
        <v>74</v>
      </c>
      <c r="E884" t="s">
        <v>74</v>
      </c>
      <c r="F884" t="s">
        <v>6315</v>
      </c>
      <c r="G884" t="s">
        <v>74</v>
      </c>
      <c r="H884" t="s">
        <v>74</v>
      </c>
      <c r="I884" t="s">
        <v>6316</v>
      </c>
      <c r="J884" t="s">
        <v>1523</v>
      </c>
      <c r="K884" t="s">
        <v>74</v>
      </c>
      <c r="L884" t="s">
        <v>74</v>
      </c>
      <c r="M884" t="s">
        <v>74</v>
      </c>
      <c r="N884" t="s">
        <v>74</v>
      </c>
      <c r="O884" t="s">
        <v>74</v>
      </c>
      <c r="P884" t="s">
        <v>74</v>
      </c>
      <c r="Q884" t="s">
        <v>74</v>
      </c>
      <c r="R884" t="s">
        <v>74</v>
      </c>
      <c r="S884" t="s">
        <v>74</v>
      </c>
      <c r="T884" t="s">
        <v>74</v>
      </c>
      <c r="U884" t="s">
        <v>74</v>
      </c>
      <c r="V884" t="s">
        <v>74</v>
      </c>
      <c r="W884" t="s">
        <v>74</v>
      </c>
      <c r="X884" t="s">
        <v>74</v>
      </c>
      <c r="Y884" t="s">
        <v>74</v>
      </c>
      <c r="Z884" t="s">
        <v>74</v>
      </c>
      <c r="AA884" t="s">
        <v>74</v>
      </c>
      <c r="AB884" t="s">
        <v>74</v>
      </c>
      <c r="AC884" t="s">
        <v>74</v>
      </c>
      <c r="AD884" t="s">
        <v>74</v>
      </c>
      <c r="AE884" t="s">
        <v>74</v>
      </c>
      <c r="AF884" t="s">
        <v>74</v>
      </c>
      <c r="AG884" t="s">
        <v>74</v>
      </c>
      <c r="AH884" t="s">
        <v>74</v>
      </c>
      <c r="AI884" t="s">
        <v>74</v>
      </c>
      <c r="AJ884" t="s">
        <v>74</v>
      </c>
      <c r="AK884" t="s">
        <v>74</v>
      </c>
      <c r="AL884" t="s">
        <v>74</v>
      </c>
      <c r="AM884" t="s">
        <v>74</v>
      </c>
      <c r="AN884" t="s">
        <v>74</v>
      </c>
      <c r="AO884" t="s">
        <v>1524</v>
      </c>
      <c r="AP884" t="s">
        <v>1525</v>
      </c>
      <c r="AQ884" t="s">
        <v>74</v>
      </c>
      <c r="AR884" t="s">
        <v>74</v>
      </c>
      <c r="AS884" t="s">
        <v>74</v>
      </c>
      <c r="AT884" t="s">
        <v>624</v>
      </c>
      <c r="AU884">
        <v>1998</v>
      </c>
      <c r="AV884">
        <v>79</v>
      </c>
      <c r="AW884">
        <v>5</v>
      </c>
      <c r="AX884" t="s">
        <v>74</v>
      </c>
      <c r="AY884" t="s">
        <v>74</v>
      </c>
      <c r="AZ884" t="s">
        <v>74</v>
      </c>
      <c r="BA884" t="s">
        <v>74</v>
      </c>
      <c r="BB884">
        <v>1711</v>
      </c>
      <c r="BC884">
        <v>1724</v>
      </c>
      <c r="BD884" t="s">
        <v>74</v>
      </c>
      <c r="BE884" t="s">
        <v>74</v>
      </c>
      <c r="BF884" t="s">
        <v>74</v>
      </c>
      <c r="BG884" t="s">
        <v>74</v>
      </c>
      <c r="BH884" t="s">
        <v>74</v>
      </c>
      <c r="BI884" t="s">
        <v>74</v>
      </c>
      <c r="BJ884" t="s">
        <v>74</v>
      </c>
      <c r="BK884" t="s">
        <v>74</v>
      </c>
      <c r="BL884" t="s">
        <v>74</v>
      </c>
      <c r="BM884" t="s">
        <v>74</v>
      </c>
      <c r="BN884" t="s">
        <v>74</v>
      </c>
      <c r="BO884" t="s">
        <v>74</v>
      </c>
      <c r="BP884" t="s">
        <v>74</v>
      </c>
      <c r="BQ884" t="s">
        <v>74</v>
      </c>
      <c r="BR884" t="s">
        <v>74</v>
      </c>
      <c r="BS884" t="s">
        <v>6317</v>
      </c>
      <c r="BT884" t="str">
        <f>HYPERLINK("https%3A%2F%2Fwww.webofscience.com%2Fwos%2Fwoscc%2Ffull-record%2FWOS:000074853000021","View Full Record in Web of Science")</f>
        <v>View Full Record in Web of Science</v>
      </c>
    </row>
    <row r="885" spans="1:72" x14ac:dyDescent="0.2">
      <c r="A885" t="s">
        <v>72</v>
      </c>
      <c r="B885" t="s">
        <v>6318</v>
      </c>
      <c r="C885" t="s">
        <v>74</v>
      </c>
      <c r="D885" t="s">
        <v>74</v>
      </c>
      <c r="E885" t="s">
        <v>74</v>
      </c>
      <c r="F885" t="s">
        <v>6318</v>
      </c>
      <c r="G885" t="s">
        <v>74</v>
      </c>
      <c r="H885" t="s">
        <v>74</v>
      </c>
      <c r="I885" t="s">
        <v>6319</v>
      </c>
      <c r="J885" t="s">
        <v>3612</v>
      </c>
      <c r="K885" t="s">
        <v>74</v>
      </c>
      <c r="L885" t="s">
        <v>74</v>
      </c>
      <c r="M885" t="s">
        <v>74</v>
      </c>
      <c r="N885" t="s">
        <v>74</v>
      </c>
      <c r="O885" t="s">
        <v>74</v>
      </c>
      <c r="P885" t="s">
        <v>74</v>
      </c>
      <c r="Q885" t="s">
        <v>74</v>
      </c>
      <c r="R885" t="s">
        <v>74</v>
      </c>
      <c r="S885" t="s">
        <v>74</v>
      </c>
      <c r="T885" t="s">
        <v>74</v>
      </c>
      <c r="U885" t="s">
        <v>74</v>
      </c>
      <c r="V885" t="s">
        <v>74</v>
      </c>
      <c r="W885" t="s">
        <v>74</v>
      </c>
      <c r="X885" t="s">
        <v>74</v>
      </c>
      <c r="Y885" t="s">
        <v>74</v>
      </c>
      <c r="Z885" t="s">
        <v>74</v>
      </c>
      <c r="AA885" t="s">
        <v>74</v>
      </c>
      <c r="AB885" t="s">
        <v>6320</v>
      </c>
      <c r="AC885" t="s">
        <v>74</v>
      </c>
      <c r="AD885" t="s">
        <v>74</v>
      </c>
      <c r="AE885" t="s">
        <v>74</v>
      </c>
      <c r="AF885" t="s">
        <v>74</v>
      </c>
      <c r="AG885" t="s">
        <v>74</v>
      </c>
      <c r="AH885" t="s">
        <v>74</v>
      </c>
      <c r="AI885" t="s">
        <v>74</v>
      </c>
      <c r="AJ885" t="s">
        <v>74</v>
      </c>
      <c r="AK885" t="s">
        <v>74</v>
      </c>
      <c r="AL885" t="s">
        <v>74</v>
      </c>
      <c r="AM885" t="s">
        <v>74</v>
      </c>
      <c r="AN885" t="s">
        <v>74</v>
      </c>
      <c r="AO885" t="s">
        <v>3615</v>
      </c>
      <c r="AP885" t="s">
        <v>3616</v>
      </c>
      <c r="AQ885" t="s">
        <v>74</v>
      </c>
      <c r="AR885" t="s">
        <v>74</v>
      </c>
      <c r="AS885" t="s">
        <v>74</v>
      </c>
      <c r="AT885" t="s">
        <v>569</v>
      </c>
      <c r="AU885">
        <v>1998</v>
      </c>
      <c r="AV885">
        <v>76</v>
      </c>
      <c r="AW885">
        <v>6</v>
      </c>
      <c r="AX885" t="s">
        <v>74</v>
      </c>
      <c r="AY885" t="s">
        <v>74</v>
      </c>
      <c r="AZ885" t="s">
        <v>74</v>
      </c>
      <c r="BA885" t="s">
        <v>74</v>
      </c>
      <c r="BB885">
        <v>1107</v>
      </c>
      <c r="BC885">
        <v>1116</v>
      </c>
      <c r="BD885" t="s">
        <v>74</v>
      </c>
      <c r="BE885" t="s">
        <v>6321</v>
      </c>
      <c r="BF885" t="str">
        <f>HYPERLINK("http://dx.doi.org/10.1139/cjz-76-6-1107","http://dx.doi.org/10.1139/cjz-76-6-1107")</f>
        <v>http://dx.doi.org/10.1139/cjz-76-6-1107</v>
      </c>
      <c r="BG885" t="s">
        <v>74</v>
      </c>
      <c r="BH885" t="s">
        <v>74</v>
      </c>
      <c r="BI885" t="s">
        <v>74</v>
      </c>
      <c r="BJ885" t="s">
        <v>74</v>
      </c>
      <c r="BK885" t="s">
        <v>74</v>
      </c>
      <c r="BL885" t="s">
        <v>74</v>
      </c>
      <c r="BM885" t="s">
        <v>74</v>
      </c>
      <c r="BN885" t="s">
        <v>74</v>
      </c>
      <c r="BO885" t="s">
        <v>74</v>
      </c>
      <c r="BP885" t="s">
        <v>74</v>
      </c>
      <c r="BQ885" t="s">
        <v>74</v>
      </c>
      <c r="BR885" t="s">
        <v>74</v>
      </c>
      <c r="BS885" t="s">
        <v>6322</v>
      </c>
      <c r="BT885" t="str">
        <f>HYPERLINK("https%3A%2F%2Fwww.webofscience.com%2Fwos%2Fwoscc%2Ffull-record%2FWOS:000077327300013","View Full Record in Web of Science")</f>
        <v>View Full Record in Web of Science</v>
      </c>
    </row>
    <row r="886" spans="1:72" x14ac:dyDescent="0.2">
      <c r="A886" t="s">
        <v>72</v>
      </c>
      <c r="B886" t="s">
        <v>6323</v>
      </c>
      <c r="C886" t="s">
        <v>74</v>
      </c>
      <c r="D886" t="s">
        <v>74</v>
      </c>
      <c r="E886" t="s">
        <v>74</v>
      </c>
      <c r="F886" t="s">
        <v>6323</v>
      </c>
      <c r="G886" t="s">
        <v>74</v>
      </c>
      <c r="H886" t="s">
        <v>74</v>
      </c>
      <c r="I886" t="s">
        <v>6324</v>
      </c>
      <c r="J886" t="s">
        <v>106</v>
      </c>
      <c r="K886" t="s">
        <v>74</v>
      </c>
      <c r="L886" t="s">
        <v>74</v>
      </c>
      <c r="M886" t="s">
        <v>74</v>
      </c>
      <c r="N886" t="s">
        <v>74</v>
      </c>
      <c r="O886" t="s">
        <v>74</v>
      </c>
      <c r="P886" t="s">
        <v>74</v>
      </c>
      <c r="Q886" t="s">
        <v>74</v>
      </c>
      <c r="R886" t="s">
        <v>74</v>
      </c>
      <c r="S886" t="s">
        <v>74</v>
      </c>
      <c r="T886" t="s">
        <v>74</v>
      </c>
      <c r="U886" t="s">
        <v>74</v>
      </c>
      <c r="V886" t="s">
        <v>74</v>
      </c>
      <c r="W886" t="s">
        <v>74</v>
      </c>
      <c r="X886" t="s">
        <v>74</v>
      </c>
      <c r="Y886" t="s">
        <v>74</v>
      </c>
      <c r="Z886" t="s">
        <v>74</v>
      </c>
      <c r="AA886" t="s">
        <v>6325</v>
      </c>
      <c r="AB886" t="s">
        <v>6326</v>
      </c>
      <c r="AC886" t="s">
        <v>74</v>
      </c>
      <c r="AD886" t="s">
        <v>74</v>
      </c>
      <c r="AE886" t="s">
        <v>74</v>
      </c>
      <c r="AF886" t="s">
        <v>74</v>
      </c>
      <c r="AG886" t="s">
        <v>74</v>
      </c>
      <c r="AH886" t="s">
        <v>74</v>
      </c>
      <c r="AI886" t="s">
        <v>74</v>
      </c>
      <c r="AJ886" t="s">
        <v>74</v>
      </c>
      <c r="AK886" t="s">
        <v>74</v>
      </c>
      <c r="AL886" t="s">
        <v>74</v>
      </c>
      <c r="AM886" t="s">
        <v>74</v>
      </c>
      <c r="AN886" t="s">
        <v>74</v>
      </c>
      <c r="AO886" t="s">
        <v>107</v>
      </c>
      <c r="AP886" t="s">
        <v>108</v>
      </c>
      <c r="AQ886" t="s">
        <v>74</v>
      </c>
      <c r="AR886" t="s">
        <v>74</v>
      </c>
      <c r="AS886" t="s">
        <v>74</v>
      </c>
      <c r="AT886" t="s">
        <v>575</v>
      </c>
      <c r="AU886">
        <v>1998</v>
      </c>
      <c r="AV886">
        <v>20</v>
      </c>
      <c r="AW886">
        <v>5</v>
      </c>
      <c r="AX886" t="s">
        <v>74</v>
      </c>
      <c r="AY886" t="s">
        <v>74</v>
      </c>
      <c r="AZ886" t="s">
        <v>74</v>
      </c>
      <c r="BA886" t="s">
        <v>74</v>
      </c>
      <c r="BB886">
        <v>887</v>
      </c>
      <c r="BC886">
        <v>900</v>
      </c>
      <c r="BD886" t="s">
        <v>74</v>
      </c>
      <c r="BE886" t="s">
        <v>6327</v>
      </c>
      <c r="BF886" t="str">
        <f>HYPERLINK("http://dx.doi.org/10.1093/plankt/20.5.887","http://dx.doi.org/10.1093/plankt/20.5.887")</f>
        <v>http://dx.doi.org/10.1093/plankt/20.5.887</v>
      </c>
      <c r="BG886" t="s">
        <v>74</v>
      </c>
      <c r="BH886" t="s">
        <v>74</v>
      </c>
      <c r="BI886" t="s">
        <v>74</v>
      </c>
      <c r="BJ886" t="s">
        <v>74</v>
      </c>
      <c r="BK886" t="s">
        <v>74</v>
      </c>
      <c r="BL886" t="s">
        <v>74</v>
      </c>
      <c r="BM886" t="s">
        <v>74</v>
      </c>
      <c r="BN886" t="s">
        <v>74</v>
      </c>
      <c r="BO886" t="s">
        <v>74</v>
      </c>
      <c r="BP886" t="s">
        <v>74</v>
      </c>
      <c r="BQ886" t="s">
        <v>74</v>
      </c>
      <c r="BR886" t="s">
        <v>74</v>
      </c>
      <c r="BS886" t="s">
        <v>6328</v>
      </c>
      <c r="BT886" t="str">
        <f>HYPERLINK("https%3A%2F%2Fwww.webofscience.com%2Fwos%2Fwoscc%2Ffull-record%2FWOS:000074194600006","View Full Record in Web of Science")</f>
        <v>View Full Record in Web of Science</v>
      </c>
    </row>
    <row r="887" spans="1:72" x14ac:dyDescent="0.2">
      <c r="A887" t="s">
        <v>72</v>
      </c>
      <c r="B887" t="s">
        <v>6329</v>
      </c>
      <c r="C887" t="s">
        <v>74</v>
      </c>
      <c r="D887" t="s">
        <v>74</v>
      </c>
      <c r="E887" t="s">
        <v>74</v>
      </c>
      <c r="F887" t="s">
        <v>6329</v>
      </c>
      <c r="G887" t="s">
        <v>74</v>
      </c>
      <c r="H887" t="s">
        <v>74</v>
      </c>
      <c r="I887" t="s">
        <v>6330</v>
      </c>
      <c r="J887" t="s">
        <v>6331</v>
      </c>
      <c r="K887" t="s">
        <v>74</v>
      </c>
      <c r="L887" t="s">
        <v>74</v>
      </c>
      <c r="M887" t="s">
        <v>74</v>
      </c>
      <c r="N887" t="s">
        <v>74</v>
      </c>
      <c r="O887" t="s">
        <v>74</v>
      </c>
      <c r="P887" t="s">
        <v>74</v>
      </c>
      <c r="Q887" t="s">
        <v>74</v>
      </c>
      <c r="R887" t="s">
        <v>74</v>
      </c>
      <c r="S887" t="s">
        <v>74</v>
      </c>
      <c r="T887" t="s">
        <v>74</v>
      </c>
      <c r="U887" t="s">
        <v>74</v>
      </c>
      <c r="V887" t="s">
        <v>74</v>
      </c>
      <c r="W887" t="s">
        <v>74</v>
      </c>
      <c r="X887" t="s">
        <v>74</v>
      </c>
      <c r="Y887" t="s">
        <v>74</v>
      </c>
      <c r="Z887" t="s">
        <v>74</v>
      </c>
      <c r="AA887" t="s">
        <v>74</v>
      </c>
      <c r="AB887" t="s">
        <v>74</v>
      </c>
      <c r="AC887" t="s">
        <v>74</v>
      </c>
      <c r="AD887" t="s">
        <v>74</v>
      </c>
      <c r="AE887" t="s">
        <v>74</v>
      </c>
      <c r="AF887" t="s">
        <v>74</v>
      </c>
      <c r="AG887" t="s">
        <v>74</v>
      </c>
      <c r="AH887" t="s">
        <v>74</v>
      </c>
      <c r="AI887" t="s">
        <v>74</v>
      </c>
      <c r="AJ887" t="s">
        <v>74</v>
      </c>
      <c r="AK887" t="s">
        <v>74</v>
      </c>
      <c r="AL887" t="s">
        <v>74</v>
      </c>
      <c r="AM887" t="s">
        <v>74</v>
      </c>
      <c r="AN887" t="s">
        <v>74</v>
      </c>
      <c r="AO887" t="s">
        <v>6332</v>
      </c>
      <c r="AP887" t="s">
        <v>74</v>
      </c>
      <c r="AQ887" t="s">
        <v>74</v>
      </c>
      <c r="AR887" t="s">
        <v>74</v>
      </c>
      <c r="AS887" t="s">
        <v>74</v>
      </c>
      <c r="AT887" t="s">
        <v>203</v>
      </c>
      <c r="AU887">
        <v>1998</v>
      </c>
      <c r="AV887">
        <v>51</v>
      </c>
      <c r="AW887">
        <v>1</v>
      </c>
      <c r="AX887" t="s">
        <v>74</v>
      </c>
      <c r="AY887" t="s">
        <v>74</v>
      </c>
      <c r="AZ887" t="s">
        <v>74</v>
      </c>
      <c r="BA887" t="s">
        <v>74</v>
      </c>
      <c r="BB887">
        <v>27</v>
      </c>
      <c r="BC887">
        <v>36</v>
      </c>
      <c r="BD887" t="s">
        <v>74</v>
      </c>
      <c r="BE887" t="s">
        <v>74</v>
      </c>
      <c r="BF887" t="s">
        <v>74</v>
      </c>
      <c r="BG887" t="s">
        <v>74</v>
      </c>
      <c r="BH887" t="s">
        <v>74</v>
      </c>
      <c r="BI887" t="s">
        <v>74</v>
      </c>
      <c r="BJ887" t="s">
        <v>74</v>
      </c>
      <c r="BK887" t="s">
        <v>74</v>
      </c>
      <c r="BL887" t="s">
        <v>74</v>
      </c>
      <c r="BM887" t="s">
        <v>74</v>
      </c>
      <c r="BN887" t="s">
        <v>74</v>
      </c>
      <c r="BO887" t="s">
        <v>74</v>
      </c>
      <c r="BP887" t="s">
        <v>74</v>
      </c>
      <c r="BQ887" t="s">
        <v>74</v>
      </c>
      <c r="BR887" t="s">
        <v>74</v>
      </c>
      <c r="BS887" t="s">
        <v>6333</v>
      </c>
      <c r="BT887" t="str">
        <f>HYPERLINK("https%3A%2F%2Fwww.webofscience.com%2Fwos%2Fwoscc%2Ffull-record%2FWOS:000077897500003","View Full Record in Web of Science")</f>
        <v>View Full Record in Web of Science</v>
      </c>
    </row>
    <row r="888" spans="1:72" x14ac:dyDescent="0.2">
      <c r="A888" t="s">
        <v>72</v>
      </c>
      <c r="B888" t="s">
        <v>6334</v>
      </c>
      <c r="C888" t="s">
        <v>74</v>
      </c>
      <c r="D888" t="s">
        <v>74</v>
      </c>
      <c r="E888" t="s">
        <v>74</v>
      </c>
      <c r="F888" t="s">
        <v>6334</v>
      </c>
      <c r="G888" t="s">
        <v>74</v>
      </c>
      <c r="H888" t="s">
        <v>74</v>
      </c>
      <c r="I888" t="s">
        <v>6335</v>
      </c>
      <c r="J888" t="s">
        <v>423</v>
      </c>
      <c r="K888" t="s">
        <v>74</v>
      </c>
      <c r="L888" t="s">
        <v>74</v>
      </c>
      <c r="M888" t="s">
        <v>74</v>
      </c>
      <c r="N888" t="s">
        <v>74</v>
      </c>
      <c r="O888" t="s">
        <v>74</v>
      </c>
      <c r="P888" t="s">
        <v>74</v>
      </c>
      <c r="Q888" t="s">
        <v>74</v>
      </c>
      <c r="R888" t="s">
        <v>74</v>
      </c>
      <c r="S888" t="s">
        <v>74</v>
      </c>
      <c r="T888" t="s">
        <v>74</v>
      </c>
      <c r="U888" t="s">
        <v>74</v>
      </c>
      <c r="V888" t="s">
        <v>74</v>
      </c>
      <c r="W888" t="s">
        <v>74</v>
      </c>
      <c r="X888" t="s">
        <v>74</v>
      </c>
      <c r="Y888" t="s">
        <v>74</v>
      </c>
      <c r="Z888" t="s">
        <v>74</v>
      </c>
      <c r="AA888" t="s">
        <v>6336</v>
      </c>
      <c r="AB888" t="s">
        <v>6337</v>
      </c>
      <c r="AC888" t="s">
        <v>74</v>
      </c>
      <c r="AD888" t="s">
        <v>74</v>
      </c>
      <c r="AE888" t="s">
        <v>74</v>
      </c>
      <c r="AF888" t="s">
        <v>74</v>
      </c>
      <c r="AG888" t="s">
        <v>74</v>
      </c>
      <c r="AH888" t="s">
        <v>74</v>
      </c>
      <c r="AI888" t="s">
        <v>74</v>
      </c>
      <c r="AJ888" t="s">
        <v>74</v>
      </c>
      <c r="AK888" t="s">
        <v>74</v>
      </c>
      <c r="AL888" t="s">
        <v>74</v>
      </c>
      <c r="AM888" t="s">
        <v>74</v>
      </c>
      <c r="AN888" t="s">
        <v>74</v>
      </c>
      <c r="AO888" t="s">
        <v>425</v>
      </c>
      <c r="AP888" t="s">
        <v>426</v>
      </c>
      <c r="AQ888" t="s">
        <v>74</v>
      </c>
      <c r="AR888" t="s">
        <v>74</v>
      </c>
      <c r="AS888" t="s">
        <v>74</v>
      </c>
      <c r="AT888" t="s">
        <v>157</v>
      </c>
      <c r="AU888">
        <v>1998</v>
      </c>
      <c r="AV888">
        <v>39</v>
      </c>
      <c r="AW888">
        <v>2</v>
      </c>
      <c r="AX888" t="s">
        <v>74</v>
      </c>
      <c r="AY888" t="s">
        <v>74</v>
      </c>
      <c r="AZ888" t="s">
        <v>74</v>
      </c>
      <c r="BA888" t="s">
        <v>74</v>
      </c>
      <c r="BB888">
        <v>199</v>
      </c>
      <c r="BC888">
        <v>205</v>
      </c>
      <c r="BD888" t="s">
        <v>74</v>
      </c>
      <c r="BE888" t="s">
        <v>6338</v>
      </c>
      <c r="BF888" t="str">
        <f>HYPERLINK("http://dx.doi.org/10.1046/j.1365-2427.1998.00267.x","http://dx.doi.org/10.1046/j.1365-2427.1998.00267.x")</f>
        <v>http://dx.doi.org/10.1046/j.1365-2427.1998.00267.x</v>
      </c>
      <c r="BG888" t="s">
        <v>74</v>
      </c>
      <c r="BH888" t="s">
        <v>74</v>
      </c>
      <c r="BI888" t="s">
        <v>74</v>
      </c>
      <c r="BJ888" t="s">
        <v>74</v>
      </c>
      <c r="BK888" t="s">
        <v>74</v>
      </c>
      <c r="BL888" t="s">
        <v>74</v>
      </c>
      <c r="BM888" t="s">
        <v>74</v>
      </c>
      <c r="BN888" t="s">
        <v>74</v>
      </c>
      <c r="BO888" t="s">
        <v>74</v>
      </c>
      <c r="BP888" t="s">
        <v>74</v>
      </c>
      <c r="BQ888" t="s">
        <v>74</v>
      </c>
      <c r="BR888" t="s">
        <v>74</v>
      </c>
      <c r="BS888" t="s">
        <v>6339</v>
      </c>
      <c r="BT888" t="str">
        <f>HYPERLINK("https%3A%2F%2Fwww.webofscience.com%2Fwos%2Fwoscc%2Ffull-record%2FWOS:000072885600001","View Full Record in Web of Science")</f>
        <v>View Full Record in Web of Science</v>
      </c>
    </row>
    <row r="889" spans="1:72" x14ac:dyDescent="0.2">
      <c r="A889" t="s">
        <v>72</v>
      </c>
      <c r="B889" t="s">
        <v>6340</v>
      </c>
      <c r="C889" t="s">
        <v>74</v>
      </c>
      <c r="D889" t="s">
        <v>74</v>
      </c>
      <c r="E889" t="s">
        <v>74</v>
      </c>
      <c r="F889" t="s">
        <v>6340</v>
      </c>
      <c r="G889" t="s">
        <v>74</v>
      </c>
      <c r="H889" t="s">
        <v>74</v>
      </c>
      <c r="I889" t="s">
        <v>6341</v>
      </c>
      <c r="J889" t="s">
        <v>124</v>
      </c>
      <c r="K889" t="s">
        <v>74</v>
      </c>
      <c r="L889" t="s">
        <v>74</v>
      </c>
      <c r="M889" t="s">
        <v>74</v>
      </c>
      <c r="N889" t="s">
        <v>74</v>
      </c>
      <c r="O889" t="s">
        <v>74</v>
      </c>
      <c r="P889" t="s">
        <v>74</v>
      </c>
      <c r="Q889" t="s">
        <v>74</v>
      </c>
      <c r="R889" t="s">
        <v>74</v>
      </c>
      <c r="S889" t="s">
        <v>74</v>
      </c>
      <c r="T889" t="s">
        <v>74</v>
      </c>
      <c r="U889" t="s">
        <v>74</v>
      </c>
      <c r="V889" t="s">
        <v>74</v>
      </c>
      <c r="W889" t="s">
        <v>74</v>
      </c>
      <c r="X889" t="s">
        <v>74</v>
      </c>
      <c r="Y889" t="s">
        <v>74</v>
      </c>
      <c r="Z889" t="s">
        <v>74</v>
      </c>
      <c r="AA889" t="s">
        <v>74</v>
      </c>
      <c r="AB889" t="s">
        <v>74</v>
      </c>
      <c r="AC889" t="s">
        <v>74</v>
      </c>
      <c r="AD889" t="s">
        <v>74</v>
      </c>
      <c r="AE889" t="s">
        <v>74</v>
      </c>
      <c r="AF889" t="s">
        <v>74</v>
      </c>
      <c r="AG889" t="s">
        <v>74</v>
      </c>
      <c r="AH889" t="s">
        <v>74</v>
      </c>
      <c r="AI889" t="s">
        <v>74</v>
      </c>
      <c r="AJ889" t="s">
        <v>74</v>
      </c>
      <c r="AK889" t="s">
        <v>74</v>
      </c>
      <c r="AL889" t="s">
        <v>74</v>
      </c>
      <c r="AM889" t="s">
        <v>74</v>
      </c>
      <c r="AN889" t="s">
        <v>74</v>
      </c>
      <c r="AO889" t="s">
        <v>127</v>
      </c>
      <c r="AP889" t="s">
        <v>74</v>
      </c>
      <c r="AQ889" t="s">
        <v>74</v>
      </c>
      <c r="AR889" t="s">
        <v>74</v>
      </c>
      <c r="AS889" t="s">
        <v>74</v>
      </c>
      <c r="AT889" t="s">
        <v>74</v>
      </c>
      <c r="AU889">
        <v>1998</v>
      </c>
      <c r="AV889">
        <v>380</v>
      </c>
      <c r="AW889" t="s">
        <v>74</v>
      </c>
      <c r="AX889" t="s">
        <v>74</v>
      </c>
      <c r="AY889" t="s">
        <v>74</v>
      </c>
      <c r="AZ889" t="s">
        <v>74</v>
      </c>
      <c r="BA889" t="s">
        <v>74</v>
      </c>
      <c r="BB889">
        <v>1</v>
      </c>
      <c r="BC889">
        <v>8</v>
      </c>
      <c r="BD889" t="s">
        <v>74</v>
      </c>
      <c r="BE889" t="s">
        <v>6342</v>
      </c>
      <c r="BF889" t="str">
        <f>HYPERLINK("http://dx.doi.org/10.1023/A:1003133106904","http://dx.doi.org/10.1023/A:1003133106904")</f>
        <v>http://dx.doi.org/10.1023/A:1003133106904</v>
      </c>
      <c r="BG889" t="s">
        <v>74</v>
      </c>
      <c r="BH889" t="s">
        <v>74</v>
      </c>
      <c r="BI889" t="s">
        <v>74</v>
      </c>
      <c r="BJ889" t="s">
        <v>74</v>
      </c>
      <c r="BK889" t="s">
        <v>74</v>
      </c>
      <c r="BL889" t="s">
        <v>74</v>
      </c>
      <c r="BM889" t="s">
        <v>74</v>
      </c>
      <c r="BN889" t="s">
        <v>74</v>
      </c>
      <c r="BO889" t="s">
        <v>74</v>
      </c>
      <c r="BP889" t="s">
        <v>74</v>
      </c>
      <c r="BQ889" t="s">
        <v>74</v>
      </c>
      <c r="BR889" t="s">
        <v>74</v>
      </c>
      <c r="BS889" t="s">
        <v>6343</v>
      </c>
      <c r="BT889" t="str">
        <f>HYPERLINK("https%3A%2F%2Fwww.webofscience.com%2Fwos%2Fwoscc%2Ffull-record%2FWOS:000078946700001","View Full Record in Web of Science")</f>
        <v>View Full Record in Web of Science</v>
      </c>
    </row>
    <row r="890" spans="1:72" x14ac:dyDescent="0.2">
      <c r="A890" t="s">
        <v>72</v>
      </c>
      <c r="B890" t="s">
        <v>6344</v>
      </c>
      <c r="C890" t="s">
        <v>74</v>
      </c>
      <c r="D890" t="s">
        <v>74</v>
      </c>
      <c r="E890" t="s">
        <v>74</v>
      </c>
      <c r="F890" t="s">
        <v>6344</v>
      </c>
      <c r="G890" t="s">
        <v>74</v>
      </c>
      <c r="H890" t="s">
        <v>74</v>
      </c>
      <c r="I890" t="s">
        <v>6345</v>
      </c>
      <c r="J890" t="s">
        <v>381</v>
      </c>
      <c r="K890" t="s">
        <v>74</v>
      </c>
      <c r="L890" t="s">
        <v>74</v>
      </c>
      <c r="M890" t="s">
        <v>74</v>
      </c>
      <c r="N890" t="s">
        <v>74</v>
      </c>
      <c r="O890" t="s">
        <v>74</v>
      </c>
      <c r="P890" t="s">
        <v>74</v>
      </c>
      <c r="Q890" t="s">
        <v>74</v>
      </c>
      <c r="R890" t="s">
        <v>74</v>
      </c>
      <c r="S890" t="s">
        <v>74</v>
      </c>
      <c r="T890" t="s">
        <v>74</v>
      </c>
      <c r="U890" t="s">
        <v>74</v>
      </c>
      <c r="V890" t="s">
        <v>74</v>
      </c>
      <c r="W890" t="s">
        <v>74</v>
      </c>
      <c r="X890" t="s">
        <v>74</v>
      </c>
      <c r="Y890" t="s">
        <v>74</v>
      </c>
      <c r="Z890" t="s">
        <v>74</v>
      </c>
      <c r="AA890" t="s">
        <v>74</v>
      </c>
      <c r="AB890" t="s">
        <v>74</v>
      </c>
      <c r="AC890" t="s">
        <v>74</v>
      </c>
      <c r="AD890" t="s">
        <v>74</v>
      </c>
      <c r="AE890" t="s">
        <v>74</v>
      </c>
      <c r="AF890" t="s">
        <v>74</v>
      </c>
      <c r="AG890" t="s">
        <v>74</v>
      </c>
      <c r="AH890" t="s">
        <v>74</v>
      </c>
      <c r="AI890" t="s">
        <v>74</v>
      </c>
      <c r="AJ890" t="s">
        <v>74</v>
      </c>
      <c r="AK890" t="s">
        <v>74</v>
      </c>
      <c r="AL890" t="s">
        <v>74</v>
      </c>
      <c r="AM890" t="s">
        <v>74</v>
      </c>
      <c r="AN890" t="s">
        <v>74</v>
      </c>
      <c r="AO890" t="s">
        <v>383</v>
      </c>
      <c r="AP890" t="s">
        <v>384</v>
      </c>
      <c r="AQ890" t="s">
        <v>74</v>
      </c>
      <c r="AR890" t="s">
        <v>74</v>
      </c>
      <c r="AS890" t="s">
        <v>74</v>
      </c>
      <c r="AT890" t="s">
        <v>74</v>
      </c>
      <c r="AU890">
        <v>1998</v>
      </c>
      <c r="AV890">
        <v>101</v>
      </c>
      <c r="AW890">
        <v>3</v>
      </c>
      <c r="AX890" t="s">
        <v>74</v>
      </c>
      <c r="AY890" t="s">
        <v>74</v>
      </c>
      <c r="AZ890" t="s">
        <v>74</v>
      </c>
      <c r="BA890" t="s">
        <v>74</v>
      </c>
      <c r="BB890">
        <v>361</v>
      </c>
      <c r="BC890">
        <v>373</v>
      </c>
      <c r="BD890" t="s">
        <v>74</v>
      </c>
      <c r="BE890" t="s">
        <v>6346</v>
      </c>
      <c r="BF890" t="str">
        <f>HYPERLINK("http://dx.doi.org/10.1016/S0269-7491(98)00053-0","http://dx.doi.org/10.1016/S0269-7491(98)00053-0")</f>
        <v>http://dx.doi.org/10.1016/S0269-7491(98)00053-0</v>
      </c>
      <c r="BG890" t="s">
        <v>74</v>
      </c>
      <c r="BH890" t="s">
        <v>74</v>
      </c>
      <c r="BI890" t="s">
        <v>74</v>
      </c>
      <c r="BJ890" t="s">
        <v>74</v>
      </c>
      <c r="BK890" t="s">
        <v>74</v>
      </c>
      <c r="BL890" t="s">
        <v>74</v>
      </c>
      <c r="BM890" t="s">
        <v>74</v>
      </c>
      <c r="BN890" t="s">
        <v>74</v>
      </c>
      <c r="BO890" t="s">
        <v>74</v>
      </c>
      <c r="BP890" t="s">
        <v>74</v>
      </c>
      <c r="BQ890" t="s">
        <v>74</v>
      </c>
      <c r="BR890" t="s">
        <v>74</v>
      </c>
      <c r="BS890" t="s">
        <v>6347</v>
      </c>
      <c r="BT890" t="str">
        <f>HYPERLINK("https%3A%2F%2Fwww.webofscience.com%2Fwos%2Fwoscc%2Ffull-record%2FWOS:000076267900007","View Full Record in Web of Science")</f>
        <v>View Full Record in Web of Science</v>
      </c>
    </row>
    <row r="891" spans="1:72" x14ac:dyDescent="0.2">
      <c r="A891" t="s">
        <v>72</v>
      </c>
      <c r="B891" t="s">
        <v>6348</v>
      </c>
      <c r="C891" t="s">
        <v>74</v>
      </c>
      <c r="D891" t="s">
        <v>74</v>
      </c>
      <c r="E891" t="s">
        <v>74</v>
      </c>
      <c r="F891" t="s">
        <v>6348</v>
      </c>
      <c r="G891" t="s">
        <v>74</v>
      </c>
      <c r="H891" t="s">
        <v>74</v>
      </c>
      <c r="I891" t="s">
        <v>6349</v>
      </c>
      <c r="J891" t="s">
        <v>244</v>
      </c>
      <c r="K891" t="s">
        <v>74</v>
      </c>
      <c r="L891" t="s">
        <v>74</v>
      </c>
      <c r="M891" t="s">
        <v>74</v>
      </c>
      <c r="N891" t="s">
        <v>74</v>
      </c>
      <c r="O891" t="s">
        <v>74</v>
      </c>
      <c r="P891" t="s">
        <v>74</v>
      </c>
      <c r="Q891" t="s">
        <v>74</v>
      </c>
      <c r="R891" t="s">
        <v>74</v>
      </c>
      <c r="S891" t="s">
        <v>74</v>
      </c>
      <c r="T891" t="s">
        <v>74</v>
      </c>
      <c r="U891" t="s">
        <v>74</v>
      </c>
      <c r="V891" t="s">
        <v>74</v>
      </c>
      <c r="W891" t="s">
        <v>74</v>
      </c>
      <c r="X891" t="s">
        <v>74</v>
      </c>
      <c r="Y891" t="s">
        <v>74</v>
      </c>
      <c r="Z891" t="s">
        <v>74</v>
      </c>
      <c r="AA891" t="s">
        <v>6350</v>
      </c>
      <c r="AB891" t="s">
        <v>6351</v>
      </c>
      <c r="AC891" t="s">
        <v>74</v>
      </c>
      <c r="AD891" t="s">
        <v>74</v>
      </c>
      <c r="AE891" t="s">
        <v>74</v>
      </c>
      <c r="AF891" t="s">
        <v>74</v>
      </c>
      <c r="AG891" t="s">
        <v>74</v>
      </c>
      <c r="AH891" t="s">
        <v>74</v>
      </c>
      <c r="AI891" t="s">
        <v>74</v>
      </c>
      <c r="AJ891" t="s">
        <v>74</v>
      </c>
      <c r="AK891" t="s">
        <v>74</v>
      </c>
      <c r="AL891" t="s">
        <v>74</v>
      </c>
      <c r="AM891" t="s">
        <v>74</v>
      </c>
      <c r="AN891" t="s">
        <v>74</v>
      </c>
      <c r="AO891" t="s">
        <v>247</v>
      </c>
      <c r="AP891" t="s">
        <v>74</v>
      </c>
      <c r="AQ891" t="s">
        <v>74</v>
      </c>
      <c r="AR891" t="s">
        <v>74</v>
      </c>
      <c r="AS891" t="s">
        <v>74</v>
      </c>
      <c r="AT891" t="s">
        <v>74</v>
      </c>
      <c r="AU891">
        <v>1998</v>
      </c>
      <c r="AV891">
        <v>49</v>
      </c>
      <c r="AW891">
        <v>6</v>
      </c>
      <c r="AX891" t="s">
        <v>74</v>
      </c>
      <c r="AY891" t="s">
        <v>74</v>
      </c>
      <c r="AZ891" t="s">
        <v>74</v>
      </c>
      <c r="BA891" t="s">
        <v>74</v>
      </c>
      <c r="BB891">
        <v>547</v>
      </c>
      <c r="BC891">
        <v>552</v>
      </c>
      <c r="BD891" t="s">
        <v>74</v>
      </c>
      <c r="BE891" t="s">
        <v>6352</v>
      </c>
      <c r="BF891" t="str">
        <f>HYPERLINK("http://dx.doi.org/10.1071/MF97254","http://dx.doi.org/10.1071/MF97254")</f>
        <v>http://dx.doi.org/10.1071/MF97254</v>
      </c>
      <c r="BG891" t="s">
        <v>74</v>
      </c>
      <c r="BH891" t="s">
        <v>74</v>
      </c>
      <c r="BI891" t="s">
        <v>74</v>
      </c>
      <c r="BJ891" t="s">
        <v>74</v>
      </c>
      <c r="BK891" t="s">
        <v>74</v>
      </c>
      <c r="BL891" t="s">
        <v>74</v>
      </c>
      <c r="BM891" t="s">
        <v>74</v>
      </c>
      <c r="BN891" t="s">
        <v>74</v>
      </c>
      <c r="BO891" t="s">
        <v>74</v>
      </c>
      <c r="BP891" t="s">
        <v>74</v>
      </c>
      <c r="BQ891" t="s">
        <v>74</v>
      </c>
      <c r="BR891" t="s">
        <v>74</v>
      </c>
      <c r="BS891" t="s">
        <v>6353</v>
      </c>
      <c r="BT891" t="str">
        <f>HYPERLINK("https%3A%2F%2Fwww.webofscience.com%2Fwos%2Fwoscc%2Ffull-record%2FWOS:000078710100012","View Full Record in Web of Science")</f>
        <v>View Full Record in Web of Science</v>
      </c>
    </row>
    <row r="892" spans="1:72" x14ac:dyDescent="0.2">
      <c r="A892" t="s">
        <v>72</v>
      </c>
      <c r="B892" t="s">
        <v>6354</v>
      </c>
      <c r="C892" t="s">
        <v>74</v>
      </c>
      <c r="D892" t="s">
        <v>74</v>
      </c>
      <c r="E892" t="s">
        <v>74</v>
      </c>
      <c r="F892" t="s">
        <v>6354</v>
      </c>
      <c r="G892" t="s">
        <v>74</v>
      </c>
      <c r="H892" t="s">
        <v>74</v>
      </c>
      <c r="I892" t="s">
        <v>6355</v>
      </c>
      <c r="J892" t="s">
        <v>124</v>
      </c>
      <c r="K892" t="s">
        <v>74</v>
      </c>
      <c r="L892" t="s">
        <v>74</v>
      </c>
      <c r="M892" t="s">
        <v>74</v>
      </c>
      <c r="N892" t="s">
        <v>74</v>
      </c>
      <c r="O892" t="s">
        <v>74</v>
      </c>
      <c r="P892" t="s">
        <v>74</v>
      </c>
      <c r="Q892" t="s">
        <v>74</v>
      </c>
      <c r="R892" t="s">
        <v>74</v>
      </c>
      <c r="S892" t="s">
        <v>74</v>
      </c>
      <c r="T892" t="s">
        <v>74</v>
      </c>
      <c r="U892" t="s">
        <v>74</v>
      </c>
      <c r="V892" t="s">
        <v>74</v>
      </c>
      <c r="W892" t="s">
        <v>74</v>
      </c>
      <c r="X892" t="s">
        <v>74</v>
      </c>
      <c r="Y892" t="s">
        <v>74</v>
      </c>
      <c r="Z892" t="s">
        <v>74</v>
      </c>
      <c r="AA892" t="s">
        <v>6356</v>
      </c>
      <c r="AB892" t="s">
        <v>74</v>
      </c>
      <c r="AC892" t="s">
        <v>74</v>
      </c>
      <c r="AD892" t="s">
        <v>74</v>
      </c>
      <c r="AE892" t="s">
        <v>74</v>
      </c>
      <c r="AF892" t="s">
        <v>74</v>
      </c>
      <c r="AG892" t="s">
        <v>74</v>
      </c>
      <c r="AH892" t="s">
        <v>74</v>
      </c>
      <c r="AI892" t="s">
        <v>74</v>
      </c>
      <c r="AJ892" t="s">
        <v>74</v>
      </c>
      <c r="AK892" t="s">
        <v>74</v>
      </c>
      <c r="AL892" t="s">
        <v>74</v>
      </c>
      <c r="AM892" t="s">
        <v>74</v>
      </c>
      <c r="AN892" t="s">
        <v>74</v>
      </c>
      <c r="AO892" t="s">
        <v>127</v>
      </c>
      <c r="AP892" t="s">
        <v>74</v>
      </c>
      <c r="AQ892" t="s">
        <v>74</v>
      </c>
      <c r="AR892" t="s">
        <v>74</v>
      </c>
      <c r="AS892" t="s">
        <v>74</v>
      </c>
      <c r="AT892" t="s">
        <v>74</v>
      </c>
      <c r="AU892">
        <v>1998</v>
      </c>
      <c r="AV892">
        <v>384</v>
      </c>
      <c r="AW892" t="s">
        <v>74</v>
      </c>
      <c r="AX892" t="s">
        <v>74</v>
      </c>
      <c r="AY892" t="s">
        <v>74</v>
      </c>
      <c r="AZ892" t="s">
        <v>74</v>
      </c>
      <c r="BA892" t="s">
        <v>74</v>
      </c>
      <c r="BB892">
        <v>21</v>
      </c>
      <c r="BC892">
        <v>39</v>
      </c>
      <c r="BD892" t="s">
        <v>74</v>
      </c>
      <c r="BE892" t="s">
        <v>6357</v>
      </c>
      <c r="BF892" t="str">
        <f>HYPERLINK("http://dx.doi.org/10.1023/A:1003352511328","http://dx.doi.org/10.1023/A:1003352511328")</f>
        <v>http://dx.doi.org/10.1023/A:1003352511328</v>
      </c>
      <c r="BG892" t="s">
        <v>74</v>
      </c>
      <c r="BH892" t="s">
        <v>74</v>
      </c>
      <c r="BI892" t="s">
        <v>74</v>
      </c>
      <c r="BJ892" t="s">
        <v>74</v>
      </c>
      <c r="BK892" t="s">
        <v>74</v>
      </c>
      <c r="BL892" t="s">
        <v>74</v>
      </c>
      <c r="BM892" t="s">
        <v>74</v>
      </c>
      <c r="BN892" t="s">
        <v>74</v>
      </c>
      <c r="BO892" t="s">
        <v>74</v>
      </c>
      <c r="BP892" t="s">
        <v>74</v>
      </c>
      <c r="BQ892" t="s">
        <v>74</v>
      </c>
      <c r="BR892" t="s">
        <v>74</v>
      </c>
      <c r="BS892" t="s">
        <v>6358</v>
      </c>
      <c r="BT892" t="str">
        <f>HYPERLINK("https%3A%2F%2Fwww.webofscience.com%2Fwos%2Fwoscc%2Ffull-record%2FWOS:000078947900004","View Full Record in Web of Science")</f>
        <v>View Full Record in Web of Science</v>
      </c>
    </row>
    <row r="893" spans="1:72" x14ac:dyDescent="0.2">
      <c r="A893" t="s">
        <v>72</v>
      </c>
      <c r="B893" t="s">
        <v>6359</v>
      </c>
      <c r="C893" t="s">
        <v>74</v>
      </c>
      <c r="D893" t="s">
        <v>74</v>
      </c>
      <c r="E893" t="s">
        <v>74</v>
      </c>
      <c r="F893" t="s">
        <v>6359</v>
      </c>
      <c r="G893" t="s">
        <v>74</v>
      </c>
      <c r="H893" t="s">
        <v>74</v>
      </c>
      <c r="I893" t="s">
        <v>6360</v>
      </c>
      <c r="J893" t="s">
        <v>124</v>
      </c>
      <c r="K893" t="s">
        <v>74</v>
      </c>
      <c r="L893" t="s">
        <v>74</v>
      </c>
      <c r="M893" t="s">
        <v>74</v>
      </c>
      <c r="N893" t="s">
        <v>74</v>
      </c>
      <c r="O893" t="s">
        <v>74</v>
      </c>
      <c r="P893" t="s">
        <v>74</v>
      </c>
      <c r="Q893" t="s">
        <v>74</v>
      </c>
      <c r="R893" t="s">
        <v>74</v>
      </c>
      <c r="S893" t="s">
        <v>74</v>
      </c>
      <c r="T893" t="s">
        <v>74</v>
      </c>
      <c r="U893" t="s">
        <v>74</v>
      </c>
      <c r="V893" t="s">
        <v>74</v>
      </c>
      <c r="W893" t="s">
        <v>74</v>
      </c>
      <c r="X893" t="s">
        <v>74</v>
      </c>
      <c r="Y893" t="s">
        <v>74</v>
      </c>
      <c r="Z893" t="s">
        <v>74</v>
      </c>
      <c r="AA893" t="s">
        <v>74</v>
      </c>
      <c r="AB893" t="s">
        <v>74</v>
      </c>
      <c r="AC893" t="s">
        <v>74</v>
      </c>
      <c r="AD893" t="s">
        <v>74</v>
      </c>
      <c r="AE893" t="s">
        <v>74</v>
      </c>
      <c r="AF893" t="s">
        <v>74</v>
      </c>
      <c r="AG893" t="s">
        <v>74</v>
      </c>
      <c r="AH893" t="s">
        <v>74</v>
      </c>
      <c r="AI893" t="s">
        <v>74</v>
      </c>
      <c r="AJ893" t="s">
        <v>74</v>
      </c>
      <c r="AK893" t="s">
        <v>74</v>
      </c>
      <c r="AL893" t="s">
        <v>74</v>
      </c>
      <c r="AM893" t="s">
        <v>74</v>
      </c>
      <c r="AN893" t="s">
        <v>74</v>
      </c>
      <c r="AO893" t="s">
        <v>127</v>
      </c>
      <c r="AP893" t="s">
        <v>74</v>
      </c>
      <c r="AQ893" t="s">
        <v>74</v>
      </c>
      <c r="AR893" t="s">
        <v>74</v>
      </c>
      <c r="AS893" t="s">
        <v>74</v>
      </c>
      <c r="AT893" t="s">
        <v>74</v>
      </c>
      <c r="AU893">
        <v>1998</v>
      </c>
      <c r="AV893">
        <v>384</v>
      </c>
      <c r="AW893" t="s">
        <v>74</v>
      </c>
      <c r="AX893" t="s">
        <v>74</v>
      </c>
      <c r="AY893" t="s">
        <v>74</v>
      </c>
      <c r="AZ893" t="s">
        <v>74</v>
      </c>
      <c r="BA893" t="s">
        <v>74</v>
      </c>
      <c r="BB893">
        <v>111</v>
      </c>
      <c r="BC893">
        <v>118</v>
      </c>
      <c r="BD893" t="s">
        <v>74</v>
      </c>
      <c r="BE893" t="s">
        <v>6361</v>
      </c>
      <c r="BF893" t="str">
        <f>HYPERLINK("http://dx.doi.org/10.1023/A:1003295210747","http://dx.doi.org/10.1023/A:1003295210747")</f>
        <v>http://dx.doi.org/10.1023/A:1003295210747</v>
      </c>
      <c r="BG893" t="s">
        <v>74</v>
      </c>
      <c r="BH893" t="s">
        <v>74</v>
      </c>
      <c r="BI893" t="s">
        <v>74</v>
      </c>
      <c r="BJ893" t="s">
        <v>74</v>
      </c>
      <c r="BK893" t="s">
        <v>74</v>
      </c>
      <c r="BL893" t="s">
        <v>74</v>
      </c>
      <c r="BM893" t="s">
        <v>74</v>
      </c>
      <c r="BN893" t="s">
        <v>74</v>
      </c>
      <c r="BO893" t="s">
        <v>74</v>
      </c>
      <c r="BP893" t="s">
        <v>74</v>
      </c>
      <c r="BQ893" t="s">
        <v>74</v>
      </c>
      <c r="BR893" t="s">
        <v>74</v>
      </c>
      <c r="BS893" t="s">
        <v>6362</v>
      </c>
      <c r="BT893" t="str">
        <f>HYPERLINK("https%3A%2F%2Fwww.webofscience.com%2Fwos%2Fwoscc%2Ffull-record%2FWOS:000078947900011","View Full Record in Web of Science")</f>
        <v>View Full Record in Web of Science</v>
      </c>
    </row>
    <row r="894" spans="1:72" x14ac:dyDescent="0.2">
      <c r="A894" t="s">
        <v>72</v>
      </c>
      <c r="B894" t="s">
        <v>6363</v>
      </c>
      <c r="C894" t="s">
        <v>74</v>
      </c>
      <c r="D894" t="s">
        <v>74</v>
      </c>
      <c r="E894" t="s">
        <v>74</v>
      </c>
      <c r="F894" t="s">
        <v>6363</v>
      </c>
      <c r="G894" t="s">
        <v>74</v>
      </c>
      <c r="H894" t="s">
        <v>74</v>
      </c>
      <c r="I894" t="s">
        <v>6364</v>
      </c>
      <c r="J894" t="s">
        <v>124</v>
      </c>
      <c r="K894" t="s">
        <v>74</v>
      </c>
      <c r="L894" t="s">
        <v>74</v>
      </c>
      <c r="M894" t="s">
        <v>74</v>
      </c>
      <c r="N894" t="s">
        <v>74</v>
      </c>
      <c r="O894" t="s">
        <v>6365</v>
      </c>
      <c r="P894" t="s">
        <v>6366</v>
      </c>
      <c r="Q894" t="s">
        <v>6367</v>
      </c>
      <c r="R894" t="s">
        <v>74</v>
      </c>
      <c r="S894" t="s">
        <v>6368</v>
      </c>
      <c r="T894" t="s">
        <v>74</v>
      </c>
      <c r="U894" t="s">
        <v>74</v>
      </c>
      <c r="V894" t="s">
        <v>74</v>
      </c>
      <c r="W894" t="s">
        <v>74</v>
      </c>
      <c r="X894" t="s">
        <v>74</v>
      </c>
      <c r="Y894" t="s">
        <v>74</v>
      </c>
      <c r="Z894" t="s">
        <v>74</v>
      </c>
      <c r="AA894" t="s">
        <v>6369</v>
      </c>
      <c r="AB894" t="s">
        <v>6370</v>
      </c>
      <c r="AC894" t="s">
        <v>74</v>
      </c>
      <c r="AD894" t="s">
        <v>74</v>
      </c>
      <c r="AE894" t="s">
        <v>74</v>
      </c>
      <c r="AF894" t="s">
        <v>74</v>
      </c>
      <c r="AG894" t="s">
        <v>74</v>
      </c>
      <c r="AH894" t="s">
        <v>74</v>
      </c>
      <c r="AI894" t="s">
        <v>74</v>
      </c>
      <c r="AJ894" t="s">
        <v>74</v>
      </c>
      <c r="AK894" t="s">
        <v>74</v>
      </c>
      <c r="AL894" t="s">
        <v>74</v>
      </c>
      <c r="AM894" t="s">
        <v>74</v>
      </c>
      <c r="AN894" t="s">
        <v>74</v>
      </c>
      <c r="AO894" t="s">
        <v>127</v>
      </c>
      <c r="AP894" t="s">
        <v>74</v>
      </c>
      <c r="AQ894" t="s">
        <v>74</v>
      </c>
      <c r="AR894" t="s">
        <v>74</v>
      </c>
      <c r="AS894" t="s">
        <v>74</v>
      </c>
      <c r="AT894" t="s">
        <v>74</v>
      </c>
      <c r="AU894">
        <v>1998</v>
      </c>
      <c r="AV894">
        <v>387</v>
      </c>
      <c r="AW894" t="s">
        <v>74</v>
      </c>
      <c r="AX894" t="s">
        <v>74</v>
      </c>
      <c r="AY894" t="s">
        <v>74</v>
      </c>
      <c r="AZ894" t="s">
        <v>74</v>
      </c>
      <c r="BA894" t="s">
        <v>74</v>
      </c>
      <c r="BB894">
        <v>355</v>
      </c>
      <c r="BC894">
        <v>360</v>
      </c>
      <c r="BD894" t="s">
        <v>74</v>
      </c>
      <c r="BE894" t="s">
        <v>6371</v>
      </c>
      <c r="BF894" t="str">
        <f>HYPERLINK("http://dx.doi.org/10.1023/A:1017092021816","http://dx.doi.org/10.1023/A:1017092021816")</f>
        <v>http://dx.doi.org/10.1023/A:1017092021816</v>
      </c>
      <c r="BG894" t="s">
        <v>74</v>
      </c>
      <c r="BH894" t="s">
        <v>74</v>
      </c>
      <c r="BI894" t="s">
        <v>74</v>
      </c>
      <c r="BJ894" t="s">
        <v>74</v>
      </c>
      <c r="BK894" t="s">
        <v>74</v>
      </c>
      <c r="BL894" t="s">
        <v>74</v>
      </c>
      <c r="BM894" t="s">
        <v>74</v>
      </c>
      <c r="BN894" t="s">
        <v>74</v>
      </c>
      <c r="BO894" t="s">
        <v>74</v>
      </c>
      <c r="BP894" t="s">
        <v>74</v>
      </c>
      <c r="BQ894" t="s">
        <v>74</v>
      </c>
      <c r="BR894" t="s">
        <v>74</v>
      </c>
      <c r="BS894" t="s">
        <v>6372</v>
      </c>
      <c r="BT894" t="str">
        <f>HYPERLINK("https%3A%2F%2Fwww.webofscience.com%2Fwos%2Fwoscc%2Ffull-record%2FWOS:000080234300049","View Full Record in Web of Science")</f>
        <v>View Full Record in Web of Science</v>
      </c>
    </row>
    <row r="895" spans="1:72" x14ac:dyDescent="0.2">
      <c r="A895" t="s">
        <v>72</v>
      </c>
      <c r="B895" t="s">
        <v>6373</v>
      </c>
      <c r="C895" t="s">
        <v>74</v>
      </c>
      <c r="D895" t="s">
        <v>74</v>
      </c>
      <c r="E895" t="s">
        <v>74</v>
      </c>
      <c r="F895" t="s">
        <v>6373</v>
      </c>
      <c r="G895" t="s">
        <v>74</v>
      </c>
      <c r="H895" t="s">
        <v>74</v>
      </c>
      <c r="I895" t="s">
        <v>6374</v>
      </c>
      <c r="J895" t="s">
        <v>124</v>
      </c>
      <c r="K895" t="s">
        <v>74</v>
      </c>
      <c r="L895" t="s">
        <v>74</v>
      </c>
      <c r="M895" t="s">
        <v>74</v>
      </c>
      <c r="N895" t="s">
        <v>74</v>
      </c>
      <c r="O895" t="s">
        <v>74</v>
      </c>
      <c r="P895" t="s">
        <v>74</v>
      </c>
      <c r="Q895" t="s">
        <v>74</v>
      </c>
      <c r="R895" t="s">
        <v>74</v>
      </c>
      <c r="S895" t="s">
        <v>74</v>
      </c>
      <c r="T895" t="s">
        <v>74</v>
      </c>
      <c r="U895" t="s">
        <v>74</v>
      </c>
      <c r="V895" t="s">
        <v>74</v>
      </c>
      <c r="W895" t="s">
        <v>74</v>
      </c>
      <c r="X895" t="s">
        <v>74</v>
      </c>
      <c r="Y895" t="s">
        <v>74</v>
      </c>
      <c r="Z895" t="s">
        <v>74</v>
      </c>
      <c r="AA895" t="s">
        <v>74</v>
      </c>
      <c r="AB895" t="s">
        <v>74</v>
      </c>
      <c r="AC895" t="s">
        <v>74</v>
      </c>
      <c r="AD895" t="s">
        <v>74</v>
      </c>
      <c r="AE895" t="s">
        <v>74</v>
      </c>
      <c r="AF895" t="s">
        <v>74</v>
      </c>
      <c r="AG895" t="s">
        <v>74</v>
      </c>
      <c r="AH895" t="s">
        <v>74</v>
      </c>
      <c r="AI895" t="s">
        <v>74</v>
      </c>
      <c r="AJ895" t="s">
        <v>74</v>
      </c>
      <c r="AK895" t="s">
        <v>74</v>
      </c>
      <c r="AL895" t="s">
        <v>74</v>
      </c>
      <c r="AM895" t="s">
        <v>74</v>
      </c>
      <c r="AN895" t="s">
        <v>74</v>
      </c>
      <c r="AO895" t="s">
        <v>127</v>
      </c>
      <c r="AP895" t="s">
        <v>74</v>
      </c>
      <c r="AQ895" t="s">
        <v>74</v>
      </c>
      <c r="AR895" t="s">
        <v>74</v>
      </c>
      <c r="AS895" t="s">
        <v>74</v>
      </c>
      <c r="AT895" t="s">
        <v>74</v>
      </c>
      <c r="AU895">
        <v>1998</v>
      </c>
      <c r="AV895">
        <v>380</v>
      </c>
      <c r="AW895" t="s">
        <v>74</v>
      </c>
      <c r="AX895" t="s">
        <v>74</v>
      </c>
      <c r="AY895" t="s">
        <v>74</v>
      </c>
      <c r="AZ895" t="s">
        <v>74</v>
      </c>
      <c r="BA895" t="s">
        <v>74</v>
      </c>
      <c r="BB895">
        <v>165</v>
      </c>
      <c r="BC895">
        <v>178</v>
      </c>
      <c r="BD895" t="s">
        <v>74</v>
      </c>
      <c r="BE895" t="s">
        <v>6375</v>
      </c>
      <c r="BF895" t="str">
        <f>HYPERLINK("http://dx.doi.org/10.1023/A:1003432829602","http://dx.doi.org/10.1023/A:1003432829602")</f>
        <v>http://dx.doi.org/10.1023/A:1003432829602</v>
      </c>
      <c r="BG895" t="s">
        <v>74</v>
      </c>
      <c r="BH895" t="s">
        <v>74</v>
      </c>
      <c r="BI895" t="s">
        <v>74</v>
      </c>
      <c r="BJ895" t="s">
        <v>74</v>
      </c>
      <c r="BK895" t="s">
        <v>74</v>
      </c>
      <c r="BL895" t="s">
        <v>74</v>
      </c>
      <c r="BM895" t="s">
        <v>74</v>
      </c>
      <c r="BN895" t="s">
        <v>74</v>
      </c>
      <c r="BO895" t="s">
        <v>74</v>
      </c>
      <c r="BP895" t="s">
        <v>74</v>
      </c>
      <c r="BQ895" t="s">
        <v>74</v>
      </c>
      <c r="BR895" t="s">
        <v>74</v>
      </c>
      <c r="BS895" t="s">
        <v>6376</v>
      </c>
      <c r="BT895" t="str">
        <f>HYPERLINK("https%3A%2F%2Fwww.webofscience.com%2Fwos%2Fwoscc%2Ffull-record%2FWOS:000078946700016","View Full Record in Web of Science")</f>
        <v>View Full Record in Web of Science</v>
      </c>
    </row>
    <row r="896" spans="1:72" x14ac:dyDescent="0.2">
      <c r="A896" t="s">
        <v>72</v>
      </c>
      <c r="B896" t="s">
        <v>6377</v>
      </c>
      <c r="C896" t="s">
        <v>74</v>
      </c>
      <c r="D896" t="s">
        <v>74</v>
      </c>
      <c r="E896" t="s">
        <v>74</v>
      </c>
      <c r="F896" t="s">
        <v>6377</v>
      </c>
      <c r="G896" t="s">
        <v>74</v>
      </c>
      <c r="H896" t="s">
        <v>74</v>
      </c>
      <c r="I896" t="s">
        <v>6378</v>
      </c>
      <c r="J896" t="s">
        <v>423</v>
      </c>
      <c r="K896" t="s">
        <v>74</v>
      </c>
      <c r="L896" t="s">
        <v>74</v>
      </c>
      <c r="M896" t="s">
        <v>74</v>
      </c>
      <c r="N896" t="s">
        <v>74</v>
      </c>
      <c r="O896" t="s">
        <v>6379</v>
      </c>
      <c r="P896" t="s">
        <v>6380</v>
      </c>
      <c r="Q896" t="s">
        <v>6381</v>
      </c>
      <c r="R896" t="s">
        <v>6382</v>
      </c>
      <c r="S896" t="s">
        <v>6383</v>
      </c>
      <c r="T896" t="s">
        <v>74</v>
      </c>
      <c r="U896" t="s">
        <v>74</v>
      </c>
      <c r="V896" t="s">
        <v>74</v>
      </c>
      <c r="W896" t="s">
        <v>74</v>
      </c>
      <c r="X896" t="s">
        <v>74</v>
      </c>
      <c r="Y896" t="s">
        <v>74</v>
      </c>
      <c r="Z896" t="s">
        <v>74</v>
      </c>
      <c r="AA896" t="s">
        <v>6384</v>
      </c>
      <c r="AB896" t="s">
        <v>6385</v>
      </c>
      <c r="AC896" t="s">
        <v>74</v>
      </c>
      <c r="AD896" t="s">
        <v>74</v>
      </c>
      <c r="AE896" t="s">
        <v>74</v>
      </c>
      <c r="AF896" t="s">
        <v>74</v>
      </c>
      <c r="AG896" t="s">
        <v>74</v>
      </c>
      <c r="AH896" t="s">
        <v>74</v>
      </c>
      <c r="AI896" t="s">
        <v>74</v>
      </c>
      <c r="AJ896" t="s">
        <v>74</v>
      </c>
      <c r="AK896" t="s">
        <v>74</v>
      </c>
      <c r="AL896" t="s">
        <v>74</v>
      </c>
      <c r="AM896" t="s">
        <v>74</v>
      </c>
      <c r="AN896" t="s">
        <v>74</v>
      </c>
      <c r="AO896" t="s">
        <v>425</v>
      </c>
      <c r="AP896" t="s">
        <v>74</v>
      </c>
      <c r="AQ896" t="s">
        <v>74</v>
      </c>
      <c r="AR896" t="s">
        <v>74</v>
      </c>
      <c r="AS896" t="s">
        <v>74</v>
      </c>
      <c r="AT896" t="s">
        <v>82</v>
      </c>
      <c r="AU896">
        <v>1997</v>
      </c>
      <c r="AV896">
        <v>38</v>
      </c>
      <c r="AW896">
        <v>3</v>
      </c>
      <c r="AX896" t="s">
        <v>74</v>
      </c>
      <c r="AY896" t="s">
        <v>74</v>
      </c>
      <c r="AZ896" t="s">
        <v>74</v>
      </c>
      <c r="BA896" t="s">
        <v>74</v>
      </c>
      <c r="BB896">
        <v>513</v>
      </c>
      <c r="BC896">
        <v>524</v>
      </c>
      <c r="BD896" t="s">
        <v>74</v>
      </c>
      <c r="BE896" t="s">
        <v>6386</v>
      </c>
      <c r="BF896" t="str">
        <f>HYPERLINK("http://dx.doi.org/10.1046/j.1365-2427.1997.00223.x","http://dx.doi.org/10.1046/j.1365-2427.1997.00223.x")</f>
        <v>http://dx.doi.org/10.1046/j.1365-2427.1997.00223.x</v>
      </c>
      <c r="BG896" t="s">
        <v>74</v>
      </c>
      <c r="BH896" t="s">
        <v>74</v>
      </c>
      <c r="BI896" t="s">
        <v>74</v>
      </c>
      <c r="BJ896" t="s">
        <v>74</v>
      </c>
      <c r="BK896" t="s">
        <v>74</v>
      </c>
      <c r="BL896" t="s">
        <v>74</v>
      </c>
      <c r="BM896" t="s">
        <v>74</v>
      </c>
      <c r="BN896" t="s">
        <v>74</v>
      </c>
      <c r="BO896" t="s">
        <v>74</v>
      </c>
      <c r="BP896" t="s">
        <v>74</v>
      </c>
      <c r="BQ896" t="s">
        <v>74</v>
      </c>
      <c r="BR896" t="s">
        <v>74</v>
      </c>
      <c r="BS896" t="s">
        <v>6387</v>
      </c>
      <c r="BT896" t="str">
        <f>HYPERLINK("https%3A%2F%2Fwww.webofscience.com%2Fwos%2Fwoscc%2Ffull-record%2FWOS:000071561200006","View Full Record in Web of Science")</f>
        <v>View Full Record in Web of Science</v>
      </c>
    </row>
    <row r="897" spans="1:72" x14ac:dyDescent="0.2">
      <c r="A897" t="s">
        <v>72</v>
      </c>
      <c r="B897" t="s">
        <v>6388</v>
      </c>
      <c r="C897" t="s">
        <v>74</v>
      </c>
      <c r="D897" t="s">
        <v>74</v>
      </c>
      <c r="E897" t="s">
        <v>74</v>
      </c>
      <c r="F897" t="s">
        <v>6388</v>
      </c>
      <c r="G897" t="s">
        <v>74</v>
      </c>
      <c r="H897" t="s">
        <v>74</v>
      </c>
      <c r="I897" t="s">
        <v>6389</v>
      </c>
      <c r="J897" t="s">
        <v>88</v>
      </c>
      <c r="K897" t="s">
        <v>74</v>
      </c>
      <c r="L897" t="s">
        <v>74</v>
      </c>
      <c r="M897" t="s">
        <v>74</v>
      </c>
      <c r="N897" t="s">
        <v>74</v>
      </c>
      <c r="O897" t="s">
        <v>74</v>
      </c>
      <c r="P897" t="s">
        <v>74</v>
      </c>
      <c r="Q897" t="s">
        <v>74</v>
      </c>
      <c r="R897" t="s">
        <v>74</v>
      </c>
      <c r="S897" t="s">
        <v>74</v>
      </c>
      <c r="T897" t="s">
        <v>74</v>
      </c>
      <c r="U897" t="s">
        <v>74</v>
      </c>
      <c r="V897" t="s">
        <v>74</v>
      </c>
      <c r="W897" t="s">
        <v>74</v>
      </c>
      <c r="X897" t="s">
        <v>74</v>
      </c>
      <c r="Y897" t="s">
        <v>74</v>
      </c>
      <c r="Z897" t="s">
        <v>74</v>
      </c>
      <c r="AA897" t="s">
        <v>74</v>
      </c>
      <c r="AB897" t="s">
        <v>6390</v>
      </c>
      <c r="AC897" t="s">
        <v>74</v>
      </c>
      <c r="AD897" t="s">
        <v>74</v>
      </c>
      <c r="AE897" t="s">
        <v>74</v>
      </c>
      <c r="AF897" t="s">
        <v>74</v>
      </c>
      <c r="AG897" t="s">
        <v>74</v>
      </c>
      <c r="AH897" t="s">
        <v>74</v>
      </c>
      <c r="AI897" t="s">
        <v>74</v>
      </c>
      <c r="AJ897" t="s">
        <v>74</v>
      </c>
      <c r="AK897" t="s">
        <v>74</v>
      </c>
      <c r="AL897" t="s">
        <v>74</v>
      </c>
      <c r="AM897" t="s">
        <v>74</v>
      </c>
      <c r="AN897" t="s">
        <v>74</v>
      </c>
      <c r="AO897" t="s">
        <v>89</v>
      </c>
      <c r="AP897" t="s">
        <v>90</v>
      </c>
      <c r="AQ897" t="s">
        <v>74</v>
      </c>
      <c r="AR897" t="s">
        <v>74</v>
      </c>
      <c r="AS897" t="s">
        <v>74</v>
      </c>
      <c r="AT897" t="s">
        <v>406</v>
      </c>
      <c r="AU897">
        <v>1997</v>
      </c>
      <c r="AV897">
        <v>54</v>
      </c>
      <c r="AW897">
        <v>10</v>
      </c>
      <c r="AX897" t="s">
        <v>74</v>
      </c>
      <c r="AY897" t="s">
        <v>74</v>
      </c>
      <c r="AZ897" t="s">
        <v>74</v>
      </c>
      <c r="BA897" t="s">
        <v>74</v>
      </c>
      <c r="BB897">
        <v>2350</v>
      </c>
      <c r="BC897">
        <v>2360</v>
      </c>
      <c r="BD897" t="s">
        <v>74</v>
      </c>
      <c r="BE897" t="s">
        <v>6391</v>
      </c>
      <c r="BF897" t="str">
        <f>HYPERLINK("http://dx.doi.org/10.1139/cjfas-54-10-2350","http://dx.doi.org/10.1139/cjfas-54-10-2350")</f>
        <v>http://dx.doi.org/10.1139/cjfas-54-10-2350</v>
      </c>
      <c r="BG897" t="s">
        <v>74</v>
      </c>
      <c r="BH897" t="s">
        <v>74</v>
      </c>
      <c r="BI897" t="s">
        <v>74</v>
      </c>
      <c r="BJ897" t="s">
        <v>74</v>
      </c>
      <c r="BK897" t="s">
        <v>74</v>
      </c>
      <c r="BL897" t="s">
        <v>74</v>
      </c>
      <c r="BM897" t="s">
        <v>74</v>
      </c>
      <c r="BN897" t="s">
        <v>74</v>
      </c>
      <c r="BO897" t="s">
        <v>74</v>
      </c>
      <c r="BP897" t="s">
        <v>74</v>
      </c>
      <c r="BQ897" t="s">
        <v>74</v>
      </c>
      <c r="BR897" t="s">
        <v>74</v>
      </c>
      <c r="BS897" t="s">
        <v>6392</v>
      </c>
      <c r="BT897" t="str">
        <f>HYPERLINK("https%3A%2F%2Fwww.webofscience.com%2Fwos%2Fwoscc%2Ffull-record%2FWOS:000071517900012","View Full Record in Web of Science")</f>
        <v>View Full Record in Web of Science</v>
      </c>
    </row>
    <row r="898" spans="1:72" x14ac:dyDescent="0.2">
      <c r="A898" t="s">
        <v>72</v>
      </c>
      <c r="B898" t="s">
        <v>6393</v>
      </c>
      <c r="C898" t="s">
        <v>74</v>
      </c>
      <c r="D898" t="s">
        <v>74</v>
      </c>
      <c r="E898" t="s">
        <v>74</v>
      </c>
      <c r="F898" t="s">
        <v>6393</v>
      </c>
      <c r="G898" t="s">
        <v>74</v>
      </c>
      <c r="H898" t="s">
        <v>74</v>
      </c>
      <c r="I898" t="s">
        <v>6394</v>
      </c>
      <c r="J898" t="s">
        <v>673</v>
      </c>
      <c r="K898" t="s">
        <v>74</v>
      </c>
      <c r="L898" t="s">
        <v>74</v>
      </c>
      <c r="M898" t="s">
        <v>74</v>
      </c>
      <c r="N898" t="s">
        <v>74</v>
      </c>
      <c r="O898" t="s">
        <v>74</v>
      </c>
      <c r="P898" t="s">
        <v>74</v>
      </c>
      <c r="Q898" t="s">
        <v>74</v>
      </c>
      <c r="R898" t="s">
        <v>74</v>
      </c>
      <c r="S898" t="s">
        <v>74</v>
      </c>
      <c r="T898" t="s">
        <v>74</v>
      </c>
      <c r="U898" t="s">
        <v>74</v>
      </c>
      <c r="V898" t="s">
        <v>74</v>
      </c>
      <c r="W898" t="s">
        <v>74</v>
      </c>
      <c r="X898" t="s">
        <v>74</v>
      </c>
      <c r="Y898" t="s">
        <v>74</v>
      </c>
      <c r="Z898" t="s">
        <v>74</v>
      </c>
      <c r="AA898" t="s">
        <v>6395</v>
      </c>
      <c r="AB898" t="s">
        <v>6396</v>
      </c>
      <c r="AC898" t="s">
        <v>74</v>
      </c>
      <c r="AD898" t="s">
        <v>74</v>
      </c>
      <c r="AE898" t="s">
        <v>74</v>
      </c>
      <c r="AF898" t="s">
        <v>74</v>
      </c>
      <c r="AG898" t="s">
        <v>74</v>
      </c>
      <c r="AH898" t="s">
        <v>74</v>
      </c>
      <c r="AI898" t="s">
        <v>74</v>
      </c>
      <c r="AJ898" t="s">
        <v>74</v>
      </c>
      <c r="AK898" t="s">
        <v>74</v>
      </c>
      <c r="AL898" t="s">
        <v>74</v>
      </c>
      <c r="AM898" t="s">
        <v>74</v>
      </c>
      <c r="AN898" t="s">
        <v>74</v>
      </c>
      <c r="AO898" t="s">
        <v>674</v>
      </c>
      <c r="AP898" t="s">
        <v>675</v>
      </c>
      <c r="AQ898" t="s">
        <v>74</v>
      </c>
      <c r="AR898" t="s">
        <v>74</v>
      </c>
      <c r="AS898" t="s">
        <v>74</v>
      </c>
      <c r="AT898" t="s">
        <v>406</v>
      </c>
      <c r="AU898">
        <v>1997</v>
      </c>
      <c r="AV898">
        <v>38</v>
      </c>
      <c r="AW898">
        <v>1</v>
      </c>
      <c r="AX898" t="s">
        <v>74</v>
      </c>
      <c r="AY898" t="s">
        <v>74</v>
      </c>
      <c r="AZ898" t="s">
        <v>74</v>
      </c>
      <c r="BA898" t="s">
        <v>74</v>
      </c>
      <c r="BB898">
        <v>13</v>
      </c>
      <c r="BC898">
        <v>24</v>
      </c>
      <c r="BD898" t="s">
        <v>74</v>
      </c>
      <c r="BE898" t="s">
        <v>6397</v>
      </c>
      <c r="BF898" t="str">
        <f>HYPERLINK("http://dx.doi.org/10.1006/eesa.1997.1555","http://dx.doi.org/10.1006/eesa.1997.1555")</f>
        <v>http://dx.doi.org/10.1006/eesa.1997.1555</v>
      </c>
      <c r="BG898" t="s">
        <v>74</v>
      </c>
      <c r="BH898" t="s">
        <v>74</v>
      </c>
      <c r="BI898" t="s">
        <v>74</v>
      </c>
      <c r="BJ898" t="s">
        <v>74</v>
      </c>
      <c r="BK898" t="s">
        <v>74</v>
      </c>
      <c r="BL898" t="s">
        <v>74</v>
      </c>
      <c r="BM898" t="s">
        <v>74</v>
      </c>
      <c r="BN898">
        <v>9352210</v>
      </c>
      <c r="BO898" t="s">
        <v>74</v>
      </c>
      <c r="BP898" t="s">
        <v>74</v>
      </c>
      <c r="BQ898" t="s">
        <v>74</v>
      </c>
      <c r="BR898" t="s">
        <v>74</v>
      </c>
      <c r="BS898" t="s">
        <v>6398</v>
      </c>
      <c r="BT898" t="str">
        <f>HYPERLINK("https%3A%2F%2Fwww.webofscience.com%2Fwos%2Fwoscc%2Ffull-record%2FWOS:A1997YC68800003","View Full Record in Web of Science")</f>
        <v>View Full Record in Web of Science</v>
      </c>
    </row>
    <row r="899" spans="1:72" x14ac:dyDescent="0.2">
      <c r="A899" t="s">
        <v>72</v>
      </c>
      <c r="B899" t="s">
        <v>6399</v>
      </c>
      <c r="C899" t="s">
        <v>74</v>
      </c>
      <c r="D899" t="s">
        <v>74</v>
      </c>
      <c r="E899" t="s">
        <v>74</v>
      </c>
      <c r="F899" t="s">
        <v>6399</v>
      </c>
      <c r="G899" t="s">
        <v>74</v>
      </c>
      <c r="H899" t="s">
        <v>74</v>
      </c>
      <c r="I899" t="s">
        <v>6400</v>
      </c>
      <c r="J899" t="s">
        <v>227</v>
      </c>
      <c r="K899" t="s">
        <v>74</v>
      </c>
      <c r="L899" t="s">
        <v>74</v>
      </c>
      <c r="M899" t="s">
        <v>74</v>
      </c>
      <c r="N899" t="s">
        <v>74</v>
      </c>
      <c r="O899" t="s">
        <v>74</v>
      </c>
      <c r="P899" t="s">
        <v>74</v>
      </c>
      <c r="Q899" t="s">
        <v>74</v>
      </c>
      <c r="R899" t="s">
        <v>74</v>
      </c>
      <c r="S899" t="s">
        <v>74</v>
      </c>
      <c r="T899" t="s">
        <v>74</v>
      </c>
      <c r="U899" t="s">
        <v>74</v>
      </c>
      <c r="V899" t="s">
        <v>74</v>
      </c>
      <c r="W899" t="s">
        <v>74</v>
      </c>
      <c r="X899" t="s">
        <v>74</v>
      </c>
      <c r="Y899" t="s">
        <v>74</v>
      </c>
      <c r="Z899" t="s">
        <v>74</v>
      </c>
      <c r="AA899" t="s">
        <v>6401</v>
      </c>
      <c r="AB899" t="s">
        <v>6402</v>
      </c>
      <c r="AC899" t="s">
        <v>74</v>
      </c>
      <c r="AD899" t="s">
        <v>74</v>
      </c>
      <c r="AE899" t="s">
        <v>74</v>
      </c>
      <c r="AF899" t="s">
        <v>74</v>
      </c>
      <c r="AG899" t="s">
        <v>74</v>
      </c>
      <c r="AH899" t="s">
        <v>74</v>
      </c>
      <c r="AI899" t="s">
        <v>74</v>
      </c>
      <c r="AJ899" t="s">
        <v>74</v>
      </c>
      <c r="AK899" t="s">
        <v>74</v>
      </c>
      <c r="AL899" t="s">
        <v>74</v>
      </c>
      <c r="AM899" t="s">
        <v>74</v>
      </c>
      <c r="AN899" t="s">
        <v>74</v>
      </c>
      <c r="AO899" t="s">
        <v>230</v>
      </c>
      <c r="AP899" t="s">
        <v>74</v>
      </c>
      <c r="AQ899" t="s">
        <v>74</v>
      </c>
      <c r="AR899" t="s">
        <v>74</v>
      </c>
      <c r="AS899" t="s">
        <v>74</v>
      </c>
      <c r="AT899" t="s">
        <v>569</v>
      </c>
      <c r="AU899">
        <v>1997</v>
      </c>
      <c r="AV899">
        <v>42</v>
      </c>
      <c r="AW899">
        <v>4</v>
      </c>
      <c r="AX899" t="s">
        <v>74</v>
      </c>
      <c r="AY899" t="s">
        <v>74</v>
      </c>
      <c r="AZ899" t="s">
        <v>74</v>
      </c>
      <c r="BA899" t="s">
        <v>74</v>
      </c>
      <c r="BB899">
        <v>687</v>
      </c>
      <c r="BC899">
        <v>704</v>
      </c>
      <c r="BD899" t="s">
        <v>74</v>
      </c>
      <c r="BE899" t="s">
        <v>6403</v>
      </c>
      <c r="BF899" t="str">
        <f>HYPERLINK("http://dx.doi.org/10.4319/lo.1997.42.4.0687","http://dx.doi.org/10.4319/lo.1997.42.4.0687")</f>
        <v>http://dx.doi.org/10.4319/lo.1997.42.4.0687</v>
      </c>
      <c r="BG899" t="s">
        <v>74</v>
      </c>
      <c r="BH899" t="s">
        <v>74</v>
      </c>
      <c r="BI899" t="s">
        <v>74</v>
      </c>
      <c r="BJ899" t="s">
        <v>74</v>
      </c>
      <c r="BK899" t="s">
        <v>74</v>
      </c>
      <c r="BL899" t="s">
        <v>74</v>
      </c>
      <c r="BM899" t="s">
        <v>74</v>
      </c>
      <c r="BN899" t="s">
        <v>74</v>
      </c>
      <c r="BO899" t="s">
        <v>74</v>
      </c>
      <c r="BP899" t="s">
        <v>74</v>
      </c>
      <c r="BQ899" t="s">
        <v>74</v>
      </c>
      <c r="BR899" t="s">
        <v>74</v>
      </c>
      <c r="BS899" t="s">
        <v>6404</v>
      </c>
      <c r="BT899" t="str">
        <f>HYPERLINK("https%3A%2F%2Fwww.webofscience.com%2Fwos%2Fwoscc%2Ffull-record%2FWOS:000071037700007","View Full Record in Web of Science")</f>
        <v>View Full Record in Web of Science</v>
      </c>
    </row>
    <row r="900" spans="1:72" x14ac:dyDescent="0.2">
      <c r="A900" t="s">
        <v>72</v>
      </c>
      <c r="B900" t="s">
        <v>6405</v>
      </c>
      <c r="C900" t="s">
        <v>74</v>
      </c>
      <c r="D900" t="s">
        <v>74</v>
      </c>
      <c r="E900" t="s">
        <v>74</v>
      </c>
      <c r="F900" t="s">
        <v>6405</v>
      </c>
      <c r="G900" t="s">
        <v>74</v>
      </c>
      <c r="H900" t="s">
        <v>74</v>
      </c>
      <c r="I900" t="s">
        <v>6406</v>
      </c>
      <c r="J900" t="s">
        <v>1920</v>
      </c>
      <c r="K900" t="s">
        <v>74</v>
      </c>
      <c r="L900" t="s">
        <v>74</v>
      </c>
      <c r="M900" t="s">
        <v>74</v>
      </c>
      <c r="N900" t="s">
        <v>74</v>
      </c>
      <c r="O900" t="s">
        <v>6407</v>
      </c>
      <c r="P900" t="s">
        <v>6408</v>
      </c>
      <c r="Q900" t="s">
        <v>6409</v>
      </c>
      <c r="R900" t="s">
        <v>6410</v>
      </c>
      <c r="S900" t="s">
        <v>6411</v>
      </c>
      <c r="T900" t="s">
        <v>74</v>
      </c>
      <c r="U900" t="s">
        <v>74</v>
      </c>
      <c r="V900" t="s">
        <v>74</v>
      </c>
      <c r="W900" t="s">
        <v>74</v>
      </c>
      <c r="X900" t="s">
        <v>74</v>
      </c>
      <c r="Y900" t="s">
        <v>74</v>
      </c>
      <c r="Z900" t="s">
        <v>74</v>
      </c>
      <c r="AA900" t="s">
        <v>74</v>
      </c>
      <c r="AB900" t="s">
        <v>74</v>
      </c>
      <c r="AC900" t="s">
        <v>74</v>
      </c>
      <c r="AD900" t="s">
        <v>74</v>
      </c>
      <c r="AE900" t="s">
        <v>74</v>
      </c>
      <c r="AF900" t="s">
        <v>74</v>
      </c>
      <c r="AG900" t="s">
        <v>74</v>
      </c>
      <c r="AH900" t="s">
        <v>74</v>
      </c>
      <c r="AI900" t="s">
        <v>74</v>
      </c>
      <c r="AJ900" t="s">
        <v>74</v>
      </c>
      <c r="AK900" t="s">
        <v>74</v>
      </c>
      <c r="AL900" t="s">
        <v>74</v>
      </c>
      <c r="AM900" t="s">
        <v>74</v>
      </c>
      <c r="AN900" t="s">
        <v>74</v>
      </c>
      <c r="AO900" t="s">
        <v>1921</v>
      </c>
      <c r="AP900" t="s">
        <v>74</v>
      </c>
      <c r="AQ900" t="s">
        <v>74</v>
      </c>
      <c r="AR900" t="s">
        <v>74</v>
      </c>
      <c r="AS900" t="s">
        <v>74</v>
      </c>
      <c r="AT900" t="s">
        <v>2624</v>
      </c>
      <c r="AU900">
        <v>1997</v>
      </c>
      <c r="AV900">
        <v>44</v>
      </c>
      <c r="AW900">
        <v>3</v>
      </c>
      <c r="AX900" t="s">
        <v>74</v>
      </c>
      <c r="AY900" t="s">
        <v>74</v>
      </c>
      <c r="AZ900" t="s">
        <v>74</v>
      </c>
      <c r="BA900" t="s">
        <v>74</v>
      </c>
      <c r="BB900">
        <v>194</v>
      </c>
      <c r="BC900">
        <v>199</v>
      </c>
      <c r="BD900" t="s">
        <v>74</v>
      </c>
      <c r="BE900" t="s">
        <v>6412</v>
      </c>
      <c r="BF900" t="str">
        <f>HYPERLINK("http://dx.doi.org/10.1111/j.1550-7408.1997.tb05699.x","http://dx.doi.org/10.1111/j.1550-7408.1997.tb05699.x")</f>
        <v>http://dx.doi.org/10.1111/j.1550-7408.1997.tb05699.x</v>
      </c>
      <c r="BG900" t="s">
        <v>74</v>
      </c>
      <c r="BH900" t="s">
        <v>74</v>
      </c>
      <c r="BI900" t="s">
        <v>74</v>
      </c>
      <c r="BJ900" t="s">
        <v>74</v>
      </c>
      <c r="BK900" t="s">
        <v>74</v>
      </c>
      <c r="BL900" t="s">
        <v>74</v>
      </c>
      <c r="BM900" t="s">
        <v>74</v>
      </c>
      <c r="BN900" t="s">
        <v>74</v>
      </c>
      <c r="BO900" t="s">
        <v>74</v>
      </c>
      <c r="BP900" t="s">
        <v>74</v>
      </c>
      <c r="BQ900" t="s">
        <v>74</v>
      </c>
      <c r="BR900" t="s">
        <v>74</v>
      </c>
      <c r="BS900" t="s">
        <v>6413</v>
      </c>
      <c r="BT900" t="str">
        <f>HYPERLINK("https%3A%2F%2Fwww.webofscience.com%2Fwos%2Fwoscc%2Ffull-record%2FWOS:A1997XC31700004","View Full Record in Web of Science")</f>
        <v>View Full Record in Web of Science</v>
      </c>
    </row>
    <row r="901" spans="1:72" x14ac:dyDescent="0.2">
      <c r="A901" t="s">
        <v>72</v>
      </c>
      <c r="B901" t="s">
        <v>6414</v>
      </c>
      <c r="C901" t="s">
        <v>74</v>
      </c>
      <c r="D901" t="s">
        <v>74</v>
      </c>
      <c r="E901" t="s">
        <v>74</v>
      </c>
      <c r="F901" t="s">
        <v>6414</v>
      </c>
      <c r="G901" t="s">
        <v>74</v>
      </c>
      <c r="H901" t="s">
        <v>74</v>
      </c>
      <c r="I901" t="s">
        <v>6415</v>
      </c>
      <c r="J901" t="s">
        <v>2769</v>
      </c>
      <c r="K901" t="s">
        <v>74</v>
      </c>
      <c r="L901" t="s">
        <v>74</v>
      </c>
      <c r="M901" t="s">
        <v>74</v>
      </c>
      <c r="N901" t="s">
        <v>74</v>
      </c>
      <c r="O901" t="s">
        <v>74</v>
      </c>
      <c r="P901" t="s">
        <v>74</v>
      </c>
      <c r="Q901" t="s">
        <v>74</v>
      </c>
      <c r="R901" t="s">
        <v>74</v>
      </c>
      <c r="S901" t="s">
        <v>74</v>
      </c>
      <c r="T901" t="s">
        <v>74</v>
      </c>
      <c r="U901" t="s">
        <v>74</v>
      </c>
      <c r="V901" t="s">
        <v>74</v>
      </c>
      <c r="W901" t="s">
        <v>74</v>
      </c>
      <c r="X901" t="s">
        <v>74</v>
      </c>
      <c r="Y901" t="s">
        <v>74</v>
      </c>
      <c r="Z901" t="s">
        <v>74</v>
      </c>
      <c r="AA901" t="s">
        <v>74</v>
      </c>
      <c r="AB901" t="s">
        <v>237</v>
      </c>
      <c r="AC901" t="s">
        <v>74</v>
      </c>
      <c r="AD901" t="s">
        <v>74</v>
      </c>
      <c r="AE901" t="s">
        <v>74</v>
      </c>
      <c r="AF901" t="s">
        <v>74</v>
      </c>
      <c r="AG901" t="s">
        <v>74</v>
      </c>
      <c r="AH901" t="s">
        <v>74</v>
      </c>
      <c r="AI901" t="s">
        <v>74</v>
      </c>
      <c r="AJ901" t="s">
        <v>74</v>
      </c>
      <c r="AK901" t="s">
        <v>74</v>
      </c>
      <c r="AL901" t="s">
        <v>74</v>
      </c>
      <c r="AM901" t="s">
        <v>74</v>
      </c>
      <c r="AN901" t="s">
        <v>74</v>
      </c>
      <c r="AO901" t="s">
        <v>2772</v>
      </c>
      <c r="AP901" t="s">
        <v>2773</v>
      </c>
      <c r="AQ901" t="s">
        <v>74</v>
      </c>
      <c r="AR901" t="s">
        <v>74</v>
      </c>
      <c r="AS901" t="s">
        <v>74</v>
      </c>
      <c r="AT901" t="s">
        <v>6416</v>
      </c>
      <c r="AU901">
        <v>1997</v>
      </c>
      <c r="AV901">
        <v>12</v>
      </c>
      <c r="AW901">
        <v>2</v>
      </c>
      <c r="AX901" t="s">
        <v>74</v>
      </c>
      <c r="AY901" t="s">
        <v>74</v>
      </c>
      <c r="AZ901" t="s">
        <v>74</v>
      </c>
      <c r="BA901" t="s">
        <v>74</v>
      </c>
      <c r="BB901">
        <v>153</v>
      </c>
      <c r="BC901">
        <v>164</v>
      </c>
      <c r="BD901" t="s">
        <v>74</v>
      </c>
      <c r="BE901" t="s">
        <v>6417</v>
      </c>
      <c r="BF901" t="str">
        <f>HYPERLINK("http://dx.doi.org/10.3354/ame012153","http://dx.doi.org/10.3354/ame012153")</f>
        <v>http://dx.doi.org/10.3354/ame012153</v>
      </c>
      <c r="BG901" t="s">
        <v>74</v>
      </c>
      <c r="BH901" t="s">
        <v>74</v>
      </c>
      <c r="BI901" t="s">
        <v>74</v>
      </c>
      <c r="BJ901" t="s">
        <v>74</v>
      </c>
      <c r="BK901" t="s">
        <v>74</v>
      </c>
      <c r="BL901" t="s">
        <v>74</v>
      </c>
      <c r="BM901" t="s">
        <v>74</v>
      </c>
      <c r="BN901" t="s">
        <v>74</v>
      </c>
      <c r="BO901" t="s">
        <v>74</v>
      </c>
      <c r="BP901" t="s">
        <v>74</v>
      </c>
      <c r="BQ901" t="s">
        <v>74</v>
      </c>
      <c r="BR901" t="s">
        <v>74</v>
      </c>
      <c r="BS901" t="s">
        <v>6418</v>
      </c>
      <c r="BT901" t="str">
        <f>HYPERLINK("https%3A%2F%2Fwww.webofscience.com%2Fwos%2Fwoscc%2Ffull-record%2FWOS:A1997WV12000006","View Full Record in Web of Science")</f>
        <v>View Full Record in Web of Science</v>
      </c>
    </row>
    <row r="902" spans="1:72" x14ac:dyDescent="0.2">
      <c r="A902" t="s">
        <v>72</v>
      </c>
      <c r="B902" t="s">
        <v>6419</v>
      </c>
      <c r="C902" t="s">
        <v>74</v>
      </c>
      <c r="D902" t="s">
        <v>74</v>
      </c>
      <c r="E902" t="s">
        <v>74</v>
      </c>
      <c r="F902" t="s">
        <v>6419</v>
      </c>
      <c r="G902" t="s">
        <v>74</v>
      </c>
      <c r="H902" t="s">
        <v>74</v>
      </c>
      <c r="I902" t="s">
        <v>6420</v>
      </c>
      <c r="J902" t="s">
        <v>2759</v>
      </c>
      <c r="K902" t="s">
        <v>74</v>
      </c>
      <c r="L902" t="s">
        <v>74</v>
      </c>
      <c r="M902" t="s">
        <v>74</v>
      </c>
      <c r="N902" t="s">
        <v>74</v>
      </c>
      <c r="O902" t="s">
        <v>74</v>
      </c>
      <c r="P902" t="s">
        <v>74</v>
      </c>
      <c r="Q902" t="s">
        <v>74</v>
      </c>
      <c r="R902" t="s">
        <v>74</v>
      </c>
      <c r="S902" t="s">
        <v>74</v>
      </c>
      <c r="T902" t="s">
        <v>74</v>
      </c>
      <c r="U902" t="s">
        <v>74</v>
      </c>
      <c r="V902" t="s">
        <v>74</v>
      </c>
      <c r="W902" t="s">
        <v>74</v>
      </c>
      <c r="X902" t="s">
        <v>74</v>
      </c>
      <c r="Y902" t="s">
        <v>74</v>
      </c>
      <c r="Z902" t="s">
        <v>74</v>
      </c>
      <c r="AA902" t="s">
        <v>6421</v>
      </c>
      <c r="AB902" t="s">
        <v>6422</v>
      </c>
      <c r="AC902" t="s">
        <v>74</v>
      </c>
      <c r="AD902" t="s">
        <v>74</v>
      </c>
      <c r="AE902" t="s">
        <v>74</v>
      </c>
      <c r="AF902" t="s">
        <v>74</v>
      </c>
      <c r="AG902" t="s">
        <v>74</v>
      </c>
      <c r="AH902" t="s">
        <v>74</v>
      </c>
      <c r="AI902" t="s">
        <v>74</v>
      </c>
      <c r="AJ902" t="s">
        <v>74</v>
      </c>
      <c r="AK902" t="s">
        <v>74</v>
      </c>
      <c r="AL902" t="s">
        <v>74</v>
      </c>
      <c r="AM902" t="s">
        <v>74</v>
      </c>
      <c r="AN902" t="s">
        <v>74</v>
      </c>
      <c r="AO902" t="s">
        <v>2762</v>
      </c>
      <c r="AP902" t="s">
        <v>74</v>
      </c>
      <c r="AQ902" t="s">
        <v>74</v>
      </c>
      <c r="AR902" t="s">
        <v>74</v>
      </c>
      <c r="AS902" t="s">
        <v>74</v>
      </c>
      <c r="AT902" t="s">
        <v>157</v>
      </c>
      <c r="AU902">
        <v>1997</v>
      </c>
      <c r="AV902">
        <v>66</v>
      </c>
      <c r="AW902">
        <v>2</v>
      </c>
      <c r="AX902" t="s">
        <v>74</v>
      </c>
      <c r="AY902" t="s">
        <v>74</v>
      </c>
      <c r="AZ902" t="s">
        <v>74</v>
      </c>
      <c r="BA902" t="s">
        <v>74</v>
      </c>
      <c r="BB902">
        <v>212</v>
      </c>
      <c r="BC902">
        <v>222</v>
      </c>
      <c r="BD902" t="s">
        <v>74</v>
      </c>
      <c r="BE902" t="s">
        <v>6423</v>
      </c>
      <c r="BF902" t="str">
        <f>HYPERLINK("http://dx.doi.org/10.2307/6023","http://dx.doi.org/10.2307/6023")</f>
        <v>http://dx.doi.org/10.2307/6023</v>
      </c>
      <c r="BG902" t="s">
        <v>74</v>
      </c>
      <c r="BH902" t="s">
        <v>74</v>
      </c>
      <c r="BI902" t="s">
        <v>74</v>
      </c>
      <c r="BJ902" t="s">
        <v>74</v>
      </c>
      <c r="BK902" t="s">
        <v>74</v>
      </c>
      <c r="BL902" t="s">
        <v>74</v>
      </c>
      <c r="BM902" t="s">
        <v>74</v>
      </c>
      <c r="BN902" t="s">
        <v>74</v>
      </c>
      <c r="BO902" t="s">
        <v>74</v>
      </c>
      <c r="BP902" t="s">
        <v>74</v>
      </c>
      <c r="BQ902" t="s">
        <v>74</v>
      </c>
      <c r="BR902" t="s">
        <v>74</v>
      </c>
      <c r="BS902" t="s">
        <v>6424</v>
      </c>
      <c r="BT902" t="str">
        <f>HYPERLINK("https%3A%2F%2Fwww.webofscience.com%2Fwos%2Fwoscc%2Ffull-record%2FWOS:A1997WQ19600007","View Full Record in Web of Science")</f>
        <v>View Full Record in Web of Science</v>
      </c>
    </row>
    <row r="903" spans="1:72" x14ac:dyDescent="0.2">
      <c r="A903" t="s">
        <v>72</v>
      </c>
      <c r="B903" t="s">
        <v>6425</v>
      </c>
      <c r="C903" t="s">
        <v>74</v>
      </c>
      <c r="D903" t="s">
        <v>74</v>
      </c>
      <c r="E903" t="s">
        <v>74</v>
      </c>
      <c r="F903" t="s">
        <v>6425</v>
      </c>
      <c r="G903" t="s">
        <v>74</v>
      </c>
      <c r="H903" t="s">
        <v>74</v>
      </c>
      <c r="I903" t="s">
        <v>6426</v>
      </c>
      <c r="J903" t="s">
        <v>2827</v>
      </c>
      <c r="K903" t="s">
        <v>74</v>
      </c>
      <c r="L903" t="s">
        <v>74</v>
      </c>
      <c r="M903" t="s">
        <v>74</v>
      </c>
      <c r="N903" t="s">
        <v>74</v>
      </c>
      <c r="O903" t="s">
        <v>74</v>
      </c>
      <c r="P903" t="s">
        <v>74</v>
      </c>
      <c r="Q903" t="s">
        <v>74</v>
      </c>
      <c r="R903" t="s">
        <v>74</v>
      </c>
      <c r="S903" t="s">
        <v>74</v>
      </c>
      <c r="T903" t="s">
        <v>74</v>
      </c>
      <c r="U903" t="s">
        <v>74</v>
      </c>
      <c r="V903" t="s">
        <v>74</v>
      </c>
      <c r="W903" t="s">
        <v>74</v>
      </c>
      <c r="X903" t="s">
        <v>74</v>
      </c>
      <c r="Y903" t="s">
        <v>74</v>
      </c>
      <c r="Z903" t="s">
        <v>74</v>
      </c>
      <c r="AA903" t="s">
        <v>6427</v>
      </c>
      <c r="AB903" t="s">
        <v>6428</v>
      </c>
      <c r="AC903" t="s">
        <v>74</v>
      </c>
      <c r="AD903" t="s">
        <v>74</v>
      </c>
      <c r="AE903" t="s">
        <v>74</v>
      </c>
      <c r="AF903" t="s">
        <v>74</v>
      </c>
      <c r="AG903" t="s">
        <v>74</v>
      </c>
      <c r="AH903" t="s">
        <v>74</v>
      </c>
      <c r="AI903" t="s">
        <v>74</v>
      </c>
      <c r="AJ903" t="s">
        <v>74</v>
      </c>
      <c r="AK903" t="s">
        <v>74</v>
      </c>
      <c r="AL903" t="s">
        <v>74</v>
      </c>
      <c r="AM903" t="s">
        <v>74</v>
      </c>
      <c r="AN903" t="s">
        <v>74</v>
      </c>
      <c r="AO903" t="s">
        <v>2828</v>
      </c>
      <c r="AP903" t="s">
        <v>74</v>
      </c>
      <c r="AQ903" t="s">
        <v>74</v>
      </c>
      <c r="AR903" t="s">
        <v>74</v>
      </c>
      <c r="AS903" t="s">
        <v>74</v>
      </c>
      <c r="AT903" t="s">
        <v>74</v>
      </c>
      <c r="AU903">
        <v>1997</v>
      </c>
      <c r="AV903">
        <v>156</v>
      </c>
      <c r="AW903" t="s">
        <v>74</v>
      </c>
      <c r="AX903" t="s">
        <v>74</v>
      </c>
      <c r="AY903" t="s">
        <v>74</v>
      </c>
      <c r="AZ903" t="s">
        <v>74</v>
      </c>
      <c r="BA903" t="s">
        <v>74</v>
      </c>
      <c r="BB903">
        <v>275</v>
      </c>
      <c r="BC903">
        <v>288</v>
      </c>
      <c r="BD903" t="s">
        <v>74</v>
      </c>
      <c r="BE903" t="s">
        <v>6429</v>
      </c>
      <c r="BF903" t="str">
        <f>HYPERLINK("http://dx.doi.org/10.3354/meps156275","http://dx.doi.org/10.3354/meps156275")</f>
        <v>http://dx.doi.org/10.3354/meps156275</v>
      </c>
      <c r="BG903" t="s">
        <v>74</v>
      </c>
      <c r="BH903" t="s">
        <v>74</v>
      </c>
      <c r="BI903" t="s">
        <v>74</v>
      </c>
      <c r="BJ903" t="s">
        <v>74</v>
      </c>
      <c r="BK903" t="s">
        <v>74</v>
      </c>
      <c r="BL903" t="s">
        <v>74</v>
      </c>
      <c r="BM903" t="s">
        <v>74</v>
      </c>
      <c r="BN903" t="s">
        <v>74</v>
      </c>
      <c r="BO903" t="s">
        <v>74</v>
      </c>
      <c r="BP903" t="s">
        <v>74</v>
      </c>
      <c r="BQ903" t="s">
        <v>74</v>
      </c>
      <c r="BR903" t="s">
        <v>74</v>
      </c>
      <c r="BS903" t="s">
        <v>6430</v>
      </c>
      <c r="BT903" t="str">
        <f>HYPERLINK("https%3A%2F%2Fwww.webofscience.com%2Fwos%2Fwoscc%2Ffull-record%2FWOS:A1997XZ98100026","View Full Record in Web of Science")</f>
        <v>View Full Record in Web of Science</v>
      </c>
    </row>
    <row r="904" spans="1:72" x14ac:dyDescent="0.2">
      <c r="A904" t="s">
        <v>72</v>
      </c>
      <c r="B904" t="s">
        <v>6431</v>
      </c>
      <c r="C904" t="s">
        <v>74</v>
      </c>
      <c r="D904" t="s">
        <v>74</v>
      </c>
      <c r="E904" t="s">
        <v>74</v>
      </c>
      <c r="F904" t="s">
        <v>6431</v>
      </c>
      <c r="G904" t="s">
        <v>74</v>
      </c>
      <c r="H904" t="s">
        <v>74</v>
      </c>
      <c r="I904" t="s">
        <v>6432</v>
      </c>
      <c r="J904" t="s">
        <v>124</v>
      </c>
      <c r="K904" t="s">
        <v>74</v>
      </c>
      <c r="L904" t="s">
        <v>74</v>
      </c>
      <c r="M904" t="s">
        <v>74</v>
      </c>
      <c r="N904" t="s">
        <v>74</v>
      </c>
      <c r="O904" t="s">
        <v>74</v>
      </c>
      <c r="P904" t="s">
        <v>74</v>
      </c>
      <c r="Q904" t="s">
        <v>74</v>
      </c>
      <c r="R904" t="s">
        <v>74</v>
      </c>
      <c r="S904" t="s">
        <v>74</v>
      </c>
      <c r="T904" t="s">
        <v>74</v>
      </c>
      <c r="U904" t="s">
        <v>74</v>
      </c>
      <c r="V904" t="s">
        <v>74</v>
      </c>
      <c r="W904" t="s">
        <v>74</v>
      </c>
      <c r="X904" t="s">
        <v>74</v>
      </c>
      <c r="Y904" t="s">
        <v>74</v>
      </c>
      <c r="Z904" t="s">
        <v>74</v>
      </c>
      <c r="AA904" t="s">
        <v>6433</v>
      </c>
      <c r="AB904" t="s">
        <v>6434</v>
      </c>
      <c r="AC904" t="s">
        <v>74</v>
      </c>
      <c r="AD904" t="s">
        <v>74</v>
      </c>
      <c r="AE904" t="s">
        <v>74</v>
      </c>
      <c r="AF904" t="s">
        <v>74</v>
      </c>
      <c r="AG904" t="s">
        <v>74</v>
      </c>
      <c r="AH904" t="s">
        <v>74</v>
      </c>
      <c r="AI904" t="s">
        <v>74</v>
      </c>
      <c r="AJ904" t="s">
        <v>74</v>
      </c>
      <c r="AK904" t="s">
        <v>74</v>
      </c>
      <c r="AL904" t="s">
        <v>74</v>
      </c>
      <c r="AM904" t="s">
        <v>74</v>
      </c>
      <c r="AN904" t="s">
        <v>74</v>
      </c>
      <c r="AO904" t="s">
        <v>127</v>
      </c>
      <c r="AP904" t="s">
        <v>74</v>
      </c>
      <c r="AQ904" t="s">
        <v>74</v>
      </c>
      <c r="AR904" t="s">
        <v>74</v>
      </c>
      <c r="AS904" t="s">
        <v>74</v>
      </c>
      <c r="AT904" t="s">
        <v>6435</v>
      </c>
      <c r="AU904">
        <v>1996</v>
      </c>
      <c r="AV904">
        <v>341</v>
      </c>
      <c r="AW904">
        <v>3</v>
      </c>
      <c r="AX904" t="s">
        <v>74</v>
      </c>
      <c r="AY904" t="s">
        <v>74</v>
      </c>
      <c r="AZ904" t="s">
        <v>74</v>
      </c>
      <c r="BA904" t="s">
        <v>74</v>
      </c>
      <c r="BB904">
        <v>235</v>
      </c>
      <c r="BC904">
        <v>245</v>
      </c>
      <c r="BD904" t="s">
        <v>74</v>
      </c>
      <c r="BE904" t="s">
        <v>6436</v>
      </c>
      <c r="BF904" t="str">
        <f>HYPERLINK("http://dx.doi.org/10.1007/BF00014688","http://dx.doi.org/10.1007/BF00014688")</f>
        <v>http://dx.doi.org/10.1007/BF00014688</v>
      </c>
      <c r="BG904" t="s">
        <v>74</v>
      </c>
      <c r="BH904" t="s">
        <v>74</v>
      </c>
      <c r="BI904" t="s">
        <v>74</v>
      </c>
      <c r="BJ904" t="s">
        <v>74</v>
      </c>
      <c r="BK904" t="s">
        <v>74</v>
      </c>
      <c r="BL904" t="s">
        <v>74</v>
      </c>
      <c r="BM904" t="s">
        <v>74</v>
      </c>
      <c r="BN904" t="s">
        <v>74</v>
      </c>
      <c r="BO904" t="s">
        <v>74</v>
      </c>
      <c r="BP904" t="s">
        <v>74</v>
      </c>
      <c r="BQ904" t="s">
        <v>74</v>
      </c>
      <c r="BR904" t="s">
        <v>74</v>
      </c>
      <c r="BS904" t="s">
        <v>6437</v>
      </c>
      <c r="BT904" t="str">
        <f>HYPERLINK("https%3A%2F%2Fwww.webofscience.com%2Fwos%2Fwoscc%2Ffull-record%2FWOS:A1996WT11300005","View Full Record in Web of Science")</f>
        <v>View Full Record in Web of Science</v>
      </c>
    </row>
    <row r="905" spans="1:72" x14ac:dyDescent="0.2">
      <c r="A905" t="s">
        <v>72</v>
      </c>
      <c r="B905" t="s">
        <v>6438</v>
      </c>
      <c r="C905" t="s">
        <v>74</v>
      </c>
      <c r="D905" t="s">
        <v>74</v>
      </c>
      <c r="E905" t="s">
        <v>74</v>
      </c>
      <c r="F905" t="s">
        <v>6438</v>
      </c>
      <c r="G905" t="s">
        <v>74</v>
      </c>
      <c r="H905" t="s">
        <v>74</v>
      </c>
      <c r="I905" t="s">
        <v>6439</v>
      </c>
      <c r="J905" t="s">
        <v>1523</v>
      </c>
      <c r="K905" t="s">
        <v>74</v>
      </c>
      <c r="L905" t="s">
        <v>74</v>
      </c>
      <c r="M905" t="s">
        <v>74</v>
      </c>
      <c r="N905" t="s">
        <v>74</v>
      </c>
      <c r="O905" t="s">
        <v>74</v>
      </c>
      <c r="P905" t="s">
        <v>74</v>
      </c>
      <c r="Q905" t="s">
        <v>74</v>
      </c>
      <c r="R905" t="s">
        <v>74</v>
      </c>
      <c r="S905" t="s">
        <v>74</v>
      </c>
      <c r="T905" t="s">
        <v>74</v>
      </c>
      <c r="U905" t="s">
        <v>74</v>
      </c>
      <c r="V905" t="s">
        <v>74</v>
      </c>
      <c r="W905" t="s">
        <v>74</v>
      </c>
      <c r="X905" t="s">
        <v>74</v>
      </c>
      <c r="Y905" t="s">
        <v>74</v>
      </c>
      <c r="Z905" t="s">
        <v>74</v>
      </c>
      <c r="AA905" t="s">
        <v>74</v>
      </c>
      <c r="AB905" t="s">
        <v>74</v>
      </c>
      <c r="AC905" t="s">
        <v>74</v>
      </c>
      <c r="AD905" t="s">
        <v>74</v>
      </c>
      <c r="AE905" t="s">
        <v>74</v>
      </c>
      <c r="AF905" t="s">
        <v>74</v>
      </c>
      <c r="AG905" t="s">
        <v>74</v>
      </c>
      <c r="AH905" t="s">
        <v>74</v>
      </c>
      <c r="AI905" t="s">
        <v>74</v>
      </c>
      <c r="AJ905" t="s">
        <v>74</v>
      </c>
      <c r="AK905" t="s">
        <v>74</v>
      </c>
      <c r="AL905" t="s">
        <v>74</v>
      </c>
      <c r="AM905" t="s">
        <v>74</v>
      </c>
      <c r="AN905" t="s">
        <v>74</v>
      </c>
      <c r="AO905" t="s">
        <v>1524</v>
      </c>
      <c r="AP905" t="s">
        <v>74</v>
      </c>
      <c r="AQ905" t="s">
        <v>74</v>
      </c>
      <c r="AR905" t="s">
        <v>74</v>
      </c>
      <c r="AS905" t="s">
        <v>74</v>
      </c>
      <c r="AT905" t="s">
        <v>82</v>
      </c>
      <c r="AU905">
        <v>1996</v>
      </c>
      <c r="AV905">
        <v>77</v>
      </c>
      <c r="AW905">
        <v>8</v>
      </c>
      <c r="AX905" t="s">
        <v>74</v>
      </c>
      <c r="AY905" t="s">
        <v>74</v>
      </c>
      <c r="AZ905" t="s">
        <v>74</v>
      </c>
      <c r="BA905" t="s">
        <v>74</v>
      </c>
      <c r="BB905">
        <v>2382</v>
      </c>
      <c r="BC905">
        <v>2392</v>
      </c>
      <c r="BD905" t="s">
        <v>74</v>
      </c>
      <c r="BE905" t="s">
        <v>6440</v>
      </c>
      <c r="BF905" t="str">
        <f>HYPERLINK("http://dx.doi.org/10.2307/2265740","http://dx.doi.org/10.2307/2265740")</f>
        <v>http://dx.doi.org/10.2307/2265740</v>
      </c>
      <c r="BG905" t="s">
        <v>74</v>
      </c>
      <c r="BH905" t="s">
        <v>74</v>
      </c>
      <c r="BI905" t="s">
        <v>74</v>
      </c>
      <c r="BJ905" t="s">
        <v>74</v>
      </c>
      <c r="BK905" t="s">
        <v>74</v>
      </c>
      <c r="BL905" t="s">
        <v>74</v>
      </c>
      <c r="BM905" t="s">
        <v>74</v>
      </c>
      <c r="BN905" t="s">
        <v>74</v>
      </c>
      <c r="BO905" t="s">
        <v>74</v>
      </c>
      <c r="BP905" t="s">
        <v>74</v>
      </c>
      <c r="BQ905" t="s">
        <v>74</v>
      </c>
      <c r="BR905" t="s">
        <v>74</v>
      </c>
      <c r="BS905" t="s">
        <v>6441</v>
      </c>
      <c r="BT905" t="str">
        <f>HYPERLINK("https%3A%2F%2Fwww.webofscience.com%2Fwos%2Fwoscc%2Ffull-record%2FWOS:A1996VY49700011","View Full Record in Web of Science")</f>
        <v>View Full Record in Web of Science</v>
      </c>
    </row>
    <row r="906" spans="1:72" x14ac:dyDescent="0.2">
      <c r="A906" t="s">
        <v>72</v>
      </c>
      <c r="B906" t="s">
        <v>6442</v>
      </c>
      <c r="C906" t="s">
        <v>74</v>
      </c>
      <c r="D906" t="s">
        <v>74</v>
      </c>
      <c r="E906" t="s">
        <v>74</v>
      </c>
      <c r="F906" t="s">
        <v>6442</v>
      </c>
      <c r="G906" t="s">
        <v>74</v>
      </c>
      <c r="H906" t="s">
        <v>74</v>
      </c>
      <c r="I906" t="s">
        <v>6443</v>
      </c>
      <c r="J906" t="s">
        <v>1299</v>
      </c>
      <c r="K906" t="s">
        <v>74</v>
      </c>
      <c r="L906" t="s">
        <v>74</v>
      </c>
      <c r="M906" t="s">
        <v>74</v>
      </c>
      <c r="N906" t="s">
        <v>74</v>
      </c>
      <c r="O906" t="s">
        <v>74</v>
      </c>
      <c r="P906" t="s">
        <v>74</v>
      </c>
      <c r="Q906" t="s">
        <v>74</v>
      </c>
      <c r="R906" t="s">
        <v>74</v>
      </c>
      <c r="S906" t="s">
        <v>74</v>
      </c>
      <c r="T906" t="s">
        <v>74</v>
      </c>
      <c r="U906" t="s">
        <v>74</v>
      </c>
      <c r="V906" t="s">
        <v>74</v>
      </c>
      <c r="W906" t="s">
        <v>74</v>
      </c>
      <c r="X906" t="s">
        <v>74</v>
      </c>
      <c r="Y906" t="s">
        <v>74</v>
      </c>
      <c r="Z906" t="s">
        <v>74</v>
      </c>
      <c r="AA906" t="s">
        <v>3566</v>
      </c>
      <c r="AB906" t="s">
        <v>6422</v>
      </c>
      <c r="AC906" t="s">
        <v>74</v>
      </c>
      <c r="AD906" t="s">
        <v>74</v>
      </c>
      <c r="AE906" t="s">
        <v>74</v>
      </c>
      <c r="AF906" t="s">
        <v>74</v>
      </c>
      <c r="AG906" t="s">
        <v>74</v>
      </c>
      <c r="AH906" t="s">
        <v>74</v>
      </c>
      <c r="AI906" t="s">
        <v>74</v>
      </c>
      <c r="AJ906" t="s">
        <v>74</v>
      </c>
      <c r="AK906" t="s">
        <v>74</v>
      </c>
      <c r="AL906" t="s">
        <v>74</v>
      </c>
      <c r="AM906" t="s">
        <v>74</v>
      </c>
      <c r="AN906" t="s">
        <v>74</v>
      </c>
      <c r="AO906" t="s">
        <v>1302</v>
      </c>
      <c r="AP906" t="s">
        <v>74</v>
      </c>
      <c r="AQ906" t="s">
        <v>74</v>
      </c>
      <c r="AR906" t="s">
        <v>74</v>
      </c>
      <c r="AS906" t="s">
        <v>74</v>
      </c>
      <c r="AT906" t="s">
        <v>82</v>
      </c>
      <c r="AU906">
        <v>1996</v>
      </c>
      <c r="AV906">
        <v>108</v>
      </c>
      <c r="AW906">
        <v>4</v>
      </c>
      <c r="AX906" t="s">
        <v>74</v>
      </c>
      <c r="AY906" t="s">
        <v>74</v>
      </c>
      <c r="AZ906" t="s">
        <v>74</v>
      </c>
      <c r="BA906" t="s">
        <v>74</v>
      </c>
      <c r="BB906">
        <v>627</v>
      </c>
      <c r="BC906">
        <v>630</v>
      </c>
      <c r="BD906" t="s">
        <v>74</v>
      </c>
      <c r="BE906" t="s">
        <v>6444</v>
      </c>
      <c r="BF906" t="str">
        <f>HYPERLINK("http://dx.doi.org/10.1007/BF00329035","http://dx.doi.org/10.1007/BF00329035")</f>
        <v>http://dx.doi.org/10.1007/BF00329035</v>
      </c>
      <c r="BG906" t="s">
        <v>74</v>
      </c>
      <c r="BH906" t="s">
        <v>74</v>
      </c>
      <c r="BI906" t="s">
        <v>74</v>
      </c>
      <c r="BJ906" t="s">
        <v>74</v>
      </c>
      <c r="BK906" t="s">
        <v>74</v>
      </c>
      <c r="BL906" t="s">
        <v>74</v>
      </c>
      <c r="BM906" t="s">
        <v>74</v>
      </c>
      <c r="BN906">
        <v>28307794</v>
      </c>
      <c r="BO906" t="s">
        <v>74</v>
      </c>
      <c r="BP906" t="s">
        <v>74</v>
      </c>
      <c r="BQ906" t="s">
        <v>74</v>
      </c>
      <c r="BR906" t="s">
        <v>74</v>
      </c>
      <c r="BS906" t="s">
        <v>6445</v>
      </c>
      <c r="BT906" t="str">
        <f>HYPERLINK("https%3A%2F%2Fwww.webofscience.com%2Fwos%2Fwoscc%2Ffull-record%2FWOS:A1996VX11000006","View Full Record in Web of Science")</f>
        <v>View Full Record in Web of Science</v>
      </c>
    </row>
    <row r="907" spans="1:72" x14ac:dyDescent="0.2">
      <c r="A907" t="s">
        <v>72</v>
      </c>
      <c r="B907" t="s">
        <v>6446</v>
      </c>
      <c r="C907" t="s">
        <v>74</v>
      </c>
      <c r="D907" t="s">
        <v>74</v>
      </c>
      <c r="E907" t="s">
        <v>74</v>
      </c>
      <c r="F907" t="s">
        <v>6446</v>
      </c>
      <c r="G907" t="s">
        <v>74</v>
      </c>
      <c r="H907" t="s">
        <v>74</v>
      </c>
      <c r="I907" t="s">
        <v>6447</v>
      </c>
      <c r="J907" t="s">
        <v>106</v>
      </c>
      <c r="K907" t="s">
        <v>74</v>
      </c>
      <c r="L907" t="s">
        <v>74</v>
      </c>
      <c r="M907" t="s">
        <v>74</v>
      </c>
      <c r="N907" t="s">
        <v>74</v>
      </c>
      <c r="O907" t="s">
        <v>74</v>
      </c>
      <c r="P907" t="s">
        <v>74</v>
      </c>
      <c r="Q907" t="s">
        <v>74</v>
      </c>
      <c r="R907" t="s">
        <v>74</v>
      </c>
      <c r="S907" t="s">
        <v>74</v>
      </c>
      <c r="T907" t="s">
        <v>74</v>
      </c>
      <c r="U907" t="s">
        <v>74</v>
      </c>
      <c r="V907" t="s">
        <v>74</v>
      </c>
      <c r="W907" t="s">
        <v>74</v>
      </c>
      <c r="X907" t="s">
        <v>74</v>
      </c>
      <c r="Y907" t="s">
        <v>74</v>
      </c>
      <c r="Z907" t="s">
        <v>74</v>
      </c>
      <c r="AA907" t="s">
        <v>74</v>
      </c>
      <c r="AB907" t="s">
        <v>74</v>
      </c>
      <c r="AC907" t="s">
        <v>74</v>
      </c>
      <c r="AD907" t="s">
        <v>74</v>
      </c>
      <c r="AE907" t="s">
        <v>74</v>
      </c>
      <c r="AF907" t="s">
        <v>74</v>
      </c>
      <c r="AG907" t="s">
        <v>74</v>
      </c>
      <c r="AH907" t="s">
        <v>74</v>
      </c>
      <c r="AI907" t="s">
        <v>74</v>
      </c>
      <c r="AJ907" t="s">
        <v>74</v>
      </c>
      <c r="AK907" t="s">
        <v>74</v>
      </c>
      <c r="AL907" t="s">
        <v>74</v>
      </c>
      <c r="AM907" t="s">
        <v>74</v>
      </c>
      <c r="AN907" t="s">
        <v>74</v>
      </c>
      <c r="AO907" t="s">
        <v>107</v>
      </c>
      <c r="AP907" t="s">
        <v>74</v>
      </c>
      <c r="AQ907" t="s">
        <v>74</v>
      </c>
      <c r="AR907" t="s">
        <v>74</v>
      </c>
      <c r="AS907" t="s">
        <v>74</v>
      </c>
      <c r="AT907" t="s">
        <v>335</v>
      </c>
      <c r="AU907">
        <v>1996</v>
      </c>
      <c r="AV907">
        <v>18</v>
      </c>
      <c r="AW907">
        <v>11</v>
      </c>
      <c r="AX907" t="s">
        <v>74</v>
      </c>
      <c r="AY907" t="s">
        <v>74</v>
      </c>
      <c r="AZ907" t="s">
        <v>74</v>
      </c>
      <c r="BA907" t="s">
        <v>74</v>
      </c>
      <c r="BB907">
        <v>2179</v>
      </c>
      <c r="BC907">
        <v>2196</v>
      </c>
      <c r="BD907" t="s">
        <v>74</v>
      </c>
      <c r="BE907" t="s">
        <v>6448</v>
      </c>
      <c r="BF907" t="str">
        <f>HYPERLINK("http://dx.doi.org/10.1093/plankt/18.11.2179","http://dx.doi.org/10.1093/plankt/18.11.2179")</f>
        <v>http://dx.doi.org/10.1093/plankt/18.11.2179</v>
      </c>
      <c r="BG907" t="s">
        <v>74</v>
      </c>
      <c r="BH907" t="s">
        <v>74</v>
      </c>
      <c r="BI907" t="s">
        <v>74</v>
      </c>
      <c r="BJ907" t="s">
        <v>74</v>
      </c>
      <c r="BK907" t="s">
        <v>74</v>
      </c>
      <c r="BL907" t="s">
        <v>74</v>
      </c>
      <c r="BM907" t="s">
        <v>74</v>
      </c>
      <c r="BN907" t="s">
        <v>74</v>
      </c>
      <c r="BO907" t="s">
        <v>74</v>
      </c>
      <c r="BP907" t="s">
        <v>74</v>
      </c>
      <c r="BQ907" t="s">
        <v>74</v>
      </c>
      <c r="BR907" t="s">
        <v>74</v>
      </c>
      <c r="BS907" t="s">
        <v>6449</v>
      </c>
      <c r="BT907" t="str">
        <f>HYPERLINK("https%3A%2F%2Fwww.webofscience.com%2Fwos%2Fwoscc%2Ffull-record%2FWOS:A1996VX63700011","View Full Record in Web of Science")</f>
        <v>View Full Record in Web of Science</v>
      </c>
    </row>
    <row r="908" spans="1:72" x14ac:dyDescent="0.2">
      <c r="A908" t="s">
        <v>72</v>
      </c>
      <c r="B908" t="s">
        <v>6450</v>
      </c>
      <c r="C908" t="s">
        <v>74</v>
      </c>
      <c r="D908" t="s">
        <v>74</v>
      </c>
      <c r="E908" t="s">
        <v>74</v>
      </c>
      <c r="F908" t="s">
        <v>6450</v>
      </c>
      <c r="G908" t="s">
        <v>74</v>
      </c>
      <c r="H908" t="s">
        <v>74</v>
      </c>
      <c r="I908" t="s">
        <v>6451</v>
      </c>
      <c r="J908" t="s">
        <v>2769</v>
      </c>
      <c r="K908" t="s">
        <v>74</v>
      </c>
      <c r="L908" t="s">
        <v>74</v>
      </c>
      <c r="M908" t="s">
        <v>74</v>
      </c>
      <c r="N908" t="s">
        <v>74</v>
      </c>
      <c r="O908" t="s">
        <v>74</v>
      </c>
      <c r="P908" t="s">
        <v>74</v>
      </c>
      <c r="Q908" t="s">
        <v>74</v>
      </c>
      <c r="R908" t="s">
        <v>74</v>
      </c>
      <c r="S908" t="s">
        <v>74</v>
      </c>
      <c r="T908" t="s">
        <v>74</v>
      </c>
      <c r="U908" t="s">
        <v>74</v>
      </c>
      <c r="V908" t="s">
        <v>74</v>
      </c>
      <c r="W908" t="s">
        <v>74</v>
      </c>
      <c r="X908" t="s">
        <v>74</v>
      </c>
      <c r="Y908" t="s">
        <v>74</v>
      </c>
      <c r="Z908" t="s">
        <v>74</v>
      </c>
      <c r="AA908" t="s">
        <v>6452</v>
      </c>
      <c r="AB908" t="s">
        <v>6453</v>
      </c>
      <c r="AC908" t="s">
        <v>74</v>
      </c>
      <c r="AD908" t="s">
        <v>74</v>
      </c>
      <c r="AE908" t="s">
        <v>74</v>
      </c>
      <c r="AF908" t="s">
        <v>74</v>
      </c>
      <c r="AG908" t="s">
        <v>74</v>
      </c>
      <c r="AH908" t="s">
        <v>74</v>
      </c>
      <c r="AI908" t="s">
        <v>74</v>
      </c>
      <c r="AJ908" t="s">
        <v>74</v>
      </c>
      <c r="AK908" t="s">
        <v>74</v>
      </c>
      <c r="AL908" t="s">
        <v>74</v>
      </c>
      <c r="AM908" t="s">
        <v>74</v>
      </c>
      <c r="AN908" t="s">
        <v>74</v>
      </c>
      <c r="AO908" t="s">
        <v>2772</v>
      </c>
      <c r="AP908" t="s">
        <v>74</v>
      </c>
      <c r="AQ908" t="s">
        <v>74</v>
      </c>
      <c r="AR908" t="s">
        <v>74</v>
      </c>
      <c r="AS908" t="s">
        <v>74</v>
      </c>
      <c r="AT908" t="s">
        <v>6454</v>
      </c>
      <c r="AU908">
        <v>1996</v>
      </c>
      <c r="AV908">
        <v>10</v>
      </c>
      <c r="AW908">
        <v>3</v>
      </c>
      <c r="AX908" t="s">
        <v>74</v>
      </c>
      <c r="AY908" t="s">
        <v>74</v>
      </c>
      <c r="AZ908" t="s">
        <v>74</v>
      </c>
      <c r="BA908" t="s">
        <v>74</v>
      </c>
      <c r="BB908">
        <v>255</v>
      </c>
      <c r="BC908">
        <v>263</v>
      </c>
      <c r="BD908" t="s">
        <v>74</v>
      </c>
      <c r="BE908" t="s">
        <v>6455</v>
      </c>
      <c r="BF908" t="str">
        <f>HYPERLINK("http://dx.doi.org/10.3354/ame010255","http://dx.doi.org/10.3354/ame010255")</f>
        <v>http://dx.doi.org/10.3354/ame010255</v>
      </c>
      <c r="BG908" t="s">
        <v>74</v>
      </c>
      <c r="BH908" t="s">
        <v>74</v>
      </c>
      <c r="BI908" t="s">
        <v>74</v>
      </c>
      <c r="BJ908" t="s">
        <v>74</v>
      </c>
      <c r="BK908" t="s">
        <v>74</v>
      </c>
      <c r="BL908" t="s">
        <v>74</v>
      </c>
      <c r="BM908" t="s">
        <v>74</v>
      </c>
      <c r="BN908" t="s">
        <v>74</v>
      </c>
      <c r="BO908" t="s">
        <v>74</v>
      </c>
      <c r="BP908" t="s">
        <v>74</v>
      </c>
      <c r="BQ908" t="s">
        <v>74</v>
      </c>
      <c r="BR908" t="s">
        <v>74</v>
      </c>
      <c r="BS908" t="s">
        <v>6456</v>
      </c>
      <c r="BT908" t="str">
        <f>HYPERLINK("https%3A%2F%2Fwww.webofscience.com%2Fwos%2Fwoscc%2Ffull-record%2FWOS:A1996UV15800005","View Full Record in Web of Science")</f>
        <v>View Full Record in Web of Science</v>
      </c>
    </row>
    <row r="909" spans="1:72" x14ac:dyDescent="0.2">
      <c r="A909" t="s">
        <v>72</v>
      </c>
      <c r="B909" t="s">
        <v>6457</v>
      </c>
      <c r="C909" t="s">
        <v>74</v>
      </c>
      <c r="D909" t="s">
        <v>74</v>
      </c>
      <c r="E909" t="s">
        <v>74</v>
      </c>
      <c r="F909" t="s">
        <v>6457</v>
      </c>
      <c r="G909" t="s">
        <v>74</v>
      </c>
      <c r="H909" t="s">
        <v>74</v>
      </c>
      <c r="I909" t="s">
        <v>6458</v>
      </c>
      <c r="J909" t="s">
        <v>1523</v>
      </c>
      <c r="K909" t="s">
        <v>74</v>
      </c>
      <c r="L909" t="s">
        <v>74</v>
      </c>
      <c r="M909" t="s">
        <v>74</v>
      </c>
      <c r="N909" t="s">
        <v>74</v>
      </c>
      <c r="O909" t="s">
        <v>74</v>
      </c>
      <c r="P909" t="s">
        <v>74</v>
      </c>
      <c r="Q909" t="s">
        <v>74</v>
      </c>
      <c r="R909" t="s">
        <v>74</v>
      </c>
      <c r="S909" t="s">
        <v>74</v>
      </c>
      <c r="T909" t="s">
        <v>74</v>
      </c>
      <c r="U909" t="s">
        <v>74</v>
      </c>
      <c r="V909" t="s">
        <v>74</v>
      </c>
      <c r="W909" t="s">
        <v>74</v>
      </c>
      <c r="X909" t="s">
        <v>74</v>
      </c>
      <c r="Y909" t="s">
        <v>74</v>
      </c>
      <c r="Z909" t="s">
        <v>74</v>
      </c>
      <c r="AA909" t="s">
        <v>74</v>
      </c>
      <c r="AB909" t="s">
        <v>74</v>
      </c>
      <c r="AC909" t="s">
        <v>74</v>
      </c>
      <c r="AD909" t="s">
        <v>74</v>
      </c>
      <c r="AE909" t="s">
        <v>74</v>
      </c>
      <c r="AF909" t="s">
        <v>74</v>
      </c>
      <c r="AG909" t="s">
        <v>74</v>
      </c>
      <c r="AH909" t="s">
        <v>74</v>
      </c>
      <c r="AI909" t="s">
        <v>74</v>
      </c>
      <c r="AJ909" t="s">
        <v>74</v>
      </c>
      <c r="AK909" t="s">
        <v>74</v>
      </c>
      <c r="AL909" t="s">
        <v>74</v>
      </c>
      <c r="AM909" t="s">
        <v>74</v>
      </c>
      <c r="AN909" t="s">
        <v>74</v>
      </c>
      <c r="AO909" t="s">
        <v>1524</v>
      </c>
      <c r="AP909" t="s">
        <v>74</v>
      </c>
      <c r="AQ909" t="s">
        <v>74</v>
      </c>
      <c r="AR909" t="s">
        <v>74</v>
      </c>
      <c r="AS909" t="s">
        <v>74</v>
      </c>
      <c r="AT909" t="s">
        <v>569</v>
      </c>
      <c r="AU909">
        <v>1996</v>
      </c>
      <c r="AV909">
        <v>77</v>
      </c>
      <c r="AW909">
        <v>4</v>
      </c>
      <c r="AX909" t="s">
        <v>74</v>
      </c>
      <c r="AY909" t="s">
        <v>74</v>
      </c>
      <c r="AZ909" t="s">
        <v>74</v>
      </c>
      <c r="BA909" t="s">
        <v>74</v>
      </c>
      <c r="BB909">
        <v>1174</v>
      </c>
      <c r="BC909">
        <v>1180</v>
      </c>
      <c r="BD909" t="s">
        <v>74</v>
      </c>
      <c r="BE909" t="s">
        <v>6459</v>
      </c>
      <c r="BF909" t="str">
        <f>HYPERLINK("http://dx.doi.org/10.2307/2265586","http://dx.doi.org/10.2307/2265586")</f>
        <v>http://dx.doi.org/10.2307/2265586</v>
      </c>
      <c r="BG909" t="s">
        <v>74</v>
      </c>
      <c r="BH909" t="s">
        <v>74</v>
      </c>
      <c r="BI909" t="s">
        <v>74</v>
      </c>
      <c r="BJ909" t="s">
        <v>74</v>
      </c>
      <c r="BK909" t="s">
        <v>74</v>
      </c>
      <c r="BL909" t="s">
        <v>74</v>
      </c>
      <c r="BM909" t="s">
        <v>74</v>
      </c>
      <c r="BN909" t="s">
        <v>74</v>
      </c>
      <c r="BO909" t="s">
        <v>74</v>
      </c>
      <c r="BP909" t="s">
        <v>74</v>
      </c>
      <c r="BQ909" t="s">
        <v>74</v>
      </c>
      <c r="BR909" t="s">
        <v>74</v>
      </c>
      <c r="BS909" t="s">
        <v>6460</v>
      </c>
      <c r="BT909" t="str">
        <f>HYPERLINK("https%3A%2F%2Fwww.webofscience.com%2Fwos%2Fwoscc%2Ffull-record%2FWOS:A1996UN89400020","View Full Record in Web of Science")</f>
        <v>View Full Record in Web of Science</v>
      </c>
    </row>
    <row r="910" spans="1:72" x14ac:dyDescent="0.2">
      <c r="A910" t="s">
        <v>72</v>
      </c>
      <c r="B910" t="s">
        <v>6461</v>
      </c>
      <c r="C910" t="s">
        <v>74</v>
      </c>
      <c r="D910" t="s">
        <v>74</v>
      </c>
      <c r="E910" t="s">
        <v>74</v>
      </c>
      <c r="F910" t="s">
        <v>6461</v>
      </c>
      <c r="G910" t="s">
        <v>74</v>
      </c>
      <c r="H910" t="s">
        <v>74</v>
      </c>
      <c r="I910" t="s">
        <v>6462</v>
      </c>
      <c r="J910" t="s">
        <v>227</v>
      </c>
      <c r="K910" t="s">
        <v>74</v>
      </c>
      <c r="L910" t="s">
        <v>74</v>
      </c>
      <c r="M910" t="s">
        <v>74</v>
      </c>
      <c r="N910" t="s">
        <v>74</v>
      </c>
      <c r="O910" t="s">
        <v>74</v>
      </c>
      <c r="P910" t="s">
        <v>74</v>
      </c>
      <c r="Q910" t="s">
        <v>74</v>
      </c>
      <c r="R910" t="s">
        <v>74</v>
      </c>
      <c r="S910" t="s">
        <v>74</v>
      </c>
      <c r="T910" t="s">
        <v>74</v>
      </c>
      <c r="U910" t="s">
        <v>74</v>
      </c>
      <c r="V910" t="s">
        <v>74</v>
      </c>
      <c r="W910" t="s">
        <v>74</v>
      </c>
      <c r="X910" t="s">
        <v>74</v>
      </c>
      <c r="Y910" t="s">
        <v>74</v>
      </c>
      <c r="Z910" t="s">
        <v>74</v>
      </c>
      <c r="AA910" t="s">
        <v>74</v>
      </c>
      <c r="AB910" t="s">
        <v>74</v>
      </c>
      <c r="AC910" t="s">
        <v>74</v>
      </c>
      <c r="AD910" t="s">
        <v>74</v>
      </c>
      <c r="AE910" t="s">
        <v>74</v>
      </c>
      <c r="AF910" t="s">
        <v>74</v>
      </c>
      <c r="AG910" t="s">
        <v>74</v>
      </c>
      <c r="AH910" t="s">
        <v>74</v>
      </c>
      <c r="AI910" t="s">
        <v>74</v>
      </c>
      <c r="AJ910" t="s">
        <v>74</v>
      </c>
      <c r="AK910" t="s">
        <v>74</v>
      </c>
      <c r="AL910" t="s">
        <v>74</v>
      </c>
      <c r="AM910" t="s">
        <v>74</v>
      </c>
      <c r="AN910" t="s">
        <v>74</v>
      </c>
      <c r="AO910" t="s">
        <v>230</v>
      </c>
      <c r="AP910" t="s">
        <v>74</v>
      </c>
      <c r="AQ910" t="s">
        <v>74</v>
      </c>
      <c r="AR910" t="s">
        <v>74</v>
      </c>
      <c r="AS910" t="s">
        <v>74</v>
      </c>
      <c r="AT910" t="s">
        <v>569</v>
      </c>
      <c r="AU910">
        <v>1996</v>
      </c>
      <c r="AV910">
        <v>41</v>
      </c>
      <c r="AW910">
        <v>4</v>
      </c>
      <c r="AX910" t="s">
        <v>74</v>
      </c>
      <c r="AY910" t="s">
        <v>74</v>
      </c>
      <c r="AZ910" t="s">
        <v>74</v>
      </c>
      <c r="BA910" t="s">
        <v>74</v>
      </c>
      <c r="BB910">
        <v>648</v>
      </c>
      <c r="BC910">
        <v>658</v>
      </c>
      <c r="BD910" t="s">
        <v>74</v>
      </c>
      <c r="BE910" t="s">
        <v>6463</v>
      </c>
      <c r="BF910" t="str">
        <f>HYPERLINK("http://dx.doi.org/10.4319/lo.1996.41.4.0648","http://dx.doi.org/10.4319/lo.1996.41.4.0648")</f>
        <v>http://dx.doi.org/10.4319/lo.1996.41.4.0648</v>
      </c>
      <c r="BG910" t="s">
        <v>74</v>
      </c>
      <c r="BH910" t="s">
        <v>74</v>
      </c>
      <c r="BI910" t="s">
        <v>74</v>
      </c>
      <c r="BJ910" t="s">
        <v>74</v>
      </c>
      <c r="BK910" t="s">
        <v>74</v>
      </c>
      <c r="BL910" t="s">
        <v>74</v>
      </c>
      <c r="BM910" t="s">
        <v>74</v>
      </c>
      <c r="BN910" t="s">
        <v>74</v>
      </c>
      <c r="BO910" t="s">
        <v>74</v>
      </c>
      <c r="BP910" t="s">
        <v>74</v>
      </c>
      <c r="BQ910" t="s">
        <v>74</v>
      </c>
      <c r="BR910" t="s">
        <v>74</v>
      </c>
      <c r="BS910" t="s">
        <v>6464</v>
      </c>
      <c r="BT910" t="str">
        <f>HYPERLINK("https%3A%2F%2Fwww.webofscience.com%2Fwos%2Fwoscc%2Ffull-record%2FWOS:A1996VD30600006","View Full Record in Web of Science")</f>
        <v>View Full Record in Web of Science</v>
      </c>
    </row>
    <row r="911" spans="1:72" x14ac:dyDescent="0.2">
      <c r="A911" t="s">
        <v>72</v>
      </c>
      <c r="B911" t="s">
        <v>6465</v>
      </c>
      <c r="C911" t="s">
        <v>74</v>
      </c>
      <c r="D911" t="s">
        <v>74</v>
      </c>
      <c r="E911" t="s">
        <v>74</v>
      </c>
      <c r="F911" t="s">
        <v>6465</v>
      </c>
      <c r="G911" t="s">
        <v>74</v>
      </c>
      <c r="H911" t="s">
        <v>74</v>
      </c>
      <c r="I911" t="s">
        <v>6466</v>
      </c>
      <c r="J911" t="s">
        <v>4852</v>
      </c>
      <c r="K911" t="s">
        <v>74</v>
      </c>
      <c r="L911" t="s">
        <v>74</v>
      </c>
      <c r="M911" t="s">
        <v>74</v>
      </c>
      <c r="N911" t="s">
        <v>74</v>
      </c>
      <c r="O911" t="s">
        <v>74</v>
      </c>
      <c r="P911" t="s">
        <v>74</v>
      </c>
      <c r="Q911" t="s">
        <v>74</v>
      </c>
      <c r="R911" t="s">
        <v>74</v>
      </c>
      <c r="S911" t="s">
        <v>74</v>
      </c>
      <c r="T911" t="s">
        <v>74</v>
      </c>
      <c r="U911" t="s">
        <v>74</v>
      </c>
      <c r="V911" t="s">
        <v>74</v>
      </c>
      <c r="W911" t="s">
        <v>74</v>
      </c>
      <c r="X911" t="s">
        <v>74</v>
      </c>
      <c r="Y911" t="s">
        <v>74</v>
      </c>
      <c r="Z911" t="s">
        <v>74</v>
      </c>
      <c r="AA911" t="s">
        <v>6467</v>
      </c>
      <c r="AB911" t="s">
        <v>6468</v>
      </c>
      <c r="AC911" t="s">
        <v>74</v>
      </c>
      <c r="AD911" t="s">
        <v>74</v>
      </c>
      <c r="AE911" t="s">
        <v>74</v>
      </c>
      <c r="AF911" t="s">
        <v>74</v>
      </c>
      <c r="AG911" t="s">
        <v>74</v>
      </c>
      <c r="AH911" t="s">
        <v>74</v>
      </c>
      <c r="AI911" t="s">
        <v>74</v>
      </c>
      <c r="AJ911" t="s">
        <v>74</v>
      </c>
      <c r="AK911" t="s">
        <v>74</v>
      </c>
      <c r="AL911" t="s">
        <v>74</v>
      </c>
      <c r="AM911" t="s">
        <v>74</v>
      </c>
      <c r="AN911" t="s">
        <v>74</v>
      </c>
      <c r="AO911" t="s">
        <v>4855</v>
      </c>
      <c r="AP911" t="s">
        <v>74</v>
      </c>
      <c r="AQ911" t="s">
        <v>74</v>
      </c>
      <c r="AR911" t="s">
        <v>74</v>
      </c>
      <c r="AS911" t="s">
        <v>74</v>
      </c>
      <c r="AT911" t="s">
        <v>203</v>
      </c>
      <c r="AU911">
        <v>1996</v>
      </c>
      <c r="AV911">
        <v>45</v>
      </c>
      <c r="AW911">
        <v>4</v>
      </c>
      <c r="AX911" t="s">
        <v>74</v>
      </c>
      <c r="AY911" t="s">
        <v>74</v>
      </c>
      <c r="AZ911" t="s">
        <v>74</v>
      </c>
      <c r="BA911" t="s">
        <v>74</v>
      </c>
      <c r="BB911">
        <v>343</v>
      </c>
      <c r="BC911">
        <v>350</v>
      </c>
      <c r="BD911" t="s">
        <v>74</v>
      </c>
      <c r="BE911" t="s">
        <v>6469</v>
      </c>
      <c r="BF911" t="str">
        <f>HYPERLINK("http://dx.doi.org/10.1007/BF00002526","http://dx.doi.org/10.1007/BF00002526")</f>
        <v>http://dx.doi.org/10.1007/BF00002526</v>
      </c>
      <c r="BG911" t="s">
        <v>74</v>
      </c>
      <c r="BH911" t="s">
        <v>74</v>
      </c>
      <c r="BI911" t="s">
        <v>74</v>
      </c>
      <c r="BJ911" t="s">
        <v>74</v>
      </c>
      <c r="BK911" t="s">
        <v>74</v>
      </c>
      <c r="BL911" t="s">
        <v>74</v>
      </c>
      <c r="BM911" t="s">
        <v>74</v>
      </c>
      <c r="BN911" t="s">
        <v>74</v>
      </c>
      <c r="BO911" t="s">
        <v>74</v>
      </c>
      <c r="BP911" t="s">
        <v>74</v>
      </c>
      <c r="BQ911" t="s">
        <v>74</v>
      </c>
      <c r="BR911" t="s">
        <v>74</v>
      </c>
      <c r="BS911" t="s">
        <v>6470</v>
      </c>
      <c r="BT911" t="str">
        <f>HYPERLINK("https%3A%2F%2Fwww.webofscience.com%2Fwos%2Fwoscc%2Ffull-record%2FWOS:A1996UA94200003","View Full Record in Web of Science")</f>
        <v>View Full Record in Web of Science</v>
      </c>
    </row>
    <row r="912" spans="1:72" x14ac:dyDescent="0.2">
      <c r="A912" t="s">
        <v>72</v>
      </c>
      <c r="B912" t="s">
        <v>6471</v>
      </c>
      <c r="C912" t="s">
        <v>74</v>
      </c>
      <c r="D912" t="s">
        <v>74</v>
      </c>
      <c r="E912" t="s">
        <v>74</v>
      </c>
      <c r="F912" t="s">
        <v>6471</v>
      </c>
      <c r="G912" t="s">
        <v>74</v>
      </c>
      <c r="H912" t="s">
        <v>74</v>
      </c>
      <c r="I912" t="s">
        <v>6472</v>
      </c>
      <c r="J912" t="s">
        <v>106</v>
      </c>
      <c r="K912" t="s">
        <v>74</v>
      </c>
      <c r="L912" t="s">
        <v>74</v>
      </c>
      <c r="M912" t="s">
        <v>74</v>
      </c>
      <c r="N912" t="s">
        <v>74</v>
      </c>
      <c r="O912" t="s">
        <v>74</v>
      </c>
      <c r="P912" t="s">
        <v>74</v>
      </c>
      <c r="Q912" t="s">
        <v>74</v>
      </c>
      <c r="R912" t="s">
        <v>74</v>
      </c>
      <c r="S912" t="s">
        <v>74</v>
      </c>
      <c r="T912" t="s">
        <v>74</v>
      </c>
      <c r="U912" t="s">
        <v>74</v>
      </c>
      <c r="V912" t="s">
        <v>74</v>
      </c>
      <c r="W912" t="s">
        <v>74</v>
      </c>
      <c r="X912" t="s">
        <v>74</v>
      </c>
      <c r="Y912" t="s">
        <v>74</v>
      </c>
      <c r="Z912" t="s">
        <v>74</v>
      </c>
      <c r="AA912" t="s">
        <v>6473</v>
      </c>
      <c r="AB912" t="s">
        <v>6474</v>
      </c>
      <c r="AC912" t="s">
        <v>74</v>
      </c>
      <c r="AD912" t="s">
        <v>74</v>
      </c>
      <c r="AE912" t="s">
        <v>74</v>
      </c>
      <c r="AF912" t="s">
        <v>74</v>
      </c>
      <c r="AG912" t="s">
        <v>74</v>
      </c>
      <c r="AH912" t="s">
        <v>74</v>
      </c>
      <c r="AI912" t="s">
        <v>74</v>
      </c>
      <c r="AJ912" t="s">
        <v>74</v>
      </c>
      <c r="AK912" t="s">
        <v>74</v>
      </c>
      <c r="AL912" t="s">
        <v>74</v>
      </c>
      <c r="AM912" t="s">
        <v>74</v>
      </c>
      <c r="AN912" t="s">
        <v>74</v>
      </c>
      <c r="AO912" t="s">
        <v>107</v>
      </c>
      <c r="AP912" t="s">
        <v>108</v>
      </c>
      <c r="AQ912" t="s">
        <v>74</v>
      </c>
      <c r="AR912" t="s">
        <v>74</v>
      </c>
      <c r="AS912" t="s">
        <v>74</v>
      </c>
      <c r="AT912" t="s">
        <v>203</v>
      </c>
      <c r="AU912">
        <v>1996</v>
      </c>
      <c r="AV912">
        <v>18</v>
      </c>
      <c r="AW912">
        <v>4</v>
      </c>
      <c r="AX912" t="s">
        <v>74</v>
      </c>
      <c r="AY912" t="s">
        <v>74</v>
      </c>
      <c r="AZ912" t="s">
        <v>74</v>
      </c>
      <c r="BA912" t="s">
        <v>74</v>
      </c>
      <c r="BB912">
        <v>463</v>
      </c>
      <c r="BC912">
        <v>481</v>
      </c>
      <c r="BD912" t="s">
        <v>74</v>
      </c>
      <c r="BE912" t="s">
        <v>6475</v>
      </c>
      <c r="BF912" t="str">
        <f>HYPERLINK("http://dx.doi.org/10.1093/plankt/18.4.463","http://dx.doi.org/10.1093/plankt/18.4.463")</f>
        <v>http://dx.doi.org/10.1093/plankt/18.4.463</v>
      </c>
      <c r="BG912" t="s">
        <v>74</v>
      </c>
      <c r="BH912" t="s">
        <v>74</v>
      </c>
      <c r="BI912" t="s">
        <v>74</v>
      </c>
      <c r="BJ912" t="s">
        <v>74</v>
      </c>
      <c r="BK912" t="s">
        <v>74</v>
      </c>
      <c r="BL912" t="s">
        <v>74</v>
      </c>
      <c r="BM912" t="s">
        <v>74</v>
      </c>
      <c r="BN912" t="s">
        <v>74</v>
      </c>
      <c r="BO912" t="s">
        <v>74</v>
      </c>
      <c r="BP912" t="s">
        <v>74</v>
      </c>
      <c r="BQ912" t="s">
        <v>74</v>
      </c>
      <c r="BR912" t="s">
        <v>74</v>
      </c>
      <c r="BS912" t="s">
        <v>6476</v>
      </c>
      <c r="BT912" t="str">
        <f>HYPERLINK("https%3A%2F%2Fwww.webofscience.com%2Fwos%2Fwoscc%2Ffull-record%2FWOS:A1996UF93600001","View Full Record in Web of Science")</f>
        <v>View Full Record in Web of Science</v>
      </c>
    </row>
    <row r="913" spans="1:72" x14ac:dyDescent="0.2">
      <c r="A913" t="s">
        <v>72</v>
      </c>
      <c r="B913" t="s">
        <v>6477</v>
      </c>
      <c r="C913" t="s">
        <v>74</v>
      </c>
      <c r="D913" t="s">
        <v>74</v>
      </c>
      <c r="E913" t="s">
        <v>74</v>
      </c>
      <c r="F913" t="s">
        <v>6477</v>
      </c>
      <c r="G913" t="s">
        <v>74</v>
      </c>
      <c r="H913" t="s">
        <v>74</v>
      </c>
      <c r="I913" t="s">
        <v>6478</v>
      </c>
      <c r="J913" t="s">
        <v>2827</v>
      </c>
      <c r="K913" t="s">
        <v>74</v>
      </c>
      <c r="L913" t="s">
        <v>74</v>
      </c>
      <c r="M913" t="s">
        <v>74</v>
      </c>
      <c r="N913" t="s">
        <v>74</v>
      </c>
      <c r="O913" t="s">
        <v>74</v>
      </c>
      <c r="P913" t="s">
        <v>74</v>
      </c>
      <c r="Q913" t="s">
        <v>74</v>
      </c>
      <c r="R913" t="s">
        <v>74</v>
      </c>
      <c r="S913" t="s">
        <v>74</v>
      </c>
      <c r="T913" t="s">
        <v>74</v>
      </c>
      <c r="U913" t="s">
        <v>74</v>
      </c>
      <c r="V913" t="s">
        <v>74</v>
      </c>
      <c r="W913" t="s">
        <v>74</v>
      </c>
      <c r="X913" t="s">
        <v>74</v>
      </c>
      <c r="Y913" t="s">
        <v>74</v>
      </c>
      <c r="Z913" t="s">
        <v>74</v>
      </c>
      <c r="AA913" t="s">
        <v>74</v>
      </c>
      <c r="AB913" t="s">
        <v>6479</v>
      </c>
      <c r="AC913" t="s">
        <v>74</v>
      </c>
      <c r="AD913" t="s">
        <v>74</v>
      </c>
      <c r="AE913" t="s">
        <v>74</v>
      </c>
      <c r="AF913" t="s">
        <v>74</v>
      </c>
      <c r="AG913" t="s">
        <v>74</v>
      </c>
      <c r="AH913" t="s">
        <v>74</v>
      </c>
      <c r="AI913" t="s">
        <v>74</v>
      </c>
      <c r="AJ913" t="s">
        <v>74</v>
      </c>
      <c r="AK913" t="s">
        <v>74</v>
      </c>
      <c r="AL913" t="s">
        <v>74</v>
      </c>
      <c r="AM913" t="s">
        <v>74</v>
      </c>
      <c r="AN913" t="s">
        <v>74</v>
      </c>
      <c r="AO913" t="s">
        <v>2828</v>
      </c>
      <c r="AP913" t="s">
        <v>74</v>
      </c>
      <c r="AQ913" t="s">
        <v>74</v>
      </c>
      <c r="AR913" t="s">
        <v>74</v>
      </c>
      <c r="AS913" t="s">
        <v>74</v>
      </c>
      <c r="AT913" t="s">
        <v>416</v>
      </c>
      <c r="AU913">
        <v>1996</v>
      </c>
      <c r="AV913">
        <v>132</v>
      </c>
      <c r="AW913" t="s">
        <v>5469</v>
      </c>
      <c r="AX913" t="s">
        <v>74</v>
      </c>
      <c r="AY913" t="s">
        <v>74</v>
      </c>
      <c r="AZ913" t="s">
        <v>74</v>
      </c>
      <c r="BA913" t="s">
        <v>74</v>
      </c>
      <c r="BB913">
        <v>249</v>
      </c>
      <c r="BC913">
        <v>255</v>
      </c>
      <c r="BD913" t="s">
        <v>74</v>
      </c>
      <c r="BE913" t="s">
        <v>6480</v>
      </c>
      <c r="BF913" t="str">
        <f>HYPERLINK("http://dx.doi.org/10.3354/meps132249","http://dx.doi.org/10.3354/meps132249")</f>
        <v>http://dx.doi.org/10.3354/meps132249</v>
      </c>
      <c r="BG913" t="s">
        <v>74</v>
      </c>
      <c r="BH913" t="s">
        <v>74</v>
      </c>
      <c r="BI913" t="s">
        <v>74</v>
      </c>
      <c r="BJ913" t="s">
        <v>74</v>
      </c>
      <c r="BK913" t="s">
        <v>74</v>
      </c>
      <c r="BL913" t="s">
        <v>74</v>
      </c>
      <c r="BM913" t="s">
        <v>74</v>
      </c>
      <c r="BN913" t="s">
        <v>74</v>
      </c>
      <c r="BO913" t="s">
        <v>74</v>
      </c>
      <c r="BP913" t="s">
        <v>74</v>
      </c>
      <c r="BQ913" t="s">
        <v>74</v>
      </c>
      <c r="BR913" t="s">
        <v>74</v>
      </c>
      <c r="BS913" t="s">
        <v>6481</v>
      </c>
      <c r="BT913" t="str">
        <f>HYPERLINK("https%3A%2F%2Fwww.webofscience.com%2Fwos%2Fwoscc%2Ffull-record%2FWOS:A1996UD22300023","View Full Record in Web of Science")</f>
        <v>View Full Record in Web of Science</v>
      </c>
    </row>
    <row r="914" spans="1:72" x14ac:dyDescent="0.2">
      <c r="A914" t="s">
        <v>72</v>
      </c>
      <c r="B914" t="s">
        <v>6482</v>
      </c>
      <c r="C914" t="s">
        <v>74</v>
      </c>
      <c r="D914" t="s">
        <v>74</v>
      </c>
      <c r="E914" t="s">
        <v>74</v>
      </c>
      <c r="F914" t="s">
        <v>6482</v>
      </c>
      <c r="G914" t="s">
        <v>74</v>
      </c>
      <c r="H914" t="s">
        <v>74</v>
      </c>
      <c r="I914" t="s">
        <v>6483</v>
      </c>
      <c r="J914" t="s">
        <v>6484</v>
      </c>
      <c r="K914" t="s">
        <v>74</v>
      </c>
      <c r="L914" t="s">
        <v>74</v>
      </c>
      <c r="M914" t="s">
        <v>74</v>
      </c>
      <c r="N914" t="s">
        <v>74</v>
      </c>
      <c r="O914" t="s">
        <v>74</v>
      </c>
      <c r="P914" t="s">
        <v>74</v>
      </c>
      <c r="Q914" t="s">
        <v>74</v>
      </c>
      <c r="R914" t="s">
        <v>74</v>
      </c>
      <c r="S914" t="s">
        <v>74</v>
      </c>
      <c r="T914" t="s">
        <v>74</v>
      </c>
      <c r="U914" t="s">
        <v>74</v>
      </c>
      <c r="V914" t="s">
        <v>74</v>
      </c>
      <c r="W914" t="s">
        <v>74</v>
      </c>
      <c r="X914" t="s">
        <v>74</v>
      </c>
      <c r="Y914" t="s">
        <v>74</v>
      </c>
      <c r="Z914" t="s">
        <v>74</v>
      </c>
      <c r="AA914" t="s">
        <v>6485</v>
      </c>
      <c r="AB914" t="s">
        <v>6486</v>
      </c>
      <c r="AC914" t="s">
        <v>74</v>
      </c>
      <c r="AD914" t="s">
        <v>74</v>
      </c>
      <c r="AE914" t="s">
        <v>74</v>
      </c>
      <c r="AF914" t="s">
        <v>74</v>
      </c>
      <c r="AG914" t="s">
        <v>74</v>
      </c>
      <c r="AH914" t="s">
        <v>74</v>
      </c>
      <c r="AI914" t="s">
        <v>74</v>
      </c>
      <c r="AJ914" t="s">
        <v>74</v>
      </c>
      <c r="AK914" t="s">
        <v>74</v>
      </c>
      <c r="AL914" t="s">
        <v>74</v>
      </c>
      <c r="AM914" t="s">
        <v>74</v>
      </c>
      <c r="AN914" t="s">
        <v>74</v>
      </c>
      <c r="AO914" t="s">
        <v>6487</v>
      </c>
      <c r="AP914" t="s">
        <v>6488</v>
      </c>
      <c r="AQ914" t="s">
        <v>74</v>
      </c>
      <c r="AR914" t="s">
        <v>74</v>
      </c>
      <c r="AS914" t="s">
        <v>74</v>
      </c>
      <c r="AT914" t="s">
        <v>74</v>
      </c>
      <c r="AU914">
        <v>1996</v>
      </c>
      <c r="AV914">
        <v>3</v>
      </c>
      <c r="AW914">
        <v>4</v>
      </c>
      <c r="AX914" t="s">
        <v>74</v>
      </c>
      <c r="AY914" t="s">
        <v>74</v>
      </c>
      <c r="AZ914" t="s">
        <v>74</v>
      </c>
      <c r="BA914" t="s">
        <v>74</v>
      </c>
      <c r="BB914">
        <v>385</v>
      </c>
      <c r="BC914">
        <v>399</v>
      </c>
      <c r="BD914" t="s">
        <v>74</v>
      </c>
      <c r="BE914" t="s">
        <v>6489</v>
      </c>
      <c r="BF914" t="str">
        <f>HYPERLINK("http://dx.doi.org/10.1080/11956860.1996.11682356","http://dx.doi.org/10.1080/11956860.1996.11682356")</f>
        <v>http://dx.doi.org/10.1080/11956860.1996.11682356</v>
      </c>
      <c r="BG914" t="s">
        <v>74</v>
      </c>
      <c r="BH914" t="s">
        <v>74</v>
      </c>
      <c r="BI914" t="s">
        <v>74</v>
      </c>
      <c r="BJ914" t="s">
        <v>74</v>
      </c>
      <c r="BK914" t="s">
        <v>74</v>
      </c>
      <c r="BL914" t="s">
        <v>74</v>
      </c>
      <c r="BM914" t="s">
        <v>74</v>
      </c>
      <c r="BN914" t="s">
        <v>74</v>
      </c>
      <c r="BO914" t="s">
        <v>74</v>
      </c>
      <c r="BP914" t="s">
        <v>74</v>
      </c>
      <c r="BQ914" t="s">
        <v>74</v>
      </c>
      <c r="BR914" t="s">
        <v>74</v>
      </c>
      <c r="BS914" t="s">
        <v>6490</v>
      </c>
      <c r="BT914" t="str">
        <f>HYPERLINK("https%3A%2F%2Fwww.webofscience.com%2Fwos%2Fwoscc%2Ffull-record%2FWOS:A1996WD61600003","View Full Record in Web of Science")</f>
        <v>View Full Record in Web of Science</v>
      </c>
    </row>
    <row r="915" spans="1:72" x14ac:dyDescent="0.2">
      <c r="A915" t="s">
        <v>72</v>
      </c>
      <c r="B915" t="s">
        <v>6491</v>
      </c>
      <c r="C915" t="s">
        <v>74</v>
      </c>
      <c r="D915" t="s">
        <v>74</v>
      </c>
      <c r="E915" t="s">
        <v>74</v>
      </c>
      <c r="F915" t="s">
        <v>6491</v>
      </c>
      <c r="G915" t="s">
        <v>74</v>
      </c>
      <c r="H915" t="s">
        <v>74</v>
      </c>
      <c r="I915" t="s">
        <v>6492</v>
      </c>
      <c r="J915" t="s">
        <v>6493</v>
      </c>
      <c r="K915" t="s">
        <v>74</v>
      </c>
      <c r="L915" t="s">
        <v>74</v>
      </c>
      <c r="M915" t="s">
        <v>74</v>
      </c>
      <c r="N915" t="s">
        <v>74</v>
      </c>
      <c r="O915" t="s">
        <v>6494</v>
      </c>
      <c r="P915" t="s">
        <v>6495</v>
      </c>
      <c r="Q915" t="s">
        <v>6496</v>
      </c>
      <c r="R915" t="s">
        <v>6497</v>
      </c>
      <c r="S915" t="s">
        <v>74</v>
      </c>
      <c r="T915" t="s">
        <v>74</v>
      </c>
      <c r="U915" t="s">
        <v>74</v>
      </c>
      <c r="V915" t="s">
        <v>74</v>
      </c>
      <c r="W915" t="s">
        <v>74</v>
      </c>
      <c r="X915" t="s">
        <v>74</v>
      </c>
      <c r="Y915" t="s">
        <v>74</v>
      </c>
      <c r="Z915" t="s">
        <v>74</v>
      </c>
      <c r="AA915" t="s">
        <v>74</v>
      </c>
      <c r="AB915" t="s">
        <v>6498</v>
      </c>
      <c r="AC915" t="s">
        <v>74</v>
      </c>
      <c r="AD915" t="s">
        <v>74</v>
      </c>
      <c r="AE915" t="s">
        <v>74</v>
      </c>
      <c r="AF915" t="s">
        <v>74</v>
      </c>
      <c r="AG915" t="s">
        <v>74</v>
      </c>
      <c r="AH915" t="s">
        <v>74</v>
      </c>
      <c r="AI915" t="s">
        <v>74</v>
      </c>
      <c r="AJ915" t="s">
        <v>74</v>
      </c>
      <c r="AK915" t="s">
        <v>74</v>
      </c>
      <c r="AL915" t="s">
        <v>74</v>
      </c>
      <c r="AM915" t="s">
        <v>74</v>
      </c>
      <c r="AN915" t="s">
        <v>74</v>
      </c>
      <c r="AO915" t="s">
        <v>6499</v>
      </c>
      <c r="AP915" t="s">
        <v>74</v>
      </c>
      <c r="AQ915" t="s">
        <v>74</v>
      </c>
      <c r="AR915" t="s">
        <v>74</v>
      </c>
      <c r="AS915" t="s">
        <v>74</v>
      </c>
      <c r="AT915" t="s">
        <v>74</v>
      </c>
      <c r="AU915">
        <v>1996</v>
      </c>
      <c r="AV915">
        <v>9</v>
      </c>
      <c r="AW915" t="s">
        <v>74</v>
      </c>
      <c r="AX915" t="s">
        <v>74</v>
      </c>
      <c r="AY915" t="s">
        <v>74</v>
      </c>
      <c r="AZ915" t="s">
        <v>632</v>
      </c>
      <c r="BA915" t="s">
        <v>74</v>
      </c>
      <c r="BB915">
        <v>165</v>
      </c>
      <c r="BC915">
        <v>179</v>
      </c>
      <c r="BD915" t="s">
        <v>74</v>
      </c>
      <c r="BE915" t="s">
        <v>6500</v>
      </c>
      <c r="BF915" t="str">
        <f>HYPERLINK("http://dx.doi.org/10.1051/alr:1996051","http://dx.doi.org/10.1051/alr:1996051")</f>
        <v>http://dx.doi.org/10.1051/alr:1996051</v>
      </c>
      <c r="BG915" t="s">
        <v>74</v>
      </c>
      <c r="BH915" t="s">
        <v>74</v>
      </c>
      <c r="BI915" t="s">
        <v>74</v>
      </c>
      <c r="BJ915" t="s">
        <v>74</v>
      </c>
      <c r="BK915" t="s">
        <v>74</v>
      </c>
      <c r="BL915" t="s">
        <v>74</v>
      </c>
      <c r="BM915" t="s">
        <v>74</v>
      </c>
      <c r="BN915" t="s">
        <v>74</v>
      </c>
      <c r="BO915" t="s">
        <v>74</v>
      </c>
      <c r="BP915" t="s">
        <v>74</v>
      </c>
      <c r="BQ915" t="s">
        <v>74</v>
      </c>
      <c r="BR915" t="s">
        <v>74</v>
      </c>
      <c r="BS915" t="s">
        <v>6501</v>
      </c>
      <c r="BT915" t="str">
        <f>HYPERLINK("https%3A%2F%2Fwww.webofscience.com%2Fwos%2Fwoscc%2Ffull-record%2FWOS:A1996XJ35500014","View Full Record in Web of Science")</f>
        <v>View Full Record in Web of Science</v>
      </c>
    </row>
    <row r="916" spans="1:72" x14ac:dyDescent="0.2">
      <c r="A916" t="s">
        <v>72</v>
      </c>
      <c r="B916" t="s">
        <v>6502</v>
      </c>
      <c r="C916" t="s">
        <v>74</v>
      </c>
      <c r="D916" t="s">
        <v>74</v>
      </c>
      <c r="E916" t="s">
        <v>74</v>
      </c>
      <c r="F916" t="s">
        <v>6502</v>
      </c>
      <c r="G916" t="s">
        <v>74</v>
      </c>
      <c r="H916" t="s">
        <v>74</v>
      </c>
      <c r="I916" t="s">
        <v>6503</v>
      </c>
      <c r="J916" t="s">
        <v>244</v>
      </c>
      <c r="K916" t="s">
        <v>74</v>
      </c>
      <c r="L916" t="s">
        <v>74</v>
      </c>
      <c r="M916" t="s">
        <v>74</v>
      </c>
      <c r="N916" t="s">
        <v>74</v>
      </c>
      <c r="O916" t="s">
        <v>74</v>
      </c>
      <c r="P916" t="s">
        <v>74</v>
      </c>
      <c r="Q916" t="s">
        <v>74</v>
      </c>
      <c r="R916" t="s">
        <v>74</v>
      </c>
      <c r="S916" t="s">
        <v>74</v>
      </c>
      <c r="T916" t="s">
        <v>74</v>
      </c>
      <c r="U916" t="s">
        <v>74</v>
      </c>
      <c r="V916" t="s">
        <v>74</v>
      </c>
      <c r="W916" t="s">
        <v>74</v>
      </c>
      <c r="X916" t="s">
        <v>74</v>
      </c>
      <c r="Y916" t="s">
        <v>74</v>
      </c>
      <c r="Z916" t="s">
        <v>74</v>
      </c>
      <c r="AA916" t="s">
        <v>6350</v>
      </c>
      <c r="AB916" t="s">
        <v>6351</v>
      </c>
      <c r="AC916" t="s">
        <v>74</v>
      </c>
      <c r="AD916" t="s">
        <v>74</v>
      </c>
      <c r="AE916" t="s">
        <v>74</v>
      </c>
      <c r="AF916" t="s">
        <v>74</v>
      </c>
      <c r="AG916" t="s">
        <v>74</v>
      </c>
      <c r="AH916" t="s">
        <v>74</v>
      </c>
      <c r="AI916" t="s">
        <v>74</v>
      </c>
      <c r="AJ916" t="s">
        <v>74</v>
      </c>
      <c r="AK916" t="s">
        <v>74</v>
      </c>
      <c r="AL916" t="s">
        <v>74</v>
      </c>
      <c r="AM916" t="s">
        <v>74</v>
      </c>
      <c r="AN916" t="s">
        <v>74</v>
      </c>
      <c r="AO916" t="s">
        <v>247</v>
      </c>
      <c r="AP916" t="s">
        <v>74</v>
      </c>
      <c r="AQ916" t="s">
        <v>74</v>
      </c>
      <c r="AR916" t="s">
        <v>74</v>
      </c>
      <c r="AS916" t="s">
        <v>74</v>
      </c>
      <c r="AT916" t="s">
        <v>74</v>
      </c>
      <c r="AU916">
        <v>1996</v>
      </c>
      <c r="AV916">
        <v>47</v>
      </c>
      <c r="AW916">
        <v>8</v>
      </c>
      <c r="AX916" t="s">
        <v>74</v>
      </c>
      <c r="AY916" t="s">
        <v>74</v>
      </c>
      <c r="AZ916" t="s">
        <v>74</v>
      </c>
      <c r="BA916" t="s">
        <v>74</v>
      </c>
      <c r="BB916">
        <v>1025</v>
      </c>
      <c r="BC916">
        <v>1036</v>
      </c>
      <c r="BD916" t="s">
        <v>74</v>
      </c>
      <c r="BE916" t="s">
        <v>6504</v>
      </c>
      <c r="BF916" t="str">
        <f>HYPERLINK("http://dx.doi.org/10.1071/MF9961025","http://dx.doi.org/10.1071/MF9961025")</f>
        <v>http://dx.doi.org/10.1071/MF9961025</v>
      </c>
      <c r="BG916" t="s">
        <v>74</v>
      </c>
      <c r="BH916" t="s">
        <v>74</v>
      </c>
      <c r="BI916" t="s">
        <v>74</v>
      </c>
      <c r="BJ916" t="s">
        <v>74</v>
      </c>
      <c r="BK916" t="s">
        <v>74</v>
      </c>
      <c r="BL916" t="s">
        <v>74</v>
      </c>
      <c r="BM916" t="s">
        <v>74</v>
      </c>
      <c r="BN916" t="s">
        <v>74</v>
      </c>
      <c r="BO916" t="s">
        <v>74</v>
      </c>
      <c r="BP916" t="s">
        <v>74</v>
      </c>
      <c r="BQ916" t="s">
        <v>74</v>
      </c>
      <c r="BR916" t="s">
        <v>74</v>
      </c>
      <c r="BS916" t="s">
        <v>6505</v>
      </c>
      <c r="BT916" t="str">
        <f>HYPERLINK("https%3A%2F%2Fwww.webofscience.com%2Fwos%2Fwoscc%2Ffull-record%2FWOS:A1996VX33500009","View Full Record in Web of Science")</f>
        <v>View Full Record in Web of Science</v>
      </c>
    </row>
    <row r="917" spans="1:72" x14ac:dyDescent="0.2">
      <c r="A917" t="s">
        <v>72</v>
      </c>
      <c r="B917" t="s">
        <v>6506</v>
      </c>
      <c r="C917" t="s">
        <v>74</v>
      </c>
      <c r="D917" t="s">
        <v>74</v>
      </c>
      <c r="E917" t="s">
        <v>74</v>
      </c>
      <c r="F917" t="s">
        <v>6506</v>
      </c>
      <c r="G917" t="s">
        <v>74</v>
      </c>
      <c r="H917" t="s">
        <v>74</v>
      </c>
      <c r="I917" t="s">
        <v>6507</v>
      </c>
      <c r="J917" t="s">
        <v>88</v>
      </c>
      <c r="K917" t="s">
        <v>74</v>
      </c>
      <c r="L917" t="s">
        <v>74</v>
      </c>
      <c r="M917" t="s">
        <v>74</v>
      </c>
      <c r="N917" t="s">
        <v>74</v>
      </c>
      <c r="O917" t="s">
        <v>74</v>
      </c>
      <c r="P917" t="s">
        <v>74</v>
      </c>
      <c r="Q917" t="s">
        <v>74</v>
      </c>
      <c r="R917" t="s">
        <v>74</v>
      </c>
      <c r="S917" t="s">
        <v>74</v>
      </c>
      <c r="T917" t="s">
        <v>74</v>
      </c>
      <c r="U917" t="s">
        <v>74</v>
      </c>
      <c r="V917" t="s">
        <v>74</v>
      </c>
      <c r="W917" t="s">
        <v>74</v>
      </c>
      <c r="X917" t="s">
        <v>74</v>
      </c>
      <c r="Y917" t="s">
        <v>74</v>
      </c>
      <c r="Z917" t="s">
        <v>74</v>
      </c>
      <c r="AA917" t="s">
        <v>74</v>
      </c>
      <c r="AB917" t="s">
        <v>74</v>
      </c>
      <c r="AC917" t="s">
        <v>74</v>
      </c>
      <c r="AD917" t="s">
        <v>74</v>
      </c>
      <c r="AE917" t="s">
        <v>74</v>
      </c>
      <c r="AF917" t="s">
        <v>74</v>
      </c>
      <c r="AG917" t="s">
        <v>74</v>
      </c>
      <c r="AH917" t="s">
        <v>74</v>
      </c>
      <c r="AI917" t="s">
        <v>74</v>
      </c>
      <c r="AJ917" t="s">
        <v>74</v>
      </c>
      <c r="AK917" t="s">
        <v>74</v>
      </c>
      <c r="AL917" t="s">
        <v>74</v>
      </c>
      <c r="AM917" t="s">
        <v>74</v>
      </c>
      <c r="AN917" t="s">
        <v>74</v>
      </c>
      <c r="AO917" t="s">
        <v>89</v>
      </c>
      <c r="AP917" t="s">
        <v>74</v>
      </c>
      <c r="AQ917" t="s">
        <v>74</v>
      </c>
      <c r="AR917" t="s">
        <v>74</v>
      </c>
      <c r="AS917" t="s">
        <v>74</v>
      </c>
      <c r="AT917" t="s">
        <v>315</v>
      </c>
      <c r="AU917">
        <v>1996</v>
      </c>
      <c r="AV917">
        <v>53</v>
      </c>
      <c r="AW917">
        <v>1</v>
      </c>
      <c r="AX917" t="s">
        <v>74</v>
      </c>
      <c r="AY917" t="s">
        <v>74</v>
      </c>
      <c r="AZ917" t="s">
        <v>74</v>
      </c>
      <c r="BA917" t="s">
        <v>74</v>
      </c>
      <c r="BB917">
        <v>29</v>
      </c>
      <c r="BC917">
        <v>37</v>
      </c>
      <c r="BD917" t="s">
        <v>74</v>
      </c>
      <c r="BE917" t="s">
        <v>6508</v>
      </c>
      <c r="BF917" t="str">
        <f>HYPERLINK("http://dx.doi.org/10.1139/cjfas-53-1-29","http://dx.doi.org/10.1139/cjfas-53-1-29")</f>
        <v>http://dx.doi.org/10.1139/cjfas-53-1-29</v>
      </c>
      <c r="BG917" t="s">
        <v>74</v>
      </c>
      <c r="BH917" t="s">
        <v>74</v>
      </c>
      <c r="BI917" t="s">
        <v>74</v>
      </c>
      <c r="BJ917" t="s">
        <v>74</v>
      </c>
      <c r="BK917" t="s">
        <v>74</v>
      </c>
      <c r="BL917" t="s">
        <v>74</v>
      </c>
      <c r="BM917" t="s">
        <v>74</v>
      </c>
      <c r="BN917" t="s">
        <v>74</v>
      </c>
      <c r="BO917" t="s">
        <v>74</v>
      </c>
      <c r="BP917" t="s">
        <v>74</v>
      </c>
      <c r="BQ917" t="s">
        <v>74</v>
      </c>
      <c r="BR917" t="s">
        <v>74</v>
      </c>
      <c r="BS917" t="s">
        <v>6509</v>
      </c>
      <c r="BT917" t="str">
        <f>HYPERLINK("https%3A%2F%2Fwww.webofscience.com%2Fwos%2Fwoscc%2Ffull-record%2FWOS:A1996UB97900003","View Full Record in Web of Science")</f>
        <v>View Full Record in Web of Science</v>
      </c>
    </row>
    <row r="918" spans="1:72" x14ac:dyDescent="0.2">
      <c r="A918" t="s">
        <v>72</v>
      </c>
      <c r="B918" t="s">
        <v>6510</v>
      </c>
      <c r="C918" t="s">
        <v>74</v>
      </c>
      <c r="D918" t="s">
        <v>74</v>
      </c>
      <c r="E918" t="s">
        <v>74</v>
      </c>
      <c r="F918" t="s">
        <v>6510</v>
      </c>
      <c r="G918" t="s">
        <v>74</v>
      </c>
      <c r="H918" t="s">
        <v>74</v>
      </c>
      <c r="I918" t="s">
        <v>6511</v>
      </c>
      <c r="J918" t="s">
        <v>5710</v>
      </c>
      <c r="K918" t="s">
        <v>74</v>
      </c>
      <c r="L918" t="s">
        <v>74</v>
      </c>
      <c r="M918" t="s">
        <v>74</v>
      </c>
      <c r="N918" t="s">
        <v>74</v>
      </c>
      <c r="O918" t="s">
        <v>74</v>
      </c>
      <c r="P918" t="s">
        <v>74</v>
      </c>
      <c r="Q918" t="s">
        <v>74</v>
      </c>
      <c r="R918" t="s">
        <v>74</v>
      </c>
      <c r="S918" t="s">
        <v>74</v>
      </c>
      <c r="T918" t="s">
        <v>74</v>
      </c>
      <c r="U918" t="s">
        <v>74</v>
      </c>
      <c r="V918" t="s">
        <v>74</v>
      </c>
      <c r="W918" t="s">
        <v>74</v>
      </c>
      <c r="X918" t="s">
        <v>74</v>
      </c>
      <c r="Y918" t="s">
        <v>74</v>
      </c>
      <c r="Z918" t="s">
        <v>74</v>
      </c>
      <c r="AA918" t="s">
        <v>74</v>
      </c>
      <c r="AB918" t="s">
        <v>74</v>
      </c>
      <c r="AC918" t="s">
        <v>74</v>
      </c>
      <c r="AD918" t="s">
        <v>74</v>
      </c>
      <c r="AE918" t="s">
        <v>74</v>
      </c>
      <c r="AF918" t="s">
        <v>74</v>
      </c>
      <c r="AG918" t="s">
        <v>74</v>
      </c>
      <c r="AH918" t="s">
        <v>74</v>
      </c>
      <c r="AI918" t="s">
        <v>74</v>
      </c>
      <c r="AJ918" t="s">
        <v>74</v>
      </c>
      <c r="AK918" t="s">
        <v>74</v>
      </c>
      <c r="AL918" t="s">
        <v>74</v>
      </c>
      <c r="AM918" t="s">
        <v>74</v>
      </c>
      <c r="AN918" t="s">
        <v>74</v>
      </c>
      <c r="AO918" t="s">
        <v>5711</v>
      </c>
      <c r="AP918" t="s">
        <v>74</v>
      </c>
      <c r="AQ918" t="s">
        <v>74</v>
      </c>
      <c r="AR918" t="s">
        <v>74</v>
      </c>
      <c r="AS918" t="s">
        <v>74</v>
      </c>
      <c r="AT918" t="s">
        <v>315</v>
      </c>
      <c r="AU918">
        <v>1996</v>
      </c>
      <c r="AV918">
        <v>135</v>
      </c>
      <c r="AW918">
        <v>3</v>
      </c>
      <c r="AX918" t="s">
        <v>74</v>
      </c>
      <c r="AY918" t="s">
        <v>74</v>
      </c>
      <c r="AZ918" t="s">
        <v>74</v>
      </c>
      <c r="BA918" t="s">
        <v>74</v>
      </c>
      <c r="BB918">
        <v>289</v>
      </c>
      <c r="BC918">
        <v>319</v>
      </c>
      <c r="BD918" t="s">
        <v>74</v>
      </c>
      <c r="BE918" t="s">
        <v>74</v>
      </c>
      <c r="BF918" t="s">
        <v>74</v>
      </c>
      <c r="BG918" t="s">
        <v>74</v>
      </c>
      <c r="BH918" t="s">
        <v>74</v>
      </c>
      <c r="BI918" t="s">
        <v>74</v>
      </c>
      <c r="BJ918" t="s">
        <v>74</v>
      </c>
      <c r="BK918" t="s">
        <v>74</v>
      </c>
      <c r="BL918" t="s">
        <v>74</v>
      </c>
      <c r="BM918" t="s">
        <v>74</v>
      </c>
      <c r="BN918" t="s">
        <v>74</v>
      </c>
      <c r="BO918" t="s">
        <v>74</v>
      </c>
      <c r="BP918" t="s">
        <v>74</v>
      </c>
      <c r="BQ918" t="s">
        <v>74</v>
      </c>
      <c r="BR918" t="s">
        <v>74</v>
      </c>
      <c r="BS918" t="s">
        <v>6512</v>
      </c>
      <c r="BT918" t="str">
        <f>HYPERLINK("https%3A%2F%2Fwww.webofscience.com%2Fwos%2Fwoscc%2Ffull-record%2FWOS:A1996TT86100001","View Full Record in Web of Science")</f>
        <v>View Full Record in Web of Science</v>
      </c>
    </row>
    <row r="919" spans="1:72" x14ac:dyDescent="0.2">
      <c r="A919" t="s">
        <v>72</v>
      </c>
      <c r="B919" t="s">
        <v>6513</v>
      </c>
      <c r="C919" t="s">
        <v>74</v>
      </c>
      <c r="D919" t="s">
        <v>74</v>
      </c>
      <c r="E919" t="s">
        <v>74</v>
      </c>
      <c r="F919" t="s">
        <v>6513</v>
      </c>
      <c r="G919" t="s">
        <v>74</v>
      </c>
      <c r="H919" t="s">
        <v>74</v>
      </c>
      <c r="I919" t="s">
        <v>6514</v>
      </c>
      <c r="J919" t="s">
        <v>6515</v>
      </c>
      <c r="K919" t="s">
        <v>74</v>
      </c>
      <c r="L919" t="s">
        <v>74</v>
      </c>
      <c r="M919" t="s">
        <v>74</v>
      </c>
      <c r="N919" t="s">
        <v>74</v>
      </c>
      <c r="O919" t="s">
        <v>74</v>
      </c>
      <c r="P919" t="s">
        <v>74</v>
      </c>
      <c r="Q919" t="s">
        <v>74</v>
      </c>
      <c r="R919" t="s">
        <v>74</v>
      </c>
      <c r="S919" t="s">
        <v>74</v>
      </c>
      <c r="T919" t="s">
        <v>74</v>
      </c>
      <c r="U919" t="s">
        <v>74</v>
      </c>
      <c r="V919" t="s">
        <v>74</v>
      </c>
      <c r="W919" t="s">
        <v>74</v>
      </c>
      <c r="X919" t="s">
        <v>74</v>
      </c>
      <c r="Y919" t="s">
        <v>74</v>
      </c>
      <c r="Z919" t="s">
        <v>74</v>
      </c>
      <c r="AA919" t="s">
        <v>6516</v>
      </c>
      <c r="AB919" t="s">
        <v>74</v>
      </c>
      <c r="AC919" t="s">
        <v>74</v>
      </c>
      <c r="AD919" t="s">
        <v>74</v>
      </c>
      <c r="AE919" t="s">
        <v>74</v>
      </c>
      <c r="AF919" t="s">
        <v>74</v>
      </c>
      <c r="AG919" t="s">
        <v>74</v>
      </c>
      <c r="AH919" t="s">
        <v>74</v>
      </c>
      <c r="AI919" t="s">
        <v>74</v>
      </c>
      <c r="AJ919" t="s">
        <v>74</v>
      </c>
      <c r="AK919" t="s">
        <v>74</v>
      </c>
      <c r="AL919" t="s">
        <v>74</v>
      </c>
      <c r="AM919" t="s">
        <v>74</v>
      </c>
      <c r="AN919" t="s">
        <v>74</v>
      </c>
      <c r="AO919" t="s">
        <v>6517</v>
      </c>
      <c r="AP919" t="s">
        <v>74</v>
      </c>
      <c r="AQ919" t="s">
        <v>74</v>
      </c>
      <c r="AR919" t="s">
        <v>74</v>
      </c>
      <c r="AS919" t="s">
        <v>74</v>
      </c>
      <c r="AT919" t="s">
        <v>74</v>
      </c>
      <c r="AU919">
        <v>1996</v>
      </c>
      <c r="AV919">
        <v>27</v>
      </c>
      <c r="AW919" t="s">
        <v>74</v>
      </c>
      <c r="AX919" t="s">
        <v>74</v>
      </c>
      <c r="AY919" t="s">
        <v>74</v>
      </c>
      <c r="AZ919" t="s">
        <v>74</v>
      </c>
      <c r="BA919" t="s">
        <v>74</v>
      </c>
      <c r="BB919">
        <v>337</v>
      </c>
      <c r="BC919">
        <v>363</v>
      </c>
      <c r="BD919" t="s">
        <v>74</v>
      </c>
      <c r="BE919" t="s">
        <v>6518</v>
      </c>
      <c r="BF919" t="str">
        <f>HYPERLINK("http://dx.doi.org/10.1146/annurev.ecolsys.27.1.337","http://dx.doi.org/10.1146/annurev.ecolsys.27.1.337")</f>
        <v>http://dx.doi.org/10.1146/annurev.ecolsys.27.1.337</v>
      </c>
      <c r="BG919" t="s">
        <v>74</v>
      </c>
      <c r="BH919" t="s">
        <v>74</v>
      </c>
      <c r="BI919" t="s">
        <v>74</v>
      </c>
      <c r="BJ919" t="s">
        <v>74</v>
      </c>
      <c r="BK919" t="s">
        <v>74</v>
      </c>
      <c r="BL919" t="s">
        <v>74</v>
      </c>
      <c r="BM919" t="s">
        <v>74</v>
      </c>
      <c r="BN919" t="s">
        <v>74</v>
      </c>
      <c r="BO919" t="s">
        <v>74</v>
      </c>
      <c r="BP919" t="s">
        <v>74</v>
      </c>
      <c r="BQ919" t="s">
        <v>74</v>
      </c>
      <c r="BR919" t="s">
        <v>74</v>
      </c>
      <c r="BS919" t="s">
        <v>6519</v>
      </c>
      <c r="BT919" t="str">
        <f>HYPERLINK("https%3A%2F%2Fwww.webofscience.com%2Fwos%2Fwoscc%2Ffull-record%2FWOS:A1996VW79800011","View Full Record in Web of Science")</f>
        <v>View Full Record in Web of Science</v>
      </c>
    </row>
    <row r="920" spans="1:72" x14ac:dyDescent="0.2">
      <c r="A920" t="s">
        <v>72</v>
      </c>
      <c r="B920" t="s">
        <v>6520</v>
      </c>
      <c r="C920" t="s">
        <v>74</v>
      </c>
      <c r="D920" t="s">
        <v>74</v>
      </c>
      <c r="E920" t="s">
        <v>74</v>
      </c>
      <c r="F920" t="s">
        <v>6520</v>
      </c>
      <c r="G920" t="s">
        <v>74</v>
      </c>
      <c r="H920" t="s">
        <v>74</v>
      </c>
      <c r="I920" t="s">
        <v>6521</v>
      </c>
      <c r="J920" t="s">
        <v>4852</v>
      </c>
      <c r="K920" t="s">
        <v>74</v>
      </c>
      <c r="L920" t="s">
        <v>74</v>
      </c>
      <c r="M920" t="s">
        <v>74</v>
      </c>
      <c r="N920" t="s">
        <v>74</v>
      </c>
      <c r="O920" t="s">
        <v>74</v>
      </c>
      <c r="P920" t="s">
        <v>74</v>
      </c>
      <c r="Q920" t="s">
        <v>74</v>
      </c>
      <c r="R920" t="s">
        <v>74</v>
      </c>
      <c r="S920" t="s">
        <v>74</v>
      </c>
      <c r="T920" t="s">
        <v>74</v>
      </c>
      <c r="U920" t="s">
        <v>74</v>
      </c>
      <c r="V920" t="s">
        <v>74</v>
      </c>
      <c r="W920" t="s">
        <v>74</v>
      </c>
      <c r="X920" t="s">
        <v>74</v>
      </c>
      <c r="Y920" t="s">
        <v>74</v>
      </c>
      <c r="Z920" t="s">
        <v>74</v>
      </c>
      <c r="AA920" t="s">
        <v>74</v>
      </c>
      <c r="AB920" t="s">
        <v>74</v>
      </c>
      <c r="AC920" t="s">
        <v>74</v>
      </c>
      <c r="AD920" t="s">
        <v>74</v>
      </c>
      <c r="AE920" t="s">
        <v>74</v>
      </c>
      <c r="AF920" t="s">
        <v>74</v>
      </c>
      <c r="AG920" t="s">
        <v>74</v>
      </c>
      <c r="AH920" t="s">
        <v>74</v>
      </c>
      <c r="AI920" t="s">
        <v>74</v>
      </c>
      <c r="AJ920" t="s">
        <v>74</v>
      </c>
      <c r="AK920" t="s">
        <v>74</v>
      </c>
      <c r="AL920" t="s">
        <v>74</v>
      </c>
      <c r="AM920" t="s">
        <v>74</v>
      </c>
      <c r="AN920" t="s">
        <v>74</v>
      </c>
      <c r="AO920" t="s">
        <v>4855</v>
      </c>
      <c r="AP920" t="s">
        <v>4856</v>
      </c>
      <c r="AQ920" t="s">
        <v>74</v>
      </c>
      <c r="AR920" t="s">
        <v>74</v>
      </c>
      <c r="AS920" t="s">
        <v>74</v>
      </c>
      <c r="AT920" t="s">
        <v>406</v>
      </c>
      <c r="AU920">
        <v>1995</v>
      </c>
      <c r="AV920">
        <v>44</v>
      </c>
      <c r="AW920" t="s">
        <v>5469</v>
      </c>
      <c r="AX920" t="s">
        <v>74</v>
      </c>
      <c r="AY920" t="s">
        <v>74</v>
      </c>
      <c r="AZ920" t="s">
        <v>74</v>
      </c>
      <c r="BA920" t="s">
        <v>74</v>
      </c>
      <c r="BB920">
        <v>213</v>
      </c>
      <c r="BC920">
        <v>223</v>
      </c>
      <c r="BD920" t="s">
        <v>74</v>
      </c>
      <c r="BE920" t="s">
        <v>6522</v>
      </c>
      <c r="BF920" t="str">
        <f>HYPERLINK("http://dx.doi.org/10.1007/BF00005917","http://dx.doi.org/10.1007/BF00005917")</f>
        <v>http://dx.doi.org/10.1007/BF00005917</v>
      </c>
      <c r="BG920" t="s">
        <v>74</v>
      </c>
      <c r="BH920" t="s">
        <v>74</v>
      </c>
      <c r="BI920" t="s">
        <v>74</v>
      </c>
      <c r="BJ920" t="s">
        <v>74</v>
      </c>
      <c r="BK920" t="s">
        <v>74</v>
      </c>
      <c r="BL920" t="s">
        <v>74</v>
      </c>
      <c r="BM920" t="s">
        <v>74</v>
      </c>
      <c r="BN920" t="s">
        <v>74</v>
      </c>
      <c r="BO920" t="s">
        <v>74</v>
      </c>
      <c r="BP920" t="s">
        <v>74</v>
      </c>
      <c r="BQ920" t="s">
        <v>74</v>
      </c>
      <c r="BR920" t="s">
        <v>74</v>
      </c>
      <c r="BS920" t="s">
        <v>6523</v>
      </c>
      <c r="BT920" t="str">
        <f>HYPERLINK("https%3A%2F%2Fwww.webofscience.com%2Fwos%2Fwoscc%2Ffull-record%2FWOS:A1995TA16700016","View Full Record in Web of Science")</f>
        <v>View Full Record in Web of Science</v>
      </c>
    </row>
    <row r="921" spans="1:72" x14ac:dyDescent="0.2">
      <c r="A921" t="s">
        <v>72</v>
      </c>
      <c r="B921" t="s">
        <v>6524</v>
      </c>
      <c r="C921" t="s">
        <v>74</v>
      </c>
      <c r="D921" t="s">
        <v>74</v>
      </c>
      <c r="E921" t="s">
        <v>74</v>
      </c>
      <c r="F921" t="s">
        <v>6524</v>
      </c>
      <c r="G921" t="s">
        <v>74</v>
      </c>
      <c r="H921" t="s">
        <v>74</v>
      </c>
      <c r="I921" t="s">
        <v>6525</v>
      </c>
      <c r="J921" t="s">
        <v>1523</v>
      </c>
      <c r="K921" t="s">
        <v>74</v>
      </c>
      <c r="L921" t="s">
        <v>74</v>
      </c>
      <c r="M921" t="s">
        <v>74</v>
      </c>
      <c r="N921" t="s">
        <v>74</v>
      </c>
      <c r="O921" t="s">
        <v>74</v>
      </c>
      <c r="P921" t="s">
        <v>74</v>
      </c>
      <c r="Q921" t="s">
        <v>74</v>
      </c>
      <c r="R921" t="s">
        <v>74</v>
      </c>
      <c r="S921" t="s">
        <v>74</v>
      </c>
      <c r="T921" t="s">
        <v>74</v>
      </c>
      <c r="U921" t="s">
        <v>74</v>
      </c>
      <c r="V921" t="s">
        <v>74</v>
      </c>
      <c r="W921" t="s">
        <v>74</v>
      </c>
      <c r="X921" t="s">
        <v>74</v>
      </c>
      <c r="Y921" t="s">
        <v>74</v>
      </c>
      <c r="Z921" t="s">
        <v>74</v>
      </c>
      <c r="AA921" t="s">
        <v>74</v>
      </c>
      <c r="AB921" t="s">
        <v>6526</v>
      </c>
      <c r="AC921" t="s">
        <v>74</v>
      </c>
      <c r="AD921" t="s">
        <v>74</v>
      </c>
      <c r="AE921" t="s">
        <v>74</v>
      </c>
      <c r="AF921" t="s">
        <v>74</v>
      </c>
      <c r="AG921" t="s">
        <v>74</v>
      </c>
      <c r="AH921" t="s">
        <v>74</v>
      </c>
      <c r="AI921" t="s">
        <v>74</v>
      </c>
      <c r="AJ921" t="s">
        <v>74</v>
      </c>
      <c r="AK921" t="s">
        <v>74</v>
      </c>
      <c r="AL921" t="s">
        <v>74</v>
      </c>
      <c r="AM921" t="s">
        <v>74</v>
      </c>
      <c r="AN921" t="s">
        <v>74</v>
      </c>
      <c r="AO921" t="s">
        <v>1524</v>
      </c>
      <c r="AP921" t="s">
        <v>1525</v>
      </c>
      <c r="AQ921" t="s">
        <v>74</v>
      </c>
      <c r="AR921" t="s">
        <v>74</v>
      </c>
      <c r="AS921" t="s">
        <v>74</v>
      </c>
      <c r="AT921" t="s">
        <v>451</v>
      </c>
      <c r="AU921">
        <v>1995</v>
      </c>
      <c r="AV921">
        <v>76</v>
      </c>
      <c r="AW921">
        <v>6</v>
      </c>
      <c r="AX921" t="s">
        <v>74</v>
      </c>
      <c r="AY921" t="s">
        <v>74</v>
      </c>
      <c r="AZ921" t="s">
        <v>74</v>
      </c>
      <c r="BA921" t="s">
        <v>74</v>
      </c>
      <c r="BB921">
        <v>1706</v>
      </c>
      <c r="BC921">
        <v>1711</v>
      </c>
      <c r="BD921" t="s">
        <v>74</v>
      </c>
      <c r="BE921" t="s">
        <v>6527</v>
      </c>
      <c r="BF921" t="str">
        <f>HYPERLINK("http://dx.doi.org/10.2307/1940704","http://dx.doi.org/10.2307/1940704")</f>
        <v>http://dx.doi.org/10.2307/1940704</v>
      </c>
      <c r="BG921" t="s">
        <v>74</v>
      </c>
      <c r="BH921" t="s">
        <v>74</v>
      </c>
      <c r="BI921" t="s">
        <v>74</v>
      </c>
      <c r="BJ921" t="s">
        <v>74</v>
      </c>
      <c r="BK921" t="s">
        <v>74</v>
      </c>
      <c r="BL921" t="s">
        <v>74</v>
      </c>
      <c r="BM921" t="s">
        <v>74</v>
      </c>
      <c r="BN921" t="s">
        <v>74</v>
      </c>
      <c r="BO921" t="s">
        <v>74</v>
      </c>
      <c r="BP921" t="s">
        <v>74</v>
      </c>
      <c r="BQ921" t="s">
        <v>74</v>
      </c>
      <c r="BR921" t="s">
        <v>74</v>
      </c>
      <c r="BS921" t="s">
        <v>6528</v>
      </c>
      <c r="BT921" t="str">
        <f>HYPERLINK("https%3A%2F%2Fwww.webofscience.com%2Fwos%2Fwoscc%2Ffull-record%2FWOS:A1995RQ24800002","View Full Record in Web of Science")</f>
        <v>View Full Record in Web of Science</v>
      </c>
    </row>
    <row r="922" spans="1:72" x14ac:dyDescent="0.2">
      <c r="A922" t="s">
        <v>72</v>
      </c>
      <c r="B922" t="s">
        <v>6529</v>
      </c>
      <c r="C922" t="s">
        <v>74</v>
      </c>
      <c r="D922" t="s">
        <v>74</v>
      </c>
      <c r="E922" t="s">
        <v>74</v>
      </c>
      <c r="F922" t="s">
        <v>6529</v>
      </c>
      <c r="G922" t="s">
        <v>74</v>
      </c>
      <c r="H922" t="s">
        <v>74</v>
      </c>
      <c r="I922" t="s">
        <v>6530</v>
      </c>
      <c r="J922" t="s">
        <v>2759</v>
      </c>
      <c r="K922" t="s">
        <v>74</v>
      </c>
      <c r="L922" t="s">
        <v>74</v>
      </c>
      <c r="M922" t="s">
        <v>74</v>
      </c>
      <c r="N922" t="s">
        <v>74</v>
      </c>
      <c r="O922" t="s">
        <v>74</v>
      </c>
      <c r="P922" t="s">
        <v>74</v>
      </c>
      <c r="Q922" t="s">
        <v>74</v>
      </c>
      <c r="R922" t="s">
        <v>74</v>
      </c>
      <c r="S922" t="s">
        <v>74</v>
      </c>
      <c r="T922" t="s">
        <v>74</v>
      </c>
      <c r="U922" t="s">
        <v>74</v>
      </c>
      <c r="V922" t="s">
        <v>74</v>
      </c>
      <c r="W922" t="s">
        <v>74</v>
      </c>
      <c r="X922" t="s">
        <v>74</v>
      </c>
      <c r="Y922" t="s">
        <v>74</v>
      </c>
      <c r="Z922" t="s">
        <v>74</v>
      </c>
      <c r="AA922" t="s">
        <v>74</v>
      </c>
      <c r="AB922" t="s">
        <v>74</v>
      </c>
      <c r="AC922" t="s">
        <v>74</v>
      </c>
      <c r="AD922" t="s">
        <v>74</v>
      </c>
      <c r="AE922" t="s">
        <v>74</v>
      </c>
      <c r="AF922" t="s">
        <v>74</v>
      </c>
      <c r="AG922" t="s">
        <v>74</v>
      </c>
      <c r="AH922" t="s">
        <v>74</v>
      </c>
      <c r="AI922" t="s">
        <v>74</v>
      </c>
      <c r="AJ922" t="s">
        <v>74</v>
      </c>
      <c r="AK922" t="s">
        <v>74</v>
      </c>
      <c r="AL922" t="s">
        <v>74</v>
      </c>
      <c r="AM922" t="s">
        <v>74</v>
      </c>
      <c r="AN922" t="s">
        <v>74</v>
      </c>
      <c r="AO922" t="s">
        <v>2762</v>
      </c>
      <c r="AP922" t="s">
        <v>74</v>
      </c>
      <c r="AQ922" t="s">
        <v>74</v>
      </c>
      <c r="AR922" t="s">
        <v>74</v>
      </c>
      <c r="AS922" t="s">
        <v>74</v>
      </c>
      <c r="AT922" t="s">
        <v>451</v>
      </c>
      <c r="AU922">
        <v>1995</v>
      </c>
      <c r="AV922">
        <v>64</v>
      </c>
      <c r="AW922">
        <v>5</v>
      </c>
      <c r="AX922" t="s">
        <v>74</v>
      </c>
      <c r="AY922" t="s">
        <v>74</v>
      </c>
      <c r="AZ922" t="s">
        <v>74</v>
      </c>
      <c r="BA922" t="s">
        <v>74</v>
      </c>
      <c r="BB922">
        <v>600</v>
      </c>
      <c r="BC922">
        <v>613</v>
      </c>
      <c r="BD922" t="s">
        <v>74</v>
      </c>
      <c r="BE922" t="s">
        <v>6531</v>
      </c>
      <c r="BF922" t="str">
        <f>HYPERLINK("http://dx.doi.org/10.2307/5803","http://dx.doi.org/10.2307/5803")</f>
        <v>http://dx.doi.org/10.2307/5803</v>
      </c>
      <c r="BG922" t="s">
        <v>74</v>
      </c>
      <c r="BH922" t="s">
        <v>74</v>
      </c>
      <c r="BI922" t="s">
        <v>74</v>
      </c>
      <c r="BJ922" t="s">
        <v>74</v>
      </c>
      <c r="BK922" t="s">
        <v>74</v>
      </c>
      <c r="BL922" t="s">
        <v>74</v>
      </c>
      <c r="BM922" t="s">
        <v>74</v>
      </c>
      <c r="BN922" t="s">
        <v>74</v>
      </c>
      <c r="BO922" t="s">
        <v>74</v>
      </c>
      <c r="BP922" t="s">
        <v>74</v>
      </c>
      <c r="BQ922" t="s">
        <v>74</v>
      </c>
      <c r="BR922" t="s">
        <v>74</v>
      </c>
      <c r="BS922" t="s">
        <v>6532</v>
      </c>
      <c r="BT922" t="str">
        <f>HYPERLINK("https%3A%2F%2Fwww.webofscience.com%2Fwos%2Fwoscc%2Ffull-record%2FWOS:A1995RY35100006","View Full Record in Web of Science")</f>
        <v>View Full Record in Web of Science</v>
      </c>
    </row>
    <row r="923" spans="1:72" x14ac:dyDescent="0.2">
      <c r="A923" t="s">
        <v>72</v>
      </c>
      <c r="B923" t="s">
        <v>6533</v>
      </c>
      <c r="C923" t="s">
        <v>74</v>
      </c>
      <c r="D923" t="s">
        <v>74</v>
      </c>
      <c r="E923" t="s">
        <v>74</v>
      </c>
      <c r="F923" t="s">
        <v>6533</v>
      </c>
      <c r="G923" t="s">
        <v>74</v>
      </c>
      <c r="H923" t="s">
        <v>74</v>
      </c>
      <c r="I923" t="s">
        <v>6534</v>
      </c>
      <c r="J923" t="s">
        <v>844</v>
      </c>
      <c r="K923" t="s">
        <v>74</v>
      </c>
      <c r="L923" t="s">
        <v>74</v>
      </c>
      <c r="M923" t="s">
        <v>74</v>
      </c>
      <c r="N923" t="s">
        <v>74</v>
      </c>
      <c r="O923" t="s">
        <v>74</v>
      </c>
      <c r="P923" t="s">
        <v>74</v>
      </c>
      <c r="Q923" t="s">
        <v>74</v>
      </c>
      <c r="R923" t="s">
        <v>74</v>
      </c>
      <c r="S923" t="s">
        <v>74</v>
      </c>
      <c r="T923" t="s">
        <v>74</v>
      </c>
      <c r="U923" t="s">
        <v>74</v>
      </c>
      <c r="V923" t="s">
        <v>74</v>
      </c>
      <c r="W923" t="s">
        <v>74</v>
      </c>
      <c r="X923" t="s">
        <v>74</v>
      </c>
      <c r="Y923" t="s">
        <v>74</v>
      </c>
      <c r="Z923" t="s">
        <v>74</v>
      </c>
      <c r="AA923" t="s">
        <v>74</v>
      </c>
      <c r="AB923" t="s">
        <v>6535</v>
      </c>
      <c r="AC923" t="s">
        <v>74</v>
      </c>
      <c r="AD923" t="s">
        <v>74</v>
      </c>
      <c r="AE923" t="s">
        <v>74</v>
      </c>
      <c r="AF923" t="s">
        <v>74</v>
      </c>
      <c r="AG923" t="s">
        <v>74</v>
      </c>
      <c r="AH923" t="s">
        <v>74</v>
      </c>
      <c r="AI923" t="s">
        <v>74</v>
      </c>
      <c r="AJ923" t="s">
        <v>74</v>
      </c>
      <c r="AK923" t="s">
        <v>74</v>
      </c>
      <c r="AL923" t="s">
        <v>74</v>
      </c>
      <c r="AM923" t="s">
        <v>74</v>
      </c>
      <c r="AN923" t="s">
        <v>74</v>
      </c>
      <c r="AO923" t="s">
        <v>847</v>
      </c>
      <c r="AP923" t="s">
        <v>848</v>
      </c>
      <c r="AQ923" t="s">
        <v>74</v>
      </c>
      <c r="AR923" t="s">
        <v>74</v>
      </c>
      <c r="AS923" t="s">
        <v>74</v>
      </c>
      <c r="AT923" t="s">
        <v>569</v>
      </c>
      <c r="AU923">
        <v>1995</v>
      </c>
      <c r="AV923">
        <v>14</v>
      </c>
      <c r="AW923">
        <v>6</v>
      </c>
      <c r="AX923" t="s">
        <v>74</v>
      </c>
      <c r="AY923" t="s">
        <v>74</v>
      </c>
      <c r="AZ923" t="s">
        <v>74</v>
      </c>
      <c r="BA923" t="s">
        <v>74</v>
      </c>
      <c r="BB923">
        <v>983</v>
      </c>
      <c r="BC923">
        <v>991</v>
      </c>
      <c r="BD923" t="s">
        <v>74</v>
      </c>
      <c r="BE923" t="s">
        <v>6536</v>
      </c>
      <c r="BF923" t="str">
        <f>HYPERLINK("http://dx.doi.org/10.1002/etc.5620140609","http://dx.doi.org/10.1002/etc.5620140609")</f>
        <v>http://dx.doi.org/10.1002/etc.5620140609</v>
      </c>
      <c r="BG923" t="s">
        <v>74</v>
      </c>
      <c r="BH923" t="s">
        <v>74</v>
      </c>
      <c r="BI923" t="s">
        <v>74</v>
      </c>
      <c r="BJ923" t="s">
        <v>74</v>
      </c>
      <c r="BK923" t="s">
        <v>74</v>
      </c>
      <c r="BL923" t="s">
        <v>74</v>
      </c>
      <c r="BM923" t="s">
        <v>74</v>
      </c>
      <c r="BN923" t="s">
        <v>74</v>
      </c>
      <c r="BO923" t="s">
        <v>74</v>
      </c>
      <c r="BP923" t="s">
        <v>74</v>
      </c>
      <c r="BQ923" t="s">
        <v>74</v>
      </c>
      <c r="BR923" t="s">
        <v>74</v>
      </c>
      <c r="BS923" t="s">
        <v>6537</v>
      </c>
      <c r="BT923" t="str">
        <f>HYPERLINK("https%3A%2F%2Fwww.webofscience.com%2Fwos%2Fwoscc%2Ffull-record%2FWOS:A1995QZ39700009","View Full Record in Web of Science")</f>
        <v>View Full Record in Web of Science</v>
      </c>
    </row>
    <row r="924" spans="1:72" x14ac:dyDescent="0.2">
      <c r="A924" t="s">
        <v>72</v>
      </c>
      <c r="B924" t="s">
        <v>6538</v>
      </c>
      <c r="C924" t="s">
        <v>74</v>
      </c>
      <c r="D924" t="s">
        <v>74</v>
      </c>
      <c r="E924" t="s">
        <v>74</v>
      </c>
      <c r="F924" t="s">
        <v>6538</v>
      </c>
      <c r="G924" t="s">
        <v>74</v>
      </c>
      <c r="H924" t="s">
        <v>74</v>
      </c>
      <c r="I924" t="s">
        <v>6539</v>
      </c>
      <c r="J924" t="s">
        <v>6540</v>
      </c>
      <c r="K924" t="s">
        <v>74</v>
      </c>
      <c r="L924" t="s">
        <v>74</v>
      </c>
      <c r="M924" t="s">
        <v>74</v>
      </c>
      <c r="N924" t="s">
        <v>74</v>
      </c>
      <c r="O924" t="s">
        <v>74</v>
      </c>
      <c r="P924" t="s">
        <v>74</v>
      </c>
      <c r="Q924" t="s">
        <v>74</v>
      </c>
      <c r="R924" t="s">
        <v>74</v>
      </c>
      <c r="S924" t="s">
        <v>74</v>
      </c>
      <c r="T924" t="s">
        <v>74</v>
      </c>
      <c r="U924" t="s">
        <v>74</v>
      </c>
      <c r="V924" t="s">
        <v>74</v>
      </c>
      <c r="W924" t="s">
        <v>74</v>
      </c>
      <c r="X924" t="s">
        <v>74</v>
      </c>
      <c r="Y924" t="s">
        <v>74</v>
      </c>
      <c r="Z924" t="s">
        <v>74</v>
      </c>
      <c r="AA924" t="s">
        <v>74</v>
      </c>
      <c r="AB924" t="s">
        <v>74</v>
      </c>
      <c r="AC924" t="s">
        <v>74</v>
      </c>
      <c r="AD924" t="s">
        <v>74</v>
      </c>
      <c r="AE924" t="s">
        <v>74</v>
      </c>
      <c r="AF924" t="s">
        <v>74</v>
      </c>
      <c r="AG924" t="s">
        <v>74</v>
      </c>
      <c r="AH924" t="s">
        <v>74</v>
      </c>
      <c r="AI924" t="s">
        <v>74</v>
      </c>
      <c r="AJ924" t="s">
        <v>74</v>
      </c>
      <c r="AK924" t="s">
        <v>74</v>
      </c>
      <c r="AL924" t="s">
        <v>74</v>
      </c>
      <c r="AM924" t="s">
        <v>74</v>
      </c>
      <c r="AN924" t="s">
        <v>74</v>
      </c>
      <c r="AO924" t="s">
        <v>6541</v>
      </c>
      <c r="AP924" t="s">
        <v>74</v>
      </c>
      <c r="AQ924" t="s">
        <v>74</v>
      </c>
      <c r="AR924" t="s">
        <v>74</v>
      </c>
      <c r="AS924" t="s">
        <v>74</v>
      </c>
      <c r="AT924" t="s">
        <v>1389</v>
      </c>
      <c r="AU924">
        <v>1995</v>
      </c>
      <c r="AV924">
        <v>51</v>
      </c>
      <c r="AW924">
        <v>5</v>
      </c>
      <c r="AX924" t="s">
        <v>74</v>
      </c>
      <c r="AY924" t="s">
        <v>74</v>
      </c>
      <c r="AZ924" t="s">
        <v>74</v>
      </c>
      <c r="BA924" t="s">
        <v>74</v>
      </c>
      <c r="BB924">
        <v>437</v>
      </c>
      <c r="BC924">
        <v>453</v>
      </c>
      <c r="BD924" t="s">
        <v>74</v>
      </c>
      <c r="BE924" t="s">
        <v>6542</v>
      </c>
      <c r="BF924" t="str">
        <f>HYPERLINK("http://dx.doi.org/10.1007/BF02143197","http://dx.doi.org/10.1007/BF02143197")</f>
        <v>http://dx.doi.org/10.1007/BF02143197</v>
      </c>
      <c r="BG924" t="s">
        <v>74</v>
      </c>
      <c r="BH924" t="s">
        <v>74</v>
      </c>
      <c r="BI924" t="s">
        <v>74</v>
      </c>
      <c r="BJ924" t="s">
        <v>74</v>
      </c>
      <c r="BK924" t="s">
        <v>74</v>
      </c>
      <c r="BL924" t="s">
        <v>74</v>
      </c>
      <c r="BM924" t="s">
        <v>74</v>
      </c>
      <c r="BN924" t="s">
        <v>74</v>
      </c>
      <c r="BO924" t="s">
        <v>74</v>
      </c>
      <c r="BP924" t="s">
        <v>74</v>
      </c>
      <c r="BQ924" t="s">
        <v>74</v>
      </c>
      <c r="BR924" t="s">
        <v>74</v>
      </c>
      <c r="BS924" t="s">
        <v>6543</v>
      </c>
      <c r="BT924" t="str">
        <f>HYPERLINK("https%3A%2F%2Fwww.webofscience.com%2Fwos%2Fwoscc%2Ffull-record%2FWOS:A1995QZ37900003","View Full Record in Web of Science")</f>
        <v>View Full Record in Web of Science</v>
      </c>
    </row>
    <row r="925" spans="1:72" x14ac:dyDescent="0.2">
      <c r="A925" t="s">
        <v>72</v>
      </c>
      <c r="B925" t="s">
        <v>6544</v>
      </c>
      <c r="C925" t="s">
        <v>74</v>
      </c>
      <c r="D925" t="s">
        <v>74</v>
      </c>
      <c r="E925" t="s">
        <v>74</v>
      </c>
      <c r="F925" t="s">
        <v>6544</v>
      </c>
      <c r="G925" t="s">
        <v>74</v>
      </c>
      <c r="H925" t="s">
        <v>74</v>
      </c>
      <c r="I925" t="s">
        <v>6545</v>
      </c>
      <c r="J925" t="s">
        <v>5947</v>
      </c>
      <c r="K925" t="s">
        <v>74</v>
      </c>
      <c r="L925" t="s">
        <v>74</v>
      </c>
      <c r="M925" t="s">
        <v>74</v>
      </c>
      <c r="N925" t="s">
        <v>74</v>
      </c>
      <c r="O925" t="s">
        <v>74</v>
      </c>
      <c r="P925" t="s">
        <v>74</v>
      </c>
      <c r="Q925" t="s">
        <v>74</v>
      </c>
      <c r="R925" t="s">
        <v>74</v>
      </c>
      <c r="S925" t="s">
        <v>74</v>
      </c>
      <c r="T925" t="s">
        <v>74</v>
      </c>
      <c r="U925" t="s">
        <v>74</v>
      </c>
      <c r="V925" t="s">
        <v>74</v>
      </c>
      <c r="W925" t="s">
        <v>74</v>
      </c>
      <c r="X925" t="s">
        <v>74</v>
      </c>
      <c r="Y925" t="s">
        <v>74</v>
      </c>
      <c r="Z925" t="s">
        <v>74</v>
      </c>
      <c r="AA925" t="s">
        <v>74</v>
      </c>
      <c r="AB925" t="s">
        <v>74</v>
      </c>
      <c r="AC925" t="s">
        <v>74</v>
      </c>
      <c r="AD925" t="s">
        <v>74</v>
      </c>
      <c r="AE925" t="s">
        <v>74</v>
      </c>
      <c r="AF925" t="s">
        <v>74</v>
      </c>
      <c r="AG925" t="s">
        <v>74</v>
      </c>
      <c r="AH925" t="s">
        <v>74</v>
      </c>
      <c r="AI925" t="s">
        <v>74</v>
      </c>
      <c r="AJ925" t="s">
        <v>74</v>
      </c>
      <c r="AK925" t="s">
        <v>74</v>
      </c>
      <c r="AL925" t="s">
        <v>74</v>
      </c>
      <c r="AM925" t="s">
        <v>74</v>
      </c>
      <c r="AN925" t="s">
        <v>74</v>
      </c>
      <c r="AO925" t="s">
        <v>5950</v>
      </c>
      <c r="AP925" t="s">
        <v>74</v>
      </c>
      <c r="AQ925" t="s">
        <v>74</v>
      </c>
      <c r="AR925" t="s">
        <v>74</v>
      </c>
      <c r="AS925" t="s">
        <v>74</v>
      </c>
      <c r="AT925" t="s">
        <v>6546</v>
      </c>
      <c r="AU925">
        <v>1995</v>
      </c>
      <c r="AV925">
        <v>187</v>
      </c>
      <c r="AW925">
        <v>2</v>
      </c>
      <c r="AX925" t="s">
        <v>74</v>
      </c>
      <c r="AY925" t="s">
        <v>74</v>
      </c>
      <c r="AZ925" t="s">
        <v>74</v>
      </c>
      <c r="BA925" t="s">
        <v>74</v>
      </c>
      <c r="BB925">
        <v>161</v>
      </c>
      <c r="BC925">
        <v>174</v>
      </c>
      <c r="BD925" t="s">
        <v>74</v>
      </c>
      <c r="BE925" t="s">
        <v>6547</v>
      </c>
      <c r="BF925" t="str">
        <f>HYPERLINK("http://dx.doi.org/10.1016/0022-0981(94)00178-G","http://dx.doi.org/10.1016/0022-0981(94)00178-G")</f>
        <v>http://dx.doi.org/10.1016/0022-0981(94)00178-G</v>
      </c>
      <c r="BG925" t="s">
        <v>74</v>
      </c>
      <c r="BH925" t="s">
        <v>74</v>
      </c>
      <c r="BI925" t="s">
        <v>74</v>
      </c>
      <c r="BJ925" t="s">
        <v>74</v>
      </c>
      <c r="BK925" t="s">
        <v>74</v>
      </c>
      <c r="BL925" t="s">
        <v>74</v>
      </c>
      <c r="BM925" t="s">
        <v>74</v>
      </c>
      <c r="BN925" t="s">
        <v>74</v>
      </c>
      <c r="BO925" t="s">
        <v>74</v>
      </c>
      <c r="BP925" t="s">
        <v>74</v>
      </c>
      <c r="BQ925" t="s">
        <v>74</v>
      </c>
      <c r="BR925" t="s">
        <v>74</v>
      </c>
      <c r="BS925" t="s">
        <v>6548</v>
      </c>
      <c r="BT925" t="str">
        <f>HYPERLINK("https%3A%2F%2Fwww.webofscience.com%2Fwos%2Fwoscc%2Ffull-record%2FWOS:A1995QX14600002","View Full Record in Web of Science")</f>
        <v>View Full Record in Web of Science</v>
      </c>
    </row>
    <row r="926" spans="1:72" x14ac:dyDescent="0.2">
      <c r="A926" t="s">
        <v>72</v>
      </c>
      <c r="B926" t="s">
        <v>6549</v>
      </c>
      <c r="C926" t="s">
        <v>74</v>
      </c>
      <c r="D926" t="s">
        <v>74</v>
      </c>
      <c r="E926" t="s">
        <v>74</v>
      </c>
      <c r="F926" t="s">
        <v>6549</v>
      </c>
      <c r="G926" t="s">
        <v>74</v>
      </c>
      <c r="H926" t="s">
        <v>74</v>
      </c>
      <c r="I926" t="s">
        <v>6550</v>
      </c>
      <c r="J926" t="s">
        <v>5867</v>
      </c>
      <c r="K926" t="s">
        <v>74</v>
      </c>
      <c r="L926" t="s">
        <v>74</v>
      </c>
      <c r="M926" t="s">
        <v>74</v>
      </c>
      <c r="N926" t="s">
        <v>74</v>
      </c>
      <c r="O926" t="s">
        <v>74</v>
      </c>
      <c r="P926" t="s">
        <v>74</v>
      </c>
      <c r="Q926" t="s">
        <v>74</v>
      </c>
      <c r="R926" t="s">
        <v>74</v>
      </c>
      <c r="S926" t="s">
        <v>74</v>
      </c>
      <c r="T926" t="s">
        <v>74</v>
      </c>
      <c r="U926" t="s">
        <v>74</v>
      </c>
      <c r="V926" t="s">
        <v>74</v>
      </c>
      <c r="W926" t="s">
        <v>74</v>
      </c>
      <c r="X926" t="s">
        <v>74</v>
      </c>
      <c r="Y926" t="s">
        <v>74</v>
      </c>
      <c r="Z926" t="s">
        <v>74</v>
      </c>
      <c r="AA926" t="s">
        <v>6551</v>
      </c>
      <c r="AB926" t="s">
        <v>6552</v>
      </c>
      <c r="AC926" t="s">
        <v>74</v>
      </c>
      <c r="AD926" t="s">
        <v>74</v>
      </c>
      <c r="AE926" t="s">
        <v>74</v>
      </c>
      <c r="AF926" t="s">
        <v>74</v>
      </c>
      <c r="AG926" t="s">
        <v>74</v>
      </c>
      <c r="AH926" t="s">
        <v>74</v>
      </c>
      <c r="AI926" t="s">
        <v>74</v>
      </c>
      <c r="AJ926" t="s">
        <v>74</v>
      </c>
      <c r="AK926" t="s">
        <v>74</v>
      </c>
      <c r="AL926" t="s">
        <v>74</v>
      </c>
      <c r="AM926" t="s">
        <v>74</v>
      </c>
      <c r="AN926" t="s">
        <v>74</v>
      </c>
      <c r="AO926" t="s">
        <v>5868</v>
      </c>
      <c r="AP926" t="s">
        <v>5869</v>
      </c>
      <c r="AQ926" t="s">
        <v>74</v>
      </c>
      <c r="AR926" t="s">
        <v>74</v>
      </c>
      <c r="AS926" t="s">
        <v>74</v>
      </c>
      <c r="AT926" t="s">
        <v>203</v>
      </c>
      <c r="AU926">
        <v>1995</v>
      </c>
      <c r="AV926">
        <v>49</v>
      </c>
      <c r="AW926">
        <v>2</v>
      </c>
      <c r="AX926" t="s">
        <v>74</v>
      </c>
      <c r="AY926" t="s">
        <v>74</v>
      </c>
      <c r="AZ926" t="s">
        <v>74</v>
      </c>
      <c r="BA926" t="s">
        <v>74</v>
      </c>
      <c r="BB926">
        <v>325</v>
      </c>
      <c r="BC926">
        <v>336</v>
      </c>
      <c r="BD926" t="s">
        <v>74</v>
      </c>
      <c r="BE926" t="s">
        <v>6553</v>
      </c>
      <c r="BF926" t="str">
        <f>HYPERLINK("http://dx.doi.org/10.2307/2410343","http://dx.doi.org/10.2307/2410343")</f>
        <v>http://dx.doi.org/10.2307/2410343</v>
      </c>
      <c r="BG926" t="s">
        <v>74</v>
      </c>
      <c r="BH926" t="s">
        <v>74</v>
      </c>
      <c r="BI926" t="s">
        <v>74</v>
      </c>
      <c r="BJ926" t="s">
        <v>74</v>
      </c>
      <c r="BK926" t="s">
        <v>74</v>
      </c>
      <c r="BL926" t="s">
        <v>74</v>
      </c>
      <c r="BM926" t="s">
        <v>74</v>
      </c>
      <c r="BN926">
        <v>28565015</v>
      </c>
      <c r="BO926" t="s">
        <v>74</v>
      </c>
      <c r="BP926" t="s">
        <v>74</v>
      </c>
      <c r="BQ926" t="s">
        <v>74</v>
      </c>
      <c r="BR926" t="s">
        <v>74</v>
      </c>
      <c r="BS926" t="s">
        <v>6554</v>
      </c>
      <c r="BT926" t="str">
        <f>HYPERLINK("https%3A%2F%2Fwww.webofscience.com%2Fwos%2Fwoscc%2Ffull-record%2FWOS:A1995RR18600011","View Full Record in Web of Science")</f>
        <v>View Full Record in Web of Science</v>
      </c>
    </row>
    <row r="927" spans="1:72" x14ac:dyDescent="0.2">
      <c r="A927" t="s">
        <v>72</v>
      </c>
      <c r="B927" t="s">
        <v>6555</v>
      </c>
      <c r="C927" t="s">
        <v>74</v>
      </c>
      <c r="D927" t="s">
        <v>74</v>
      </c>
      <c r="E927" t="s">
        <v>74</v>
      </c>
      <c r="F927" t="s">
        <v>6555</v>
      </c>
      <c r="G927" t="s">
        <v>74</v>
      </c>
      <c r="H927" t="s">
        <v>74</v>
      </c>
      <c r="I927" t="s">
        <v>6556</v>
      </c>
      <c r="J927" t="s">
        <v>180</v>
      </c>
      <c r="K927" t="s">
        <v>74</v>
      </c>
      <c r="L927" t="s">
        <v>74</v>
      </c>
      <c r="M927" t="s">
        <v>74</v>
      </c>
      <c r="N927" t="s">
        <v>74</v>
      </c>
      <c r="O927" t="s">
        <v>74</v>
      </c>
      <c r="P927" t="s">
        <v>74</v>
      </c>
      <c r="Q927" t="s">
        <v>74</v>
      </c>
      <c r="R927" t="s">
        <v>74</v>
      </c>
      <c r="S927" t="s">
        <v>74</v>
      </c>
      <c r="T927" t="s">
        <v>74</v>
      </c>
      <c r="U927" t="s">
        <v>74</v>
      </c>
      <c r="V927" t="s">
        <v>74</v>
      </c>
      <c r="W927" t="s">
        <v>74</v>
      </c>
      <c r="X927" t="s">
        <v>74</v>
      </c>
      <c r="Y927" t="s">
        <v>74</v>
      </c>
      <c r="Z927" t="s">
        <v>74</v>
      </c>
      <c r="AA927" t="s">
        <v>74</v>
      </c>
      <c r="AB927" t="s">
        <v>74</v>
      </c>
      <c r="AC927" t="s">
        <v>74</v>
      </c>
      <c r="AD927" t="s">
        <v>74</v>
      </c>
      <c r="AE927" t="s">
        <v>74</v>
      </c>
      <c r="AF927" t="s">
        <v>74</v>
      </c>
      <c r="AG927" t="s">
        <v>74</v>
      </c>
      <c r="AH927" t="s">
        <v>74</v>
      </c>
      <c r="AI927" t="s">
        <v>74</v>
      </c>
      <c r="AJ927" t="s">
        <v>74</v>
      </c>
      <c r="AK927" t="s">
        <v>74</v>
      </c>
      <c r="AL927" t="s">
        <v>74</v>
      </c>
      <c r="AM927" t="s">
        <v>74</v>
      </c>
      <c r="AN927" t="s">
        <v>74</v>
      </c>
      <c r="AO927" t="s">
        <v>182</v>
      </c>
      <c r="AP927" t="s">
        <v>74</v>
      </c>
      <c r="AQ927" t="s">
        <v>74</v>
      </c>
      <c r="AR927" t="s">
        <v>74</v>
      </c>
      <c r="AS927" t="s">
        <v>74</v>
      </c>
      <c r="AT927" t="s">
        <v>157</v>
      </c>
      <c r="AU927">
        <v>1995</v>
      </c>
      <c r="AV927">
        <v>72</v>
      </c>
      <c r="AW927">
        <v>2</v>
      </c>
      <c r="AX927" t="s">
        <v>74</v>
      </c>
      <c r="AY927" t="s">
        <v>74</v>
      </c>
      <c r="AZ927" t="s">
        <v>74</v>
      </c>
      <c r="BA927" t="s">
        <v>74</v>
      </c>
      <c r="BB927">
        <v>245</v>
      </c>
      <c r="BC927">
        <v>262</v>
      </c>
      <c r="BD927" t="s">
        <v>74</v>
      </c>
      <c r="BE927" t="s">
        <v>6557</v>
      </c>
      <c r="BF927" t="str">
        <f>HYPERLINK("http://dx.doi.org/10.2307/3546227","http://dx.doi.org/10.2307/3546227")</f>
        <v>http://dx.doi.org/10.2307/3546227</v>
      </c>
      <c r="BG927" t="s">
        <v>74</v>
      </c>
      <c r="BH927" t="s">
        <v>74</v>
      </c>
      <c r="BI927" t="s">
        <v>74</v>
      </c>
      <c r="BJ927" t="s">
        <v>74</v>
      </c>
      <c r="BK927" t="s">
        <v>74</v>
      </c>
      <c r="BL927" t="s">
        <v>74</v>
      </c>
      <c r="BM927" t="s">
        <v>74</v>
      </c>
      <c r="BN927" t="s">
        <v>74</v>
      </c>
      <c r="BO927" t="s">
        <v>74</v>
      </c>
      <c r="BP927" t="s">
        <v>74</v>
      </c>
      <c r="BQ927" t="s">
        <v>74</v>
      </c>
      <c r="BR927" t="s">
        <v>74</v>
      </c>
      <c r="BS927" t="s">
        <v>6558</v>
      </c>
      <c r="BT927" t="str">
        <f>HYPERLINK("https%3A%2F%2Fwww.webofscience.com%2Fwos%2Fwoscc%2Ffull-record%2FWOS:A1995QN42500010","View Full Record in Web of Science")</f>
        <v>View Full Record in Web of Science</v>
      </c>
    </row>
    <row r="928" spans="1:72" x14ac:dyDescent="0.2">
      <c r="A928" t="s">
        <v>72</v>
      </c>
      <c r="B928" t="s">
        <v>6559</v>
      </c>
      <c r="C928" t="s">
        <v>74</v>
      </c>
      <c r="D928" t="s">
        <v>74</v>
      </c>
      <c r="E928" t="s">
        <v>74</v>
      </c>
      <c r="F928" t="s">
        <v>6559</v>
      </c>
      <c r="G928" t="s">
        <v>74</v>
      </c>
      <c r="H928" t="s">
        <v>74</v>
      </c>
      <c r="I928" t="s">
        <v>6560</v>
      </c>
      <c r="J928" t="s">
        <v>381</v>
      </c>
      <c r="K928" t="s">
        <v>74</v>
      </c>
      <c r="L928" t="s">
        <v>74</v>
      </c>
      <c r="M928" t="s">
        <v>74</v>
      </c>
      <c r="N928" t="s">
        <v>74</v>
      </c>
      <c r="O928" t="s">
        <v>74</v>
      </c>
      <c r="P928" t="s">
        <v>74</v>
      </c>
      <c r="Q928" t="s">
        <v>74</v>
      </c>
      <c r="R928" t="s">
        <v>74</v>
      </c>
      <c r="S928" t="s">
        <v>74</v>
      </c>
      <c r="T928" t="s">
        <v>74</v>
      </c>
      <c r="U928" t="s">
        <v>74</v>
      </c>
      <c r="V928" t="s">
        <v>74</v>
      </c>
      <c r="W928" t="s">
        <v>74</v>
      </c>
      <c r="X928" t="s">
        <v>74</v>
      </c>
      <c r="Y928" t="s">
        <v>74</v>
      </c>
      <c r="Z928" t="s">
        <v>74</v>
      </c>
      <c r="AA928" t="s">
        <v>74</v>
      </c>
      <c r="AB928" t="s">
        <v>74</v>
      </c>
      <c r="AC928" t="s">
        <v>74</v>
      </c>
      <c r="AD928" t="s">
        <v>74</v>
      </c>
      <c r="AE928" t="s">
        <v>74</v>
      </c>
      <c r="AF928" t="s">
        <v>74</v>
      </c>
      <c r="AG928" t="s">
        <v>74</v>
      </c>
      <c r="AH928" t="s">
        <v>74</v>
      </c>
      <c r="AI928" t="s">
        <v>74</v>
      </c>
      <c r="AJ928" t="s">
        <v>74</v>
      </c>
      <c r="AK928" t="s">
        <v>74</v>
      </c>
      <c r="AL928" t="s">
        <v>74</v>
      </c>
      <c r="AM928" t="s">
        <v>74</v>
      </c>
      <c r="AN928" t="s">
        <v>74</v>
      </c>
      <c r="AO928" t="s">
        <v>383</v>
      </c>
      <c r="AP928" t="s">
        <v>74</v>
      </c>
      <c r="AQ928" t="s">
        <v>74</v>
      </c>
      <c r="AR928" t="s">
        <v>74</v>
      </c>
      <c r="AS928" t="s">
        <v>74</v>
      </c>
      <c r="AT928" t="s">
        <v>74</v>
      </c>
      <c r="AU928">
        <v>1995</v>
      </c>
      <c r="AV928">
        <v>90</v>
      </c>
      <c r="AW928">
        <v>2</v>
      </c>
      <c r="AX928" t="s">
        <v>74</v>
      </c>
      <c r="AY928" t="s">
        <v>74</v>
      </c>
      <c r="AZ928" t="s">
        <v>74</v>
      </c>
      <c r="BA928" t="s">
        <v>74</v>
      </c>
      <c r="BB928">
        <v>263</v>
      </c>
      <c r="BC928">
        <v>267</v>
      </c>
      <c r="BD928" t="s">
        <v>74</v>
      </c>
      <c r="BE928" t="s">
        <v>6561</v>
      </c>
      <c r="BF928" t="str">
        <f>HYPERLINK("http://dx.doi.org/10.1016/0269-7491(95)00029-Q","http://dx.doi.org/10.1016/0269-7491(95)00029-Q")</f>
        <v>http://dx.doi.org/10.1016/0269-7491(95)00029-Q</v>
      </c>
      <c r="BG928" t="s">
        <v>74</v>
      </c>
      <c r="BH928" t="s">
        <v>74</v>
      </c>
      <c r="BI928" t="s">
        <v>74</v>
      </c>
      <c r="BJ928" t="s">
        <v>74</v>
      </c>
      <c r="BK928" t="s">
        <v>74</v>
      </c>
      <c r="BL928" t="s">
        <v>74</v>
      </c>
      <c r="BM928" t="s">
        <v>74</v>
      </c>
      <c r="BN928">
        <v>15091493</v>
      </c>
      <c r="BO928" t="s">
        <v>74</v>
      </c>
      <c r="BP928" t="s">
        <v>74</v>
      </c>
      <c r="BQ928" t="s">
        <v>74</v>
      </c>
      <c r="BR928" t="s">
        <v>74</v>
      </c>
      <c r="BS928" t="s">
        <v>6562</v>
      </c>
      <c r="BT928" t="str">
        <f>HYPERLINK("https%3A%2F%2Fwww.webofscience.com%2Fwos%2Fwoscc%2Ffull-record%2FWOS:A1995RP93200016","View Full Record in Web of Science")</f>
        <v>View Full Record in Web of Science</v>
      </c>
    </row>
    <row r="929" spans="1:72" x14ac:dyDescent="0.2">
      <c r="A929" t="s">
        <v>72</v>
      </c>
      <c r="B929" t="s">
        <v>6563</v>
      </c>
      <c r="C929" t="s">
        <v>74</v>
      </c>
      <c r="D929" t="s">
        <v>74</v>
      </c>
      <c r="E929" t="s">
        <v>74</v>
      </c>
      <c r="F929" t="s">
        <v>6563</v>
      </c>
      <c r="G929" t="s">
        <v>74</v>
      </c>
      <c r="H929" t="s">
        <v>74</v>
      </c>
      <c r="I929" t="s">
        <v>6564</v>
      </c>
      <c r="J929" t="s">
        <v>227</v>
      </c>
      <c r="K929" t="s">
        <v>74</v>
      </c>
      <c r="L929" t="s">
        <v>74</v>
      </c>
      <c r="M929" t="s">
        <v>74</v>
      </c>
      <c r="N929" t="s">
        <v>74</v>
      </c>
      <c r="O929" t="s">
        <v>74</v>
      </c>
      <c r="P929" t="s">
        <v>74</v>
      </c>
      <c r="Q929" t="s">
        <v>74</v>
      </c>
      <c r="R929" t="s">
        <v>74</v>
      </c>
      <c r="S929" t="s">
        <v>74</v>
      </c>
      <c r="T929" t="s">
        <v>74</v>
      </c>
      <c r="U929" t="s">
        <v>74</v>
      </c>
      <c r="V929" t="s">
        <v>74</v>
      </c>
      <c r="W929" t="s">
        <v>74</v>
      </c>
      <c r="X929" t="s">
        <v>74</v>
      </c>
      <c r="Y929" t="s">
        <v>74</v>
      </c>
      <c r="Z929" t="s">
        <v>74</v>
      </c>
      <c r="AA929" t="s">
        <v>74</v>
      </c>
      <c r="AB929" t="s">
        <v>74</v>
      </c>
      <c r="AC929" t="s">
        <v>74</v>
      </c>
      <c r="AD929" t="s">
        <v>74</v>
      </c>
      <c r="AE929" t="s">
        <v>74</v>
      </c>
      <c r="AF929" t="s">
        <v>74</v>
      </c>
      <c r="AG929" t="s">
        <v>74</v>
      </c>
      <c r="AH929" t="s">
        <v>74</v>
      </c>
      <c r="AI929" t="s">
        <v>74</v>
      </c>
      <c r="AJ929" t="s">
        <v>74</v>
      </c>
      <c r="AK929" t="s">
        <v>74</v>
      </c>
      <c r="AL929" t="s">
        <v>74</v>
      </c>
      <c r="AM929" t="s">
        <v>74</v>
      </c>
      <c r="AN929" t="s">
        <v>74</v>
      </c>
      <c r="AO929" t="s">
        <v>230</v>
      </c>
      <c r="AP929" t="s">
        <v>231</v>
      </c>
      <c r="AQ929" t="s">
        <v>74</v>
      </c>
      <c r="AR929" t="s">
        <v>74</v>
      </c>
      <c r="AS929" t="s">
        <v>74</v>
      </c>
      <c r="AT929" t="s">
        <v>335</v>
      </c>
      <c r="AU929">
        <v>1994</v>
      </c>
      <c r="AV929">
        <v>39</v>
      </c>
      <c r="AW929">
        <v>7</v>
      </c>
      <c r="AX929" t="s">
        <v>74</v>
      </c>
      <c r="AY929" t="s">
        <v>74</v>
      </c>
      <c r="AZ929" t="s">
        <v>74</v>
      </c>
      <c r="BA929" t="s">
        <v>74</v>
      </c>
      <c r="BB929">
        <v>1669</v>
      </c>
      <c r="BC929">
        <v>1679</v>
      </c>
      <c r="BD929" t="s">
        <v>74</v>
      </c>
      <c r="BE929" t="s">
        <v>6565</v>
      </c>
      <c r="BF929" t="str">
        <f>HYPERLINK("http://dx.doi.org/10.4319/lo.1994.39.7.1669","http://dx.doi.org/10.4319/lo.1994.39.7.1669")</f>
        <v>http://dx.doi.org/10.4319/lo.1994.39.7.1669</v>
      </c>
      <c r="BG929" t="s">
        <v>74</v>
      </c>
      <c r="BH929" t="s">
        <v>74</v>
      </c>
      <c r="BI929" t="s">
        <v>74</v>
      </c>
      <c r="BJ929" t="s">
        <v>74</v>
      </c>
      <c r="BK929" t="s">
        <v>74</v>
      </c>
      <c r="BL929" t="s">
        <v>74</v>
      </c>
      <c r="BM929" t="s">
        <v>74</v>
      </c>
      <c r="BN929" t="s">
        <v>74</v>
      </c>
      <c r="BO929" t="s">
        <v>74</v>
      </c>
      <c r="BP929" t="s">
        <v>74</v>
      </c>
      <c r="BQ929" t="s">
        <v>74</v>
      </c>
      <c r="BR929" t="s">
        <v>74</v>
      </c>
      <c r="BS929" t="s">
        <v>6566</v>
      </c>
      <c r="BT929" t="str">
        <f>HYPERLINK("https%3A%2F%2Fwww.webofscience.com%2Fwos%2Fwoscc%2Ffull-record%2FWOS:A1994PZ96700015","View Full Record in Web of Science")</f>
        <v>View Full Record in Web of Science</v>
      </c>
    </row>
    <row r="930" spans="1:72" x14ac:dyDescent="0.2">
      <c r="A930" t="s">
        <v>72</v>
      </c>
      <c r="B930" t="s">
        <v>6567</v>
      </c>
      <c r="C930" t="s">
        <v>74</v>
      </c>
      <c r="D930" t="s">
        <v>74</v>
      </c>
      <c r="E930" t="s">
        <v>74</v>
      </c>
      <c r="F930" t="s">
        <v>6567</v>
      </c>
      <c r="G930" t="s">
        <v>74</v>
      </c>
      <c r="H930" t="s">
        <v>74</v>
      </c>
      <c r="I930" t="s">
        <v>6568</v>
      </c>
      <c r="J930" t="s">
        <v>3805</v>
      </c>
      <c r="K930" t="s">
        <v>74</v>
      </c>
      <c r="L930" t="s">
        <v>74</v>
      </c>
      <c r="M930" t="s">
        <v>74</v>
      </c>
      <c r="N930" t="s">
        <v>74</v>
      </c>
      <c r="O930" t="s">
        <v>6569</v>
      </c>
      <c r="P930" t="s">
        <v>6570</v>
      </c>
      <c r="Q930" t="s">
        <v>6571</v>
      </c>
      <c r="R930" t="s">
        <v>6572</v>
      </c>
      <c r="S930" t="s">
        <v>6573</v>
      </c>
      <c r="T930" t="s">
        <v>74</v>
      </c>
      <c r="U930" t="s">
        <v>74</v>
      </c>
      <c r="V930" t="s">
        <v>74</v>
      </c>
      <c r="W930" t="s">
        <v>74</v>
      </c>
      <c r="X930" t="s">
        <v>74</v>
      </c>
      <c r="Y930" t="s">
        <v>74</v>
      </c>
      <c r="Z930" t="s">
        <v>74</v>
      </c>
      <c r="AA930" t="s">
        <v>74</v>
      </c>
      <c r="AB930" t="s">
        <v>74</v>
      </c>
      <c r="AC930" t="s">
        <v>74</v>
      </c>
      <c r="AD930" t="s">
        <v>74</v>
      </c>
      <c r="AE930" t="s">
        <v>74</v>
      </c>
      <c r="AF930" t="s">
        <v>74</v>
      </c>
      <c r="AG930" t="s">
        <v>74</v>
      </c>
      <c r="AH930" t="s">
        <v>74</v>
      </c>
      <c r="AI930" t="s">
        <v>74</v>
      </c>
      <c r="AJ930" t="s">
        <v>74</v>
      </c>
      <c r="AK930" t="s">
        <v>74</v>
      </c>
      <c r="AL930" t="s">
        <v>74</v>
      </c>
      <c r="AM930" t="s">
        <v>74</v>
      </c>
      <c r="AN930" t="s">
        <v>74</v>
      </c>
      <c r="AO930" t="s">
        <v>3808</v>
      </c>
      <c r="AP930" t="s">
        <v>74</v>
      </c>
      <c r="AQ930" t="s">
        <v>74</v>
      </c>
      <c r="AR930" t="s">
        <v>74</v>
      </c>
      <c r="AS930" t="s">
        <v>74</v>
      </c>
      <c r="AT930" t="s">
        <v>451</v>
      </c>
      <c r="AU930">
        <v>1994</v>
      </c>
      <c r="AV930">
        <v>75</v>
      </c>
      <c r="AW930" t="s">
        <v>74</v>
      </c>
      <c r="AX930" t="s">
        <v>74</v>
      </c>
      <c r="AY930" t="s">
        <v>74</v>
      </c>
      <c r="AZ930" t="s">
        <v>74</v>
      </c>
      <c r="BA930" t="s">
        <v>74</v>
      </c>
      <c r="BB930">
        <v>471</v>
      </c>
      <c r="BC930">
        <v>483</v>
      </c>
      <c r="BD930" t="s">
        <v>74</v>
      </c>
      <c r="BE930" t="s">
        <v>6574</v>
      </c>
      <c r="BF930" t="str">
        <f>HYPERLINK("http://dx.doi.org/10.1016/0304-3800(94)90041-8","http://dx.doi.org/10.1016/0304-3800(94)90041-8")</f>
        <v>http://dx.doi.org/10.1016/0304-3800(94)90041-8</v>
      </c>
      <c r="BG930" t="s">
        <v>74</v>
      </c>
      <c r="BH930" t="s">
        <v>74</v>
      </c>
      <c r="BI930" t="s">
        <v>74</v>
      </c>
      <c r="BJ930" t="s">
        <v>74</v>
      </c>
      <c r="BK930" t="s">
        <v>74</v>
      </c>
      <c r="BL930" t="s">
        <v>74</v>
      </c>
      <c r="BM930" t="s">
        <v>74</v>
      </c>
      <c r="BN930" t="s">
        <v>74</v>
      </c>
      <c r="BO930" t="s">
        <v>74</v>
      </c>
      <c r="BP930" t="s">
        <v>74</v>
      </c>
      <c r="BQ930" t="s">
        <v>74</v>
      </c>
      <c r="BR930" t="s">
        <v>74</v>
      </c>
      <c r="BS930" t="s">
        <v>6575</v>
      </c>
      <c r="BT930" t="str">
        <f>HYPERLINK("https%3A%2F%2Fwww.webofscience.com%2Fwos%2Fwoscc%2Ffull-record%2FWOS:A1994PH55600040","View Full Record in Web of Science")</f>
        <v>View Full Record in Web of Science</v>
      </c>
    </row>
    <row r="931" spans="1:72" x14ac:dyDescent="0.2">
      <c r="A931" t="s">
        <v>72</v>
      </c>
      <c r="B931" t="s">
        <v>6576</v>
      </c>
      <c r="C931" t="s">
        <v>74</v>
      </c>
      <c r="D931" t="s">
        <v>74</v>
      </c>
      <c r="E931" t="s">
        <v>74</v>
      </c>
      <c r="F931" t="s">
        <v>6576</v>
      </c>
      <c r="G931" t="s">
        <v>74</v>
      </c>
      <c r="H931" t="s">
        <v>74</v>
      </c>
      <c r="I931" t="s">
        <v>6577</v>
      </c>
      <c r="J931" t="s">
        <v>2827</v>
      </c>
      <c r="K931" t="s">
        <v>74</v>
      </c>
      <c r="L931" t="s">
        <v>74</v>
      </c>
      <c r="M931" t="s">
        <v>74</v>
      </c>
      <c r="N931" t="s">
        <v>74</v>
      </c>
      <c r="O931" t="s">
        <v>74</v>
      </c>
      <c r="P931" t="s">
        <v>74</v>
      </c>
      <c r="Q931" t="s">
        <v>74</v>
      </c>
      <c r="R931" t="s">
        <v>74</v>
      </c>
      <c r="S931" t="s">
        <v>74</v>
      </c>
      <c r="T931" t="s">
        <v>74</v>
      </c>
      <c r="U931" t="s">
        <v>74</v>
      </c>
      <c r="V931" t="s">
        <v>74</v>
      </c>
      <c r="W931" t="s">
        <v>74</v>
      </c>
      <c r="X931" t="s">
        <v>74</v>
      </c>
      <c r="Y931" t="s">
        <v>74</v>
      </c>
      <c r="Z931" t="s">
        <v>74</v>
      </c>
      <c r="AA931" t="s">
        <v>74</v>
      </c>
      <c r="AB931" t="s">
        <v>6578</v>
      </c>
      <c r="AC931" t="s">
        <v>74</v>
      </c>
      <c r="AD931" t="s">
        <v>74</v>
      </c>
      <c r="AE931" t="s">
        <v>74</v>
      </c>
      <c r="AF931" t="s">
        <v>74</v>
      </c>
      <c r="AG931" t="s">
        <v>74</v>
      </c>
      <c r="AH931" t="s">
        <v>74</v>
      </c>
      <c r="AI931" t="s">
        <v>74</v>
      </c>
      <c r="AJ931" t="s">
        <v>74</v>
      </c>
      <c r="AK931" t="s">
        <v>74</v>
      </c>
      <c r="AL931" t="s">
        <v>74</v>
      </c>
      <c r="AM931" t="s">
        <v>74</v>
      </c>
      <c r="AN931" t="s">
        <v>74</v>
      </c>
      <c r="AO931" t="s">
        <v>2828</v>
      </c>
      <c r="AP931" t="s">
        <v>2829</v>
      </c>
      <c r="AQ931" t="s">
        <v>74</v>
      </c>
      <c r="AR931" t="s">
        <v>74</v>
      </c>
      <c r="AS931" t="s">
        <v>74</v>
      </c>
      <c r="AT931" t="s">
        <v>451</v>
      </c>
      <c r="AU931">
        <v>1994</v>
      </c>
      <c r="AV931">
        <v>112</v>
      </c>
      <c r="AW931" t="s">
        <v>5289</v>
      </c>
      <c r="AX931" t="s">
        <v>74</v>
      </c>
      <c r="AY931" t="s">
        <v>74</v>
      </c>
      <c r="AZ931" t="s">
        <v>74</v>
      </c>
      <c r="BA931" t="s">
        <v>74</v>
      </c>
      <c r="BB931">
        <v>169</v>
      </c>
      <c r="BC931">
        <v>188</v>
      </c>
      <c r="BD931" t="s">
        <v>74</v>
      </c>
      <c r="BE931" t="s">
        <v>6579</v>
      </c>
      <c r="BF931" t="str">
        <f>HYPERLINK("http://dx.doi.org/10.3354/meps112169","http://dx.doi.org/10.3354/meps112169")</f>
        <v>http://dx.doi.org/10.3354/meps112169</v>
      </c>
      <c r="BG931" t="s">
        <v>74</v>
      </c>
      <c r="BH931" t="s">
        <v>74</v>
      </c>
      <c r="BI931" t="s">
        <v>74</v>
      </c>
      <c r="BJ931" t="s">
        <v>74</v>
      </c>
      <c r="BK931" t="s">
        <v>74</v>
      </c>
      <c r="BL931" t="s">
        <v>74</v>
      </c>
      <c r="BM931" t="s">
        <v>74</v>
      </c>
      <c r="BN931" t="s">
        <v>74</v>
      </c>
      <c r="BO931" t="s">
        <v>74</v>
      </c>
      <c r="BP931" t="s">
        <v>74</v>
      </c>
      <c r="BQ931" t="s">
        <v>74</v>
      </c>
      <c r="BR931" t="s">
        <v>74</v>
      </c>
      <c r="BS931" t="s">
        <v>6580</v>
      </c>
      <c r="BT931" t="str">
        <f>HYPERLINK("https%3A%2F%2Fwww.webofscience.com%2Fwos%2Fwoscc%2Ffull-record%2FWOS:A1994PG73100016","View Full Record in Web of Science")</f>
        <v>View Full Record in Web of Science</v>
      </c>
    </row>
    <row r="932" spans="1:72" x14ac:dyDescent="0.2">
      <c r="A932" t="s">
        <v>72</v>
      </c>
      <c r="B932" t="s">
        <v>6581</v>
      </c>
      <c r="C932" t="s">
        <v>74</v>
      </c>
      <c r="D932" t="s">
        <v>74</v>
      </c>
      <c r="E932" t="s">
        <v>74</v>
      </c>
      <c r="F932" t="s">
        <v>6581</v>
      </c>
      <c r="G932" t="s">
        <v>74</v>
      </c>
      <c r="H932" t="s">
        <v>74</v>
      </c>
      <c r="I932" t="s">
        <v>6582</v>
      </c>
      <c r="J932" t="s">
        <v>5783</v>
      </c>
      <c r="K932" t="s">
        <v>74</v>
      </c>
      <c r="L932" t="s">
        <v>74</v>
      </c>
      <c r="M932" t="s">
        <v>74</v>
      </c>
      <c r="N932" t="s">
        <v>74</v>
      </c>
      <c r="O932" t="s">
        <v>74</v>
      </c>
      <c r="P932" t="s">
        <v>74</v>
      </c>
      <c r="Q932" t="s">
        <v>74</v>
      </c>
      <c r="R932" t="s">
        <v>74</v>
      </c>
      <c r="S932" t="s">
        <v>74</v>
      </c>
      <c r="T932" t="s">
        <v>74</v>
      </c>
      <c r="U932" t="s">
        <v>74</v>
      </c>
      <c r="V932" t="s">
        <v>74</v>
      </c>
      <c r="W932" t="s">
        <v>74</v>
      </c>
      <c r="X932" t="s">
        <v>74</v>
      </c>
      <c r="Y932" t="s">
        <v>74</v>
      </c>
      <c r="Z932" t="s">
        <v>74</v>
      </c>
      <c r="AA932" t="s">
        <v>74</v>
      </c>
      <c r="AB932" t="s">
        <v>74</v>
      </c>
      <c r="AC932" t="s">
        <v>74</v>
      </c>
      <c r="AD932" t="s">
        <v>74</v>
      </c>
      <c r="AE932" t="s">
        <v>74</v>
      </c>
      <c r="AF932" t="s">
        <v>74</v>
      </c>
      <c r="AG932" t="s">
        <v>74</v>
      </c>
      <c r="AH932" t="s">
        <v>74</v>
      </c>
      <c r="AI932" t="s">
        <v>74</v>
      </c>
      <c r="AJ932" t="s">
        <v>74</v>
      </c>
      <c r="AK932" t="s">
        <v>74</v>
      </c>
      <c r="AL932" t="s">
        <v>74</v>
      </c>
      <c r="AM932" t="s">
        <v>74</v>
      </c>
      <c r="AN932" t="s">
        <v>74</v>
      </c>
      <c r="AO932" t="s">
        <v>5785</v>
      </c>
      <c r="AP932" t="s">
        <v>74</v>
      </c>
      <c r="AQ932" t="s">
        <v>74</v>
      </c>
      <c r="AR932" t="s">
        <v>74</v>
      </c>
      <c r="AS932" t="s">
        <v>74</v>
      </c>
      <c r="AT932" t="s">
        <v>82</v>
      </c>
      <c r="AU932">
        <v>1993</v>
      </c>
      <c r="AV932">
        <v>16</v>
      </c>
      <c r="AW932">
        <v>4</v>
      </c>
      <c r="AX932" t="s">
        <v>74</v>
      </c>
      <c r="AY932" t="s">
        <v>74</v>
      </c>
      <c r="AZ932" t="s">
        <v>74</v>
      </c>
      <c r="BA932" t="s">
        <v>74</v>
      </c>
      <c r="BB932">
        <v>898</v>
      </c>
      <c r="BC932">
        <v>912</v>
      </c>
      <c r="BD932" t="s">
        <v>74</v>
      </c>
      <c r="BE932" t="s">
        <v>6583</v>
      </c>
      <c r="BF932" t="str">
        <f>HYPERLINK("http://dx.doi.org/10.2307/1352448","http://dx.doi.org/10.2307/1352448")</f>
        <v>http://dx.doi.org/10.2307/1352448</v>
      </c>
      <c r="BG932" t="s">
        <v>74</v>
      </c>
      <c r="BH932" t="s">
        <v>74</v>
      </c>
      <c r="BI932" t="s">
        <v>74</v>
      </c>
      <c r="BJ932" t="s">
        <v>74</v>
      </c>
      <c r="BK932" t="s">
        <v>74</v>
      </c>
      <c r="BL932" t="s">
        <v>74</v>
      </c>
      <c r="BM932" t="s">
        <v>74</v>
      </c>
      <c r="BN932" t="s">
        <v>74</v>
      </c>
      <c r="BO932" t="s">
        <v>74</v>
      </c>
      <c r="BP932" t="s">
        <v>74</v>
      </c>
      <c r="BQ932" t="s">
        <v>74</v>
      </c>
      <c r="BR932" t="s">
        <v>74</v>
      </c>
      <c r="BS932" t="s">
        <v>6584</v>
      </c>
      <c r="BT932" t="str">
        <f>HYPERLINK("https%3A%2F%2Fwww.webofscience.com%2Fwos%2Fwoscc%2Ffull-record%2FWOS:A1993MW14700021","View Full Record in Web of Science")</f>
        <v>View Full Record in Web of Science</v>
      </c>
    </row>
    <row r="933" spans="1:72" x14ac:dyDescent="0.2">
      <c r="A933" t="s">
        <v>72</v>
      </c>
      <c r="B933" t="s">
        <v>6585</v>
      </c>
      <c r="C933" t="s">
        <v>74</v>
      </c>
      <c r="D933" t="s">
        <v>74</v>
      </c>
      <c r="E933" t="s">
        <v>74</v>
      </c>
      <c r="F933" t="s">
        <v>6585</v>
      </c>
      <c r="G933" t="s">
        <v>74</v>
      </c>
      <c r="H933" t="s">
        <v>74</v>
      </c>
      <c r="I933" t="s">
        <v>6586</v>
      </c>
      <c r="J933" t="s">
        <v>6587</v>
      </c>
      <c r="K933" t="s">
        <v>74</v>
      </c>
      <c r="L933" t="s">
        <v>74</v>
      </c>
      <c r="M933" t="s">
        <v>74</v>
      </c>
      <c r="N933" t="s">
        <v>74</v>
      </c>
      <c r="O933" t="s">
        <v>74</v>
      </c>
      <c r="P933" t="s">
        <v>74</v>
      </c>
      <c r="Q933" t="s">
        <v>74</v>
      </c>
      <c r="R933" t="s">
        <v>74</v>
      </c>
      <c r="S933" t="s">
        <v>74</v>
      </c>
      <c r="T933" t="s">
        <v>74</v>
      </c>
      <c r="U933" t="s">
        <v>74</v>
      </c>
      <c r="V933" t="s">
        <v>74</v>
      </c>
      <c r="W933" t="s">
        <v>74</v>
      </c>
      <c r="X933" t="s">
        <v>74</v>
      </c>
      <c r="Y933" t="s">
        <v>74</v>
      </c>
      <c r="Z933" t="s">
        <v>74</v>
      </c>
      <c r="AA933" t="s">
        <v>6588</v>
      </c>
      <c r="AB933" t="s">
        <v>6589</v>
      </c>
      <c r="AC933" t="s">
        <v>74</v>
      </c>
      <c r="AD933" t="s">
        <v>74</v>
      </c>
      <c r="AE933" t="s">
        <v>74</v>
      </c>
      <c r="AF933" t="s">
        <v>74</v>
      </c>
      <c r="AG933" t="s">
        <v>74</v>
      </c>
      <c r="AH933" t="s">
        <v>74</v>
      </c>
      <c r="AI933" t="s">
        <v>74</v>
      </c>
      <c r="AJ933" t="s">
        <v>74</v>
      </c>
      <c r="AK933" t="s">
        <v>74</v>
      </c>
      <c r="AL933" t="s">
        <v>74</v>
      </c>
      <c r="AM933" t="s">
        <v>74</v>
      </c>
      <c r="AN933" t="s">
        <v>74</v>
      </c>
      <c r="AO933" t="s">
        <v>6590</v>
      </c>
      <c r="AP933" t="s">
        <v>74</v>
      </c>
      <c r="AQ933" t="s">
        <v>74</v>
      </c>
      <c r="AR933" t="s">
        <v>74</v>
      </c>
      <c r="AS933" t="s">
        <v>74</v>
      </c>
      <c r="AT933" t="s">
        <v>335</v>
      </c>
      <c r="AU933">
        <v>1993</v>
      </c>
      <c r="AV933">
        <v>71</v>
      </c>
      <c r="AW933" t="s">
        <v>74</v>
      </c>
      <c r="AX933">
        <v>5</v>
      </c>
      <c r="AY933" t="s">
        <v>74</v>
      </c>
      <c r="AZ933" t="s">
        <v>74</v>
      </c>
      <c r="BA933" t="s">
        <v>74</v>
      </c>
      <c r="BB933">
        <v>508</v>
      </c>
      <c r="BC933">
        <v>515</v>
      </c>
      <c r="BD933" t="s">
        <v>74</v>
      </c>
      <c r="BE933" t="s">
        <v>6591</v>
      </c>
      <c r="BF933" t="str">
        <f>HYPERLINK("http://dx.doi.org/10.1038/hdy.1993.169","http://dx.doi.org/10.1038/hdy.1993.169")</f>
        <v>http://dx.doi.org/10.1038/hdy.1993.169</v>
      </c>
      <c r="BG933" t="s">
        <v>74</v>
      </c>
      <c r="BH933" t="s">
        <v>74</v>
      </c>
      <c r="BI933" t="s">
        <v>74</v>
      </c>
      <c r="BJ933" t="s">
        <v>74</v>
      </c>
      <c r="BK933" t="s">
        <v>74</v>
      </c>
      <c r="BL933" t="s">
        <v>74</v>
      </c>
      <c r="BM933" t="s">
        <v>74</v>
      </c>
      <c r="BN933" t="s">
        <v>74</v>
      </c>
      <c r="BO933" t="s">
        <v>74</v>
      </c>
      <c r="BP933" t="s">
        <v>74</v>
      </c>
      <c r="BQ933" t="s">
        <v>74</v>
      </c>
      <c r="BR933" t="s">
        <v>74</v>
      </c>
      <c r="BS933" t="s">
        <v>6592</v>
      </c>
      <c r="BT933" t="str">
        <f>HYPERLINK("https%3A%2F%2Fwww.webofscience.com%2Fwos%2Fwoscc%2Ffull-record%2FWOS:A1993MG42300008","View Full Record in Web of Science")</f>
        <v>View Full Record in Web of Science</v>
      </c>
    </row>
    <row r="934" spans="1:72" x14ac:dyDescent="0.2">
      <c r="A934" t="s">
        <v>72</v>
      </c>
      <c r="B934" t="s">
        <v>6593</v>
      </c>
      <c r="C934" t="s">
        <v>74</v>
      </c>
      <c r="D934" t="s">
        <v>74</v>
      </c>
      <c r="E934" t="s">
        <v>74</v>
      </c>
      <c r="F934" t="s">
        <v>6593</v>
      </c>
      <c r="G934" t="s">
        <v>74</v>
      </c>
      <c r="H934" t="s">
        <v>74</v>
      </c>
      <c r="I934" t="s">
        <v>6594</v>
      </c>
      <c r="J934" t="s">
        <v>77</v>
      </c>
      <c r="K934" t="s">
        <v>74</v>
      </c>
      <c r="L934" t="s">
        <v>74</v>
      </c>
      <c r="M934" t="s">
        <v>74</v>
      </c>
      <c r="N934" t="s">
        <v>74</v>
      </c>
      <c r="O934" t="s">
        <v>74</v>
      </c>
      <c r="P934" t="s">
        <v>74</v>
      </c>
      <c r="Q934" t="s">
        <v>74</v>
      </c>
      <c r="R934" t="s">
        <v>74</v>
      </c>
      <c r="S934" t="s">
        <v>74</v>
      </c>
      <c r="T934" t="s">
        <v>74</v>
      </c>
      <c r="U934" t="s">
        <v>74</v>
      </c>
      <c r="V934" t="s">
        <v>74</v>
      </c>
      <c r="W934" t="s">
        <v>74</v>
      </c>
      <c r="X934" t="s">
        <v>74</v>
      </c>
      <c r="Y934" t="s">
        <v>74</v>
      </c>
      <c r="Z934" t="s">
        <v>74</v>
      </c>
      <c r="AA934" t="s">
        <v>74</v>
      </c>
      <c r="AB934" t="s">
        <v>74</v>
      </c>
      <c r="AC934" t="s">
        <v>74</v>
      </c>
      <c r="AD934" t="s">
        <v>74</v>
      </c>
      <c r="AE934" t="s">
        <v>74</v>
      </c>
      <c r="AF934" t="s">
        <v>74</v>
      </c>
      <c r="AG934" t="s">
        <v>74</v>
      </c>
      <c r="AH934" t="s">
        <v>74</v>
      </c>
      <c r="AI934" t="s">
        <v>74</v>
      </c>
      <c r="AJ934" t="s">
        <v>74</v>
      </c>
      <c r="AK934" t="s">
        <v>74</v>
      </c>
      <c r="AL934" t="s">
        <v>74</v>
      </c>
      <c r="AM934" t="s">
        <v>74</v>
      </c>
      <c r="AN934" t="s">
        <v>74</v>
      </c>
      <c r="AO934" t="s">
        <v>80</v>
      </c>
      <c r="AP934" t="s">
        <v>74</v>
      </c>
      <c r="AQ934" t="s">
        <v>74</v>
      </c>
      <c r="AR934" t="s">
        <v>74</v>
      </c>
      <c r="AS934" t="s">
        <v>74</v>
      </c>
      <c r="AT934" t="s">
        <v>5034</v>
      </c>
      <c r="AU934">
        <v>1993</v>
      </c>
      <c r="AV934">
        <v>26</v>
      </c>
      <c r="AW934">
        <v>3</v>
      </c>
      <c r="AX934" t="s">
        <v>74</v>
      </c>
      <c r="AY934" t="s">
        <v>74</v>
      </c>
      <c r="AZ934" t="s">
        <v>74</v>
      </c>
      <c r="BA934" t="s">
        <v>74</v>
      </c>
      <c r="BB934">
        <v>189</v>
      </c>
      <c r="BC934">
        <v>200</v>
      </c>
      <c r="BD934" t="s">
        <v>74</v>
      </c>
      <c r="BE934" t="s">
        <v>74</v>
      </c>
      <c r="BF934" t="s">
        <v>74</v>
      </c>
      <c r="BG934" t="s">
        <v>74</v>
      </c>
      <c r="BH934" t="s">
        <v>74</v>
      </c>
      <c r="BI934" t="s">
        <v>74</v>
      </c>
      <c r="BJ934" t="s">
        <v>74</v>
      </c>
      <c r="BK934" t="s">
        <v>74</v>
      </c>
      <c r="BL934" t="s">
        <v>74</v>
      </c>
      <c r="BM934" t="s">
        <v>74</v>
      </c>
      <c r="BN934">
        <v>24190089</v>
      </c>
      <c r="BO934" t="s">
        <v>74</v>
      </c>
      <c r="BP934" t="s">
        <v>74</v>
      </c>
      <c r="BQ934" t="s">
        <v>74</v>
      </c>
      <c r="BR934" t="s">
        <v>74</v>
      </c>
      <c r="BS934" t="s">
        <v>6595</v>
      </c>
      <c r="BT934" t="str">
        <f>HYPERLINK("https%3A%2F%2Fwww.webofscience.com%2Fwos%2Fwoscc%2Ffull-record%2FWOS:A1993MP10300001","View Full Record in Web of Science")</f>
        <v>View Full Record in Web of Science</v>
      </c>
    </row>
    <row r="935" spans="1:72" x14ac:dyDescent="0.2">
      <c r="A935" t="s">
        <v>72</v>
      </c>
      <c r="B935" t="s">
        <v>6596</v>
      </c>
      <c r="C935" t="s">
        <v>74</v>
      </c>
      <c r="D935" t="s">
        <v>74</v>
      </c>
      <c r="E935" t="s">
        <v>74</v>
      </c>
      <c r="F935" t="s">
        <v>6596</v>
      </c>
      <c r="G935" t="s">
        <v>74</v>
      </c>
      <c r="H935" t="s">
        <v>74</v>
      </c>
      <c r="I935" t="s">
        <v>6597</v>
      </c>
      <c r="J935" t="s">
        <v>1299</v>
      </c>
      <c r="K935" t="s">
        <v>74</v>
      </c>
      <c r="L935" t="s">
        <v>74</v>
      </c>
      <c r="M935" t="s">
        <v>74</v>
      </c>
      <c r="N935" t="s">
        <v>74</v>
      </c>
      <c r="O935" t="s">
        <v>74</v>
      </c>
      <c r="P935" t="s">
        <v>74</v>
      </c>
      <c r="Q935" t="s">
        <v>74</v>
      </c>
      <c r="R935" t="s">
        <v>74</v>
      </c>
      <c r="S935" t="s">
        <v>74</v>
      </c>
      <c r="T935" t="s">
        <v>74</v>
      </c>
      <c r="U935" t="s">
        <v>74</v>
      </c>
      <c r="V935" t="s">
        <v>74</v>
      </c>
      <c r="W935" t="s">
        <v>74</v>
      </c>
      <c r="X935" t="s">
        <v>74</v>
      </c>
      <c r="Y935" t="s">
        <v>74</v>
      </c>
      <c r="Z935" t="s">
        <v>74</v>
      </c>
      <c r="AA935" t="s">
        <v>7183</v>
      </c>
      <c r="AB935" t="s">
        <v>7184</v>
      </c>
      <c r="AC935" t="s">
        <v>74</v>
      </c>
      <c r="AD935" t="s">
        <v>74</v>
      </c>
      <c r="AE935" t="s">
        <v>74</v>
      </c>
      <c r="AF935" t="s">
        <v>74</v>
      </c>
      <c r="AG935" t="s">
        <v>74</v>
      </c>
      <c r="AH935" t="s">
        <v>74</v>
      </c>
      <c r="AI935" t="s">
        <v>74</v>
      </c>
      <c r="AJ935" t="s">
        <v>74</v>
      </c>
      <c r="AK935" t="s">
        <v>74</v>
      </c>
      <c r="AL935" t="s">
        <v>74</v>
      </c>
      <c r="AM935" t="s">
        <v>74</v>
      </c>
      <c r="AN935" t="s">
        <v>74</v>
      </c>
      <c r="AO935" t="s">
        <v>1302</v>
      </c>
      <c r="AP935" t="s">
        <v>1303</v>
      </c>
      <c r="AQ935" t="s">
        <v>74</v>
      </c>
      <c r="AR935" t="s">
        <v>74</v>
      </c>
      <c r="AS935" t="s">
        <v>74</v>
      </c>
      <c r="AT935" t="s">
        <v>520</v>
      </c>
      <c r="AU935">
        <v>1993</v>
      </c>
      <c r="AV935">
        <v>95</v>
      </c>
      <c r="AW935">
        <v>2</v>
      </c>
      <c r="AX935" t="s">
        <v>74</v>
      </c>
      <c r="AY935" t="s">
        <v>74</v>
      </c>
      <c r="AZ935" t="s">
        <v>74</v>
      </c>
      <c r="BA935" t="s">
        <v>74</v>
      </c>
      <c r="BB935">
        <v>202</v>
      </c>
      <c r="BC935">
        <v>209</v>
      </c>
      <c r="BD935" t="s">
        <v>74</v>
      </c>
      <c r="BE935" t="s">
        <v>6598</v>
      </c>
      <c r="BF935" t="str">
        <f>HYPERLINK("http://dx.doi.org/10.1007/BF00323491","http://dx.doi.org/10.1007/BF00323491")</f>
        <v>http://dx.doi.org/10.1007/BF00323491</v>
      </c>
      <c r="BG935" t="s">
        <v>74</v>
      </c>
      <c r="BH935" t="s">
        <v>74</v>
      </c>
      <c r="BI935" t="s">
        <v>74</v>
      </c>
      <c r="BJ935" t="s">
        <v>74</v>
      </c>
      <c r="BK935" t="s">
        <v>74</v>
      </c>
      <c r="BL935" t="s">
        <v>74</v>
      </c>
      <c r="BM935" t="s">
        <v>74</v>
      </c>
      <c r="BN935">
        <v>28312943</v>
      </c>
      <c r="BO935" t="s">
        <v>74</v>
      </c>
      <c r="BP935" t="s">
        <v>74</v>
      </c>
      <c r="BQ935" t="s">
        <v>74</v>
      </c>
      <c r="BR935" t="s">
        <v>74</v>
      </c>
      <c r="BS935" t="s">
        <v>6599</v>
      </c>
      <c r="BT935" t="str">
        <f>HYPERLINK("https%3A%2F%2Fwww.webofscience.com%2Fwos%2Fwoscc%2Ffull-record%2FWOS:A1993LV56400007","View Full Record in Web of Science")</f>
        <v>View Full Record in Web of Science</v>
      </c>
    </row>
    <row r="936" spans="1:72" x14ac:dyDescent="0.2">
      <c r="A936" t="s">
        <v>72</v>
      </c>
      <c r="B936" t="s">
        <v>6600</v>
      </c>
      <c r="C936" t="s">
        <v>74</v>
      </c>
      <c r="D936" t="s">
        <v>74</v>
      </c>
      <c r="E936" t="s">
        <v>74</v>
      </c>
      <c r="F936" t="s">
        <v>6600</v>
      </c>
      <c r="G936" t="s">
        <v>74</v>
      </c>
      <c r="H936" t="s">
        <v>74</v>
      </c>
      <c r="I936" t="s">
        <v>6601</v>
      </c>
      <c r="J936" t="s">
        <v>1716</v>
      </c>
      <c r="K936" t="s">
        <v>74</v>
      </c>
      <c r="L936" t="s">
        <v>74</v>
      </c>
      <c r="M936" t="s">
        <v>74</v>
      </c>
      <c r="N936" t="s">
        <v>74</v>
      </c>
      <c r="O936" t="s">
        <v>74</v>
      </c>
      <c r="P936" t="s">
        <v>74</v>
      </c>
      <c r="Q936" t="s">
        <v>74</v>
      </c>
      <c r="R936" t="s">
        <v>74</v>
      </c>
      <c r="S936" t="s">
        <v>74</v>
      </c>
      <c r="T936" t="s">
        <v>74</v>
      </c>
      <c r="U936" t="s">
        <v>74</v>
      </c>
      <c r="V936" t="s">
        <v>74</v>
      </c>
      <c r="W936" t="s">
        <v>74</v>
      </c>
      <c r="X936" t="s">
        <v>74</v>
      </c>
      <c r="Y936" t="s">
        <v>74</v>
      </c>
      <c r="Z936" t="s">
        <v>74</v>
      </c>
      <c r="AA936" t="s">
        <v>74</v>
      </c>
      <c r="AB936" t="s">
        <v>74</v>
      </c>
      <c r="AC936" t="s">
        <v>74</v>
      </c>
      <c r="AD936" t="s">
        <v>74</v>
      </c>
      <c r="AE936" t="s">
        <v>74</v>
      </c>
      <c r="AF936" t="s">
        <v>74</v>
      </c>
      <c r="AG936" t="s">
        <v>74</v>
      </c>
      <c r="AH936" t="s">
        <v>74</v>
      </c>
      <c r="AI936" t="s">
        <v>74</v>
      </c>
      <c r="AJ936" t="s">
        <v>74</v>
      </c>
      <c r="AK936" t="s">
        <v>74</v>
      </c>
      <c r="AL936" t="s">
        <v>74</v>
      </c>
      <c r="AM936" t="s">
        <v>74</v>
      </c>
      <c r="AN936" t="s">
        <v>74</v>
      </c>
      <c r="AO936" t="s">
        <v>1717</v>
      </c>
      <c r="AP936" t="s">
        <v>74</v>
      </c>
      <c r="AQ936" t="s">
        <v>74</v>
      </c>
      <c r="AR936" t="s">
        <v>74</v>
      </c>
      <c r="AS936" t="s">
        <v>74</v>
      </c>
      <c r="AT936" t="s">
        <v>569</v>
      </c>
      <c r="AU936">
        <v>1993</v>
      </c>
      <c r="AV936">
        <v>29</v>
      </c>
      <c r="AW936">
        <v>3</v>
      </c>
      <c r="AX936" t="s">
        <v>74</v>
      </c>
      <c r="AY936" t="s">
        <v>74</v>
      </c>
      <c r="AZ936" t="s">
        <v>74</v>
      </c>
      <c r="BA936" t="s">
        <v>74</v>
      </c>
      <c r="BB936">
        <v>278</v>
      </c>
      <c r="BC936">
        <v>284</v>
      </c>
      <c r="BD936" t="s">
        <v>74</v>
      </c>
      <c r="BE936" t="s">
        <v>6602</v>
      </c>
      <c r="BF936" t="str">
        <f>HYPERLINK("http://dx.doi.org/10.1111/j.0022-3646.1993.00278.x","http://dx.doi.org/10.1111/j.0022-3646.1993.00278.x")</f>
        <v>http://dx.doi.org/10.1111/j.0022-3646.1993.00278.x</v>
      </c>
      <c r="BG936" t="s">
        <v>74</v>
      </c>
      <c r="BH936" t="s">
        <v>74</v>
      </c>
      <c r="BI936" t="s">
        <v>74</v>
      </c>
      <c r="BJ936" t="s">
        <v>74</v>
      </c>
      <c r="BK936" t="s">
        <v>74</v>
      </c>
      <c r="BL936" t="s">
        <v>74</v>
      </c>
      <c r="BM936" t="s">
        <v>74</v>
      </c>
      <c r="BN936" t="s">
        <v>74</v>
      </c>
      <c r="BO936" t="s">
        <v>74</v>
      </c>
      <c r="BP936" t="s">
        <v>74</v>
      </c>
      <c r="BQ936" t="s">
        <v>74</v>
      </c>
      <c r="BR936" t="s">
        <v>74</v>
      </c>
      <c r="BS936" t="s">
        <v>6603</v>
      </c>
      <c r="BT936" t="str">
        <f>HYPERLINK("https%3A%2F%2Fwww.webofscience.com%2Fwos%2Fwoscc%2Ffull-record%2FWOS:A1993LJ87600003","View Full Record in Web of Science")</f>
        <v>View Full Record in Web of Science</v>
      </c>
    </row>
    <row r="937" spans="1:72" x14ac:dyDescent="0.2">
      <c r="A937" t="s">
        <v>72</v>
      </c>
      <c r="B937" t="s">
        <v>6604</v>
      </c>
      <c r="C937" t="s">
        <v>74</v>
      </c>
      <c r="D937" t="s">
        <v>74</v>
      </c>
      <c r="E937" t="s">
        <v>74</v>
      </c>
      <c r="F937" t="s">
        <v>6604</v>
      </c>
      <c r="G937" t="s">
        <v>74</v>
      </c>
      <c r="H937" t="s">
        <v>74</v>
      </c>
      <c r="I937" t="s">
        <v>6605</v>
      </c>
      <c r="J937" t="s">
        <v>106</v>
      </c>
      <c r="K937" t="s">
        <v>74</v>
      </c>
      <c r="L937" t="s">
        <v>74</v>
      </c>
      <c r="M937" t="s">
        <v>74</v>
      </c>
      <c r="N937" t="s">
        <v>74</v>
      </c>
      <c r="O937" t="s">
        <v>74</v>
      </c>
      <c r="P937" t="s">
        <v>74</v>
      </c>
      <c r="Q937" t="s">
        <v>74</v>
      </c>
      <c r="R937" t="s">
        <v>74</v>
      </c>
      <c r="S937" t="s">
        <v>74</v>
      </c>
      <c r="T937" t="s">
        <v>74</v>
      </c>
      <c r="U937" t="s">
        <v>74</v>
      </c>
      <c r="V937" t="s">
        <v>74</v>
      </c>
      <c r="W937" t="s">
        <v>74</v>
      </c>
      <c r="X937" t="s">
        <v>74</v>
      </c>
      <c r="Y937" t="s">
        <v>74</v>
      </c>
      <c r="Z937" t="s">
        <v>74</v>
      </c>
      <c r="AA937" t="s">
        <v>74</v>
      </c>
      <c r="AB937" t="s">
        <v>74</v>
      </c>
      <c r="AC937" t="s">
        <v>74</v>
      </c>
      <c r="AD937" t="s">
        <v>74</v>
      </c>
      <c r="AE937" t="s">
        <v>74</v>
      </c>
      <c r="AF937" t="s">
        <v>74</v>
      </c>
      <c r="AG937" t="s">
        <v>74</v>
      </c>
      <c r="AH937" t="s">
        <v>74</v>
      </c>
      <c r="AI937" t="s">
        <v>74</v>
      </c>
      <c r="AJ937" t="s">
        <v>74</v>
      </c>
      <c r="AK937" t="s">
        <v>74</v>
      </c>
      <c r="AL937" t="s">
        <v>74</v>
      </c>
      <c r="AM937" t="s">
        <v>74</v>
      </c>
      <c r="AN937" t="s">
        <v>74</v>
      </c>
      <c r="AO937" t="s">
        <v>107</v>
      </c>
      <c r="AP937" t="s">
        <v>74</v>
      </c>
      <c r="AQ937" t="s">
        <v>74</v>
      </c>
      <c r="AR937" t="s">
        <v>74</v>
      </c>
      <c r="AS937" t="s">
        <v>74</v>
      </c>
      <c r="AT937" t="s">
        <v>157</v>
      </c>
      <c r="AU937">
        <v>1993</v>
      </c>
      <c r="AV937">
        <v>15</v>
      </c>
      <c r="AW937">
        <v>3</v>
      </c>
      <c r="AX937" t="s">
        <v>74</v>
      </c>
      <c r="AY937" t="s">
        <v>74</v>
      </c>
      <c r="AZ937" t="s">
        <v>74</v>
      </c>
      <c r="BA937" t="s">
        <v>74</v>
      </c>
      <c r="BB937">
        <v>295</v>
      </c>
      <c r="BC937">
        <v>315</v>
      </c>
      <c r="BD937" t="s">
        <v>74</v>
      </c>
      <c r="BE937" t="s">
        <v>6606</v>
      </c>
      <c r="BF937" t="str">
        <f>HYPERLINK("http://dx.doi.org/10.1093/plankt/15.3.295","http://dx.doi.org/10.1093/plankt/15.3.295")</f>
        <v>http://dx.doi.org/10.1093/plankt/15.3.295</v>
      </c>
      <c r="BG937" t="s">
        <v>74</v>
      </c>
      <c r="BH937" t="s">
        <v>74</v>
      </c>
      <c r="BI937" t="s">
        <v>74</v>
      </c>
      <c r="BJ937" t="s">
        <v>74</v>
      </c>
      <c r="BK937" t="s">
        <v>74</v>
      </c>
      <c r="BL937" t="s">
        <v>74</v>
      </c>
      <c r="BM937" t="s">
        <v>74</v>
      </c>
      <c r="BN937" t="s">
        <v>74</v>
      </c>
      <c r="BO937" t="s">
        <v>74</v>
      </c>
      <c r="BP937" t="s">
        <v>74</v>
      </c>
      <c r="BQ937" t="s">
        <v>74</v>
      </c>
      <c r="BR937" t="s">
        <v>74</v>
      </c>
      <c r="BS937" t="s">
        <v>6607</v>
      </c>
      <c r="BT937" t="str">
        <f>HYPERLINK("https%3A%2F%2Fwww.webofscience.com%2Fwos%2Fwoscc%2Ffull-record%2FWOS:A1993KP15500003","View Full Record in Web of Science")</f>
        <v>View Full Record in Web of Science</v>
      </c>
    </row>
    <row r="938" spans="1:72" x14ac:dyDescent="0.2">
      <c r="A938" t="s">
        <v>72</v>
      </c>
      <c r="B938" t="s">
        <v>6608</v>
      </c>
      <c r="C938" t="s">
        <v>74</v>
      </c>
      <c r="D938" t="s">
        <v>74</v>
      </c>
      <c r="E938" t="s">
        <v>74</v>
      </c>
      <c r="F938" t="s">
        <v>6608</v>
      </c>
      <c r="G938" t="s">
        <v>74</v>
      </c>
      <c r="H938" t="s">
        <v>74</v>
      </c>
      <c r="I938" t="s">
        <v>6609</v>
      </c>
      <c r="J938" t="s">
        <v>88</v>
      </c>
      <c r="K938" t="s">
        <v>74</v>
      </c>
      <c r="L938" t="s">
        <v>74</v>
      </c>
      <c r="M938" t="s">
        <v>74</v>
      </c>
      <c r="N938" t="s">
        <v>74</v>
      </c>
      <c r="O938" t="s">
        <v>74</v>
      </c>
      <c r="P938" t="s">
        <v>74</v>
      </c>
      <c r="Q938" t="s">
        <v>74</v>
      </c>
      <c r="R938" t="s">
        <v>74</v>
      </c>
      <c r="S938" t="s">
        <v>74</v>
      </c>
      <c r="T938" t="s">
        <v>74</v>
      </c>
      <c r="U938" t="s">
        <v>74</v>
      </c>
      <c r="V938" t="s">
        <v>74</v>
      </c>
      <c r="W938" t="s">
        <v>74</v>
      </c>
      <c r="X938" t="s">
        <v>74</v>
      </c>
      <c r="Y938" t="s">
        <v>74</v>
      </c>
      <c r="Z938" t="s">
        <v>74</v>
      </c>
      <c r="AA938" t="s">
        <v>74</v>
      </c>
      <c r="AB938" t="s">
        <v>74</v>
      </c>
      <c r="AC938" t="s">
        <v>74</v>
      </c>
      <c r="AD938" t="s">
        <v>74</v>
      </c>
      <c r="AE938" t="s">
        <v>74</v>
      </c>
      <c r="AF938" t="s">
        <v>74</v>
      </c>
      <c r="AG938" t="s">
        <v>74</v>
      </c>
      <c r="AH938" t="s">
        <v>74</v>
      </c>
      <c r="AI938" t="s">
        <v>74</v>
      </c>
      <c r="AJ938" t="s">
        <v>74</v>
      </c>
      <c r="AK938" t="s">
        <v>74</v>
      </c>
      <c r="AL938" t="s">
        <v>74</v>
      </c>
      <c r="AM938" t="s">
        <v>74</v>
      </c>
      <c r="AN938" t="s">
        <v>74</v>
      </c>
      <c r="AO938" t="s">
        <v>89</v>
      </c>
      <c r="AP938" t="s">
        <v>90</v>
      </c>
      <c r="AQ938" t="s">
        <v>74</v>
      </c>
      <c r="AR938" t="s">
        <v>74</v>
      </c>
      <c r="AS938" t="s">
        <v>74</v>
      </c>
      <c r="AT938" t="s">
        <v>416</v>
      </c>
      <c r="AU938">
        <v>1993</v>
      </c>
      <c r="AV938">
        <v>50</v>
      </c>
      <c r="AW938">
        <v>2</v>
      </c>
      <c r="AX938" t="s">
        <v>74</v>
      </c>
      <c r="AY938" t="s">
        <v>74</v>
      </c>
      <c r="AZ938" t="s">
        <v>74</v>
      </c>
      <c r="BA938" t="s">
        <v>74</v>
      </c>
      <c r="BB938">
        <v>370</v>
      </c>
      <c r="BC938">
        <v>380</v>
      </c>
      <c r="BD938" t="s">
        <v>74</v>
      </c>
      <c r="BE938" t="s">
        <v>6610</v>
      </c>
      <c r="BF938" t="str">
        <f>HYPERLINK("http://dx.doi.org/10.1139/f93-042","http://dx.doi.org/10.1139/f93-042")</f>
        <v>http://dx.doi.org/10.1139/f93-042</v>
      </c>
      <c r="BG938" t="s">
        <v>74</v>
      </c>
      <c r="BH938" t="s">
        <v>74</v>
      </c>
      <c r="BI938" t="s">
        <v>74</v>
      </c>
      <c r="BJ938" t="s">
        <v>74</v>
      </c>
      <c r="BK938" t="s">
        <v>74</v>
      </c>
      <c r="BL938" t="s">
        <v>74</v>
      </c>
      <c r="BM938" t="s">
        <v>74</v>
      </c>
      <c r="BN938" t="s">
        <v>74</v>
      </c>
      <c r="BO938" t="s">
        <v>74</v>
      </c>
      <c r="BP938" t="s">
        <v>74</v>
      </c>
      <c r="BQ938" t="s">
        <v>74</v>
      </c>
      <c r="BR938" t="s">
        <v>74</v>
      </c>
      <c r="BS938" t="s">
        <v>6611</v>
      </c>
      <c r="BT938" t="str">
        <f>HYPERLINK("https%3A%2F%2Fwww.webofscience.com%2Fwos%2Fwoscc%2Ffull-record%2FWOS:A1993LK29600018","View Full Record in Web of Science")</f>
        <v>View Full Record in Web of Science</v>
      </c>
    </row>
    <row r="939" spans="1:72" x14ac:dyDescent="0.2">
      <c r="A939" t="s">
        <v>72</v>
      </c>
      <c r="B939" t="s">
        <v>6612</v>
      </c>
      <c r="C939" t="s">
        <v>74</v>
      </c>
      <c r="D939" t="s">
        <v>74</v>
      </c>
      <c r="E939" t="s">
        <v>74</v>
      </c>
      <c r="F939" t="s">
        <v>6612</v>
      </c>
      <c r="G939" t="s">
        <v>74</v>
      </c>
      <c r="H939" t="s">
        <v>74</v>
      </c>
      <c r="I939" t="s">
        <v>6613</v>
      </c>
      <c r="J939" t="s">
        <v>381</v>
      </c>
      <c r="K939" t="s">
        <v>74</v>
      </c>
      <c r="L939" t="s">
        <v>74</v>
      </c>
      <c r="M939" t="s">
        <v>74</v>
      </c>
      <c r="N939" t="s">
        <v>74</v>
      </c>
      <c r="O939" t="s">
        <v>74</v>
      </c>
      <c r="P939" t="s">
        <v>74</v>
      </c>
      <c r="Q939" t="s">
        <v>74</v>
      </c>
      <c r="R939" t="s">
        <v>74</v>
      </c>
      <c r="S939" t="s">
        <v>74</v>
      </c>
      <c r="T939" t="s">
        <v>74</v>
      </c>
      <c r="U939" t="s">
        <v>74</v>
      </c>
      <c r="V939" t="s">
        <v>74</v>
      </c>
      <c r="W939" t="s">
        <v>74</v>
      </c>
      <c r="X939" t="s">
        <v>74</v>
      </c>
      <c r="Y939" t="s">
        <v>74</v>
      </c>
      <c r="Z939" t="s">
        <v>74</v>
      </c>
      <c r="AA939" t="s">
        <v>74</v>
      </c>
      <c r="AB939" t="s">
        <v>74</v>
      </c>
      <c r="AC939" t="s">
        <v>74</v>
      </c>
      <c r="AD939" t="s">
        <v>74</v>
      </c>
      <c r="AE939" t="s">
        <v>74</v>
      </c>
      <c r="AF939" t="s">
        <v>74</v>
      </c>
      <c r="AG939" t="s">
        <v>74</v>
      </c>
      <c r="AH939" t="s">
        <v>74</v>
      </c>
      <c r="AI939" t="s">
        <v>74</v>
      </c>
      <c r="AJ939" t="s">
        <v>74</v>
      </c>
      <c r="AK939" t="s">
        <v>74</v>
      </c>
      <c r="AL939" t="s">
        <v>74</v>
      </c>
      <c r="AM939" t="s">
        <v>74</v>
      </c>
      <c r="AN939" t="s">
        <v>74</v>
      </c>
      <c r="AO939" t="s">
        <v>383</v>
      </c>
      <c r="AP939" t="s">
        <v>384</v>
      </c>
      <c r="AQ939" t="s">
        <v>74</v>
      </c>
      <c r="AR939" t="s">
        <v>74</v>
      </c>
      <c r="AS939" t="s">
        <v>74</v>
      </c>
      <c r="AT939" t="s">
        <v>74</v>
      </c>
      <c r="AU939">
        <v>1993</v>
      </c>
      <c r="AV939">
        <v>82</v>
      </c>
      <c r="AW939">
        <v>3</v>
      </c>
      <c r="AX939" t="s">
        <v>74</v>
      </c>
      <c r="AY939" t="s">
        <v>74</v>
      </c>
      <c r="AZ939" t="s">
        <v>74</v>
      </c>
      <c r="BA939" t="s">
        <v>74</v>
      </c>
      <c r="BB939">
        <v>277</v>
      </c>
      <c r="BC939">
        <v>288</v>
      </c>
      <c r="BD939" t="s">
        <v>74</v>
      </c>
      <c r="BE939" t="s">
        <v>6614</v>
      </c>
      <c r="BF939" t="str">
        <f>HYPERLINK("http://dx.doi.org/10.1016/0269-7491(93)90130-G","http://dx.doi.org/10.1016/0269-7491(93)90130-G")</f>
        <v>http://dx.doi.org/10.1016/0269-7491(93)90130-G</v>
      </c>
      <c r="BG939" t="s">
        <v>74</v>
      </c>
      <c r="BH939" t="s">
        <v>74</v>
      </c>
      <c r="BI939" t="s">
        <v>74</v>
      </c>
      <c r="BJ939" t="s">
        <v>74</v>
      </c>
      <c r="BK939" t="s">
        <v>74</v>
      </c>
      <c r="BL939" t="s">
        <v>74</v>
      </c>
      <c r="BM939" t="s">
        <v>74</v>
      </c>
      <c r="BN939">
        <v>15091777</v>
      </c>
      <c r="BO939" t="s">
        <v>74</v>
      </c>
      <c r="BP939" t="s">
        <v>74</v>
      </c>
      <c r="BQ939" t="s">
        <v>74</v>
      </c>
      <c r="BR939" t="s">
        <v>74</v>
      </c>
      <c r="BS939" t="s">
        <v>6615</v>
      </c>
      <c r="BT939" t="str">
        <f>HYPERLINK("https%3A%2F%2Fwww.webofscience.com%2Fwos%2Fwoscc%2Ffull-record%2FWOS:A1993LW73700009","View Full Record in Web of Science")</f>
        <v>View Full Record in Web of Science</v>
      </c>
    </row>
    <row r="940" spans="1:72" x14ac:dyDescent="0.2">
      <c r="A940" t="s">
        <v>72</v>
      </c>
      <c r="B940" t="s">
        <v>6616</v>
      </c>
      <c r="C940" t="s">
        <v>74</v>
      </c>
      <c r="D940" t="s">
        <v>74</v>
      </c>
      <c r="E940" t="s">
        <v>74</v>
      </c>
      <c r="F940" t="s">
        <v>6616</v>
      </c>
      <c r="G940" t="s">
        <v>74</v>
      </c>
      <c r="H940" t="s">
        <v>74</v>
      </c>
      <c r="I940" t="s">
        <v>6617</v>
      </c>
      <c r="J940" t="s">
        <v>5710</v>
      </c>
      <c r="K940" t="s">
        <v>74</v>
      </c>
      <c r="L940" t="s">
        <v>74</v>
      </c>
      <c r="M940" t="s">
        <v>74</v>
      </c>
      <c r="N940" t="s">
        <v>74</v>
      </c>
      <c r="O940" t="s">
        <v>74</v>
      </c>
      <c r="P940" t="s">
        <v>74</v>
      </c>
      <c r="Q940" t="s">
        <v>74</v>
      </c>
      <c r="R940" t="s">
        <v>74</v>
      </c>
      <c r="S940" t="s">
        <v>74</v>
      </c>
      <c r="T940" t="s">
        <v>74</v>
      </c>
      <c r="U940" t="s">
        <v>74</v>
      </c>
      <c r="V940" t="s">
        <v>74</v>
      </c>
      <c r="W940" t="s">
        <v>74</v>
      </c>
      <c r="X940" t="s">
        <v>74</v>
      </c>
      <c r="Y940" t="s">
        <v>74</v>
      </c>
      <c r="Z940" t="s">
        <v>74</v>
      </c>
      <c r="AA940" t="s">
        <v>74</v>
      </c>
      <c r="AB940" t="s">
        <v>74</v>
      </c>
      <c r="AC940" t="s">
        <v>74</v>
      </c>
      <c r="AD940" t="s">
        <v>74</v>
      </c>
      <c r="AE940" t="s">
        <v>74</v>
      </c>
      <c r="AF940" t="s">
        <v>74</v>
      </c>
      <c r="AG940" t="s">
        <v>74</v>
      </c>
      <c r="AH940" t="s">
        <v>74</v>
      </c>
      <c r="AI940" t="s">
        <v>74</v>
      </c>
      <c r="AJ940" t="s">
        <v>74</v>
      </c>
      <c r="AK940" t="s">
        <v>74</v>
      </c>
      <c r="AL940" t="s">
        <v>74</v>
      </c>
      <c r="AM940" t="s">
        <v>74</v>
      </c>
      <c r="AN940" t="s">
        <v>74</v>
      </c>
      <c r="AO940" t="s">
        <v>5711</v>
      </c>
      <c r="AP940" t="s">
        <v>74</v>
      </c>
      <c r="AQ940" t="s">
        <v>74</v>
      </c>
      <c r="AR940" t="s">
        <v>74</v>
      </c>
      <c r="AS940" t="s">
        <v>74</v>
      </c>
      <c r="AT940" t="s">
        <v>315</v>
      </c>
      <c r="AU940">
        <v>1993</v>
      </c>
      <c r="AV940">
        <v>126</v>
      </c>
      <c r="AW940">
        <v>3</v>
      </c>
      <c r="AX940" t="s">
        <v>74</v>
      </c>
      <c r="AY940" t="s">
        <v>74</v>
      </c>
      <c r="AZ940" t="s">
        <v>74</v>
      </c>
      <c r="BA940" t="s">
        <v>74</v>
      </c>
      <c r="BB940">
        <v>315</v>
      </c>
      <c r="BC940">
        <v>327</v>
      </c>
      <c r="BD940" t="s">
        <v>74</v>
      </c>
      <c r="BE940" t="s">
        <v>74</v>
      </c>
      <c r="BF940" t="s">
        <v>74</v>
      </c>
      <c r="BG940" t="s">
        <v>74</v>
      </c>
      <c r="BH940" t="s">
        <v>74</v>
      </c>
      <c r="BI940" t="s">
        <v>74</v>
      </c>
      <c r="BJ940" t="s">
        <v>74</v>
      </c>
      <c r="BK940" t="s">
        <v>74</v>
      </c>
      <c r="BL940" t="s">
        <v>74</v>
      </c>
      <c r="BM940" t="s">
        <v>74</v>
      </c>
      <c r="BN940" t="s">
        <v>74</v>
      </c>
      <c r="BO940" t="s">
        <v>74</v>
      </c>
      <c r="BP940" t="s">
        <v>74</v>
      </c>
      <c r="BQ940" t="s">
        <v>74</v>
      </c>
      <c r="BR940" t="s">
        <v>74</v>
      </c>
      <c r="BS940" t="s">
        <v>6618</v>
      </c>
      <c r="BT940" t="str">
        <f>HYPERLINK("https%3A%2F%2Fwww.webofscience.com%2Fwos%2Fwoscc%2Ffull-record%2FWOS:A1993KN29800004","View Full Record in Web of Science")</f>
        <v>View Full Record in Web of Science</v>
      </c>
    </row>
    <row r="941" spans="1:72" x14ac:dyDescent="0.2">
      <c r="A941" t="s">
        <v>72</v>
      </c>
      <c r="B941" t="s">
        <v>6600</v>
      </c>
      <c r="C941" t="s">
        <v>74</v>
      </c>
      <c r="D941" t="s">
        <v>74</v>
      </c>
      <c r="E941" t="s">
        <v>74</v>
      </c>
      <c r="F941" t="s">
        <v>6600</v>
      </c>
      <c r="G941" t="s">
        <v>74</v>
      </c>
      <c r="H941" t="s">
        <v>74</v>
      </c>
      <c r="I941" t="s">
        <v>6619</v>
      </c>
      <c r="J941" t="s">
        <v>6620</v>
      </c>
      <c r="K941" t="s">
        <v>74</v>
      </c>
      <c r="L941" t="s">
        <v>74</v>
      </c>
      <c r="M941" t="s">
        <v>74</v>
      </c>
      <c r="N941" t="s">
        <v>74</v>
      </c>
      <c r="O941" t="s">
        <v>74</v>
      </c>
      <c r="P941" t="s">
        <v>74</v>
      </c>
      <c r="Q941" t="s">
        <v>74</v>
      </c>
      <c r="R941" t="s">
        <v>74</v>
      </c>
      <c r="S941" t="s">
        <v>74</v>
      </c>
      <c r="T941" t="s">
        <v>74</v>
      </c>
      <c r="U941" t="s">
        <v>74</v>
      </c>
      <c r="V941" t="s">
        <v>74</v>
      </c>
      <c r="W941" t="s">
        <v>74</v>
      </c>
      <c r="X941" t="s">
        <v>74</v>
      </c>
      <c r="Y941" t="s">
        <v>74</v>
      </c>
      <c r="Z941" t="s">
        <v>74</v>
      </c>
      <c r="AA941" t="s">
        <v>74</v>
      </c>
      <c r="AB941" t="s">
        <v>74</v>
      </c>
      <c r="AC941" t="s">
        <v>74</v>
      </c>
      <c r="AD941" t="s">
        <v>74</v>
      </c>
      <c r="AE941" t="s">
        <v>74</v>
      </c>
      <c r="AF941" t="s">
        <v>74</v>
      </c>
      <c r="AG941" t="s">
        <v>74</v>
      </c>
      <c r="AH941" t="s">
        <v>74</v>
      </c>
      <c r="AI941" t="s">
        <v>74</v>
      </c>
      <c r="AJ941" t="s">
        <v>74</v>
      </c>
      <c r="AK941" t="s">
        <v>74</v>
      </c>
      <c r="AL941" t="s">
        <v>74</v>
      </c>
      <c r="AM941" t="s">
        <v>74</v>
      </c>
      <c r="AN941" t="s">
        <v>74</v>
      </c>
      <c r="AO941" t="s">
        <v>6621</v>
      </c>
      <c r="AP941" t="s">
        <v>74</v>
      </c>
      <c r="AQ941" t="s">
        <v>74</v>
      </c>
      <c r="AR941" t="s">
        <v>74</v>
      </c>
      <c r="AS941" t="s">
        <v>74</v>
      </c>
      <c r="AT941" t="s">
        <v>74</v>
      </c>
      <c r="AU941">
        <v>1993</v>
      </c>
      <c r="AV941">
        <v>13</v>
      </c>
      <c r="AW941">
        <v>6</v>
      </c>
      <c r="AX941" t="s">
        <v>74</v>
      </c>
      <c r="AY941" t="s">
        <v>74</v>
      </c>
      <c r="AZ941" t="s">
        <v>74</v>
      </c>
      <c r="BA941" t="s">
        <v>74</v>
      </c>
      <c r="BB941">
        <v>697</v>
      </c>
      <c r="BC941">
        <v>705</v>
      </c>
      <c r="BD941" t="s">
        <v>74</v>
      </c>
      <c r="BE941" t="s">
        <v>6622</v>
      </c>
      <c r="BF941" t="str">
        <f>HYPERLINK("http://dx.doi.org/10.1111/j.1756-1051.1993.tb00114.x","http://dx.doi.org/10.1111/j.1756-1051.1993.tb00114.x")</f>
        <v>http://dx.doi.org/10.1111/j.1756-1051.1993.tb00114.x</v>
      </c>
      <c r="BG941" t="s">
        <v>74</v>
      </c>
      <c r="BH941" t="s">
        <v>74</v>
      </c>
      <c r="BI941" t="s">
        <v>74</v>
      </c>
      <c r="BJ941" t="s">
        <v>74</v>
      </c>
      <c r="BK941" t="s">
        <v>74</v>
      </c>
      <c r="BL941" t="s">
        <v>74</v>
      </c>
      <c r="BM941" t="s">
        <v>74</v>
      </c>
      <c r="BN941" t="s">
        <v>74</v>
      </c>
      <c r="BO941" t="s">
        <v>74</v>
      </c>
      <c r="BP941" t="s">
        <v>74</v>
      </c>
      <c r="BQ941" t="s">
        <v>74</v>
      </c>
      <c r="BR941" t="s">
        <v>74</v>
      </c>
      <c r="BS941" t="s">
        <v>6623</v>
      </c>
      <c r="BT941" t="str">
        <f>HYPERLINK("https%3A%2F%2Fwww.webofscience.com%2Fwos%2Fwoscc%2Ffull-record%2FWOS:A1993MU26300011","View Full Record in Web of Science")</f>
        <v>View Full Record in Web of Science</v>
      </c>
    </row>
    <row r="942" spans="1:72" x14ac:dyDescent="0.2">
      <c r="A942" t="s">
        <v>72</v>
      </c>
      <c r="B942" t="s">
        <v>6624</v>
      </c>
      <c r="C942" t="s">
        <v>74</v>
      </c>
      <c r="D942" t="s">
        <v>74</v>
      </c>
      <c r="E942" t="s">
        <v>74</v>
      </c>
      <c r="F942" t="s">
        <v>6624</v>
      </c>
      <c r="G942" t="s">
        <v>74</v>
      </c>
      <c r="H942" t="s">
        <v>74</v>
      </c>
      <c r="I942" t="s">
        <v>6625</v>
      </c>
      <c r="J942" t="s">
        <v>124</v>
      </c>
      <c r="K942" t="s">
        <v>74</v>
      </c>
      <c r="L942" t="s">
        <v>74</v>
      </c>
      <c r="M942" t="s">
        <v>74</v>
      </c>
      <c r="N942" t="s">
        <v>74</v>
      </c>
      <c r="O942" t="s">
        <v>74</v>
      </c>
      <c r="P942" t="s">
        <v>74</v>
      </c>
      <c r="Q942" t="s">
        <v>74</v>
      </c>
      <c r="R942" t="s">
        <v>74</v>
      </c>
      <c r="S942" t="s">
        <v>74</v>
      </c>
      <c r="T942" t="s">
        <v>74</v>
      </c>
      <c r="U942" t="s">
        <v>74</v>
      </c>
      <c r="V942" t="s">
        <v>74</v>
      </c>
      <c r="W942" t="s">
        <v>74</v>
      </c>
      <c r="X942" t="s">
        <v>74</v>
      </c>
      <c r="Y942" t="s">
        <v>74</v>
      </c>
      <c r="Z942" t="s">
        <v>74</v>
      </c>
      <c r="AA942" t="s">
        <v>74</v>
      </c>
      <c r="AB942" t="s">
        <v>74</v>
      </c>
      <c r="AC942" t="s">
        <v>74</v>
      </c>
      <c r="AD942" t="s">
        <v>74</v>
      </c>
      <c r="AE942" t="s">
        <v>74</v>
      </c>
      <c r="AF942" t="s">
        <v>74</v>
      </c>
      <c r="AG942" t="s">
        <v>74</v>
      </c>
      <c r="AH942" t="s">
        <v>74</v>
      </c>
      <c r="AI942" t="s">
        <v>74</v>
      </c>
      <c r="AJ942" t="s">
        <v>74</v>
      </c>
      <c r="AK942" t="s">
        <v>74</v>
      </c>
      <c r="AL942" t="s">
        <v>74</v>
      </c>
      <c r="AM942" t="s">
        <v>74</v>
      </c>
      <c r="AN942" t="s">
        <v>74</v>
      </c>
      <c r="AO942" t="s">
        <v>127</v>
      </c>
      <c r="AP942" t="s">
        <v>74</v>
      </c>
      <c r="AQ942" t="s">
        <v>74</v>
      </c>
      <c r="AR942" t="s">
        <v>74</v>
      </c>
      <c r="AS942" t="s">
        <v>74</v>
      </c>
      <c r="AT942" t="s">
        <v>6626</v>
      </c>
      <c r="AU942">
        <v>1992</v>
      </c>
      <c r="AV942">
        <v>232</v>
      </c>
      <c r="AW942">
        <v>3</v>
      </c>
      <c r="AX942" t="s">
        <v>74</v>
      </c>
      <c r="AY942" t="s">
        <v>74</v>
      </c>
      <c r="AZ942" t="s">
        <v>74</v>
      </c>
      <c r="BA942" t="s">
        <v>74</v>
      </c>
      <c r="BB942">
        <v>175</v>
      </c>
      <c r="BC942">
        <v>191</v>
      </c>
      <c r="BD942" t="s">
        <v>74</v>
      </c>
      <c r="BE942" t="s">
        <v>6627</v>
      </c>
      <c r="BF942" t="str">
        <f>HYPERLINK("http://dx.doi.org/10.1007/BF00013703","http://dx.doi.org/10.1007/BF00013703")</f>
        <v>http://dx.doi.org/10.1007/BF00013703</v>
      </c>
      <c r="BG942" t="s">
        <v>74</v>
      </c>
      <c r="BH942" t="s">
        <v>74</v>
      </c>
      <c r="BI942" t="s">
        <v>74</v>
      </c>
      <c r="BJ942" t="s">
        <v>74</v>
      </c>
      <c r="BK942" t="s">
        <v>74</v>
      </c>
      <c r="BL942" t="s">
        <v>74</v>
      </c>
      <c r="BM942" t="s">
        <v>74</v>
      </c>
      <c r="BN942" t="s">
        <v>74</v>
      </c>
      <c r="BO942" t="s">
        <v>74</v>
      </c>
      <c r="BP942" t="s">
        <v>74</v>
      </c>
      <c r="BQ942" t="s">
        <v>74</v>
      </c>
      <c r="BR942" t="s">
        <v>74</v>
      </c>
      <c r="BS942" t="s">
        <v>6628</v>
      </c>
      <c r="BT942" t="str">
        <f>HYPERLINK("https%3A%2F%2Fwww.webofscience.com%2Fwos%2Fwoscc%2Ffull-record%2FWOS:A1992JA10200001","View Full Record in Web of Science")</f>
        <v>View Full Record in Web of Science</v>
      </c>
    </row>
    <row r="943" spans="1:72" x14ac:dyDescent="0.2">
      <c r="A943" t="s">
        <v>72</v>
      </c>
      <c r="B943" t="s">
        <v>6629</v>
      </c>
      <c r="C943" t="s">
        <v>74</v>
      </c>
      <c r="D943" t="s">
        <v>74</v>
      </c>
      <c r="E943" t="s">
        <v>74</v>
      </c>
      <c r="F943" t="s">
        <v>6629</v>
      </c>
      <c r="G943" t="s">
        <v>74</v>
      </c>
      <c r="H943" t="s">
        <v>74</v>
      </c>
      <c r="I943" t="s">
        <v>6630</v>
      </c>
      <c r="J943" t="s">
        <v>106</v>
      </c>
      <c r="K943" t="s">
        <v>74</v>
      </c>
      <c r="L943" t="s">
        <v>74</v>
      </c>
      <c r="M943" t="s">
        <v>74</v>
      </c>
      <c r="N943" t="s">
        <v>74</v>
      </c>
      <c r="O943" t="s">
        <v>74</v>
      </c>
      <c r="P943" t="s">
        <v>74</v>
      </c>
      <c r="Q943" t="s">
        <v>74</v>
      </c>
      <c r="R943" t="s">
        <v>74</v>
      </c>
      <c r="S943" t="s">
        <v>74</v>
      </c>
      <c r="T943" t="s">
        <v>74</v>
      </c>
      <c r="U943" t="s">
        <v>74</v>
      </c>
      <c r="V943" t="s">
        <v>74</v>
      </c>
      <c r="W943" t="s">
        <v>74</v>
      </c>
      <c r="X943" t="s">
        <v>74</v>
      </c>
      <c r="Y943" t="s">
        <v>74</v>
      </c>
      <c r="Z943" t="s">
        <v>74</v>
      </c>
      <c r="AA943" t="s">
        <v>6631</v>
      </c>
      <c r="AB943" t="s">
        <v>6632</v>
      </c>
      <c r="AC943" t="s">
        <v>74</v>
      </c>
      <c r="AD943" t="s">
        <v>74</v>
      </c>
      <c r="AE943" t="s">
        <v>74</v>
      </c>
      <c r="AF943" t="s">
        <v>74</v>
      </c>
      <c r="AG943" t="s">
        <v>74</v>
      </c>
      <c r="AH943" t="s">
        <v>74</v>
      </c>
      <c r="AI943" t="s">
        <v>74</v>
      </c>
      <c r="AJ943" t="s">
        <v>74</v>
      </c>
      <c r="AK943" t="s">
        <v>74</v>
      </c>
      <c r="AL943" t="s">
        <v>74</v>
      </c>
      <c r="AM943" t="s">
        <v>74</v>
      </c>
      <c r="AN943" t="s">
        <v>74</v>
      </c>
      <c r="AO943" t="s">
        <v>107</v>
      </c>
      <c r="AP943" t="s">
        <v>108</v>
      </c>
      <c r="AQ943" t="s">
        <v>74</v>
      </c>
      <c r="AR943" t="s">
        <v>74</v>
      </c>
      <c r="AS943" t="s">
        <v>74</v>
      </c>
      <c r="AT943" t="s">
        <v>416</v>
      </c>
      <c r="AU943">
        <v>1992</v>
      </c>
      <c r="AV943">
        <v>14</v>
      </c>
      <c r="AW943">
        <v>2</v>
      </c>
      <c r="AX943" t="s">
        <v>74</v>
      </c>
      <c r="AY943" t="s">
        <v>74</v>
      </c>
      <c r="AZ943" t="s">
        <v>74</v>
      </c>
      <c r="BA943" t="s">
        <v>74</v>
      </c>
      <c r="BB943">
        <v>307</v>
      </c>
      <c r="BC943">
        <v>321</v>
      </c>
      <c r="BD943" t="s">
        <v>74</v>
      </c>
      <c r="BE943" t="s">
        <v>6633</v>
      </c>
      <c r="BF943" t="str">
        <f>HYPERLINK("http://dx.doi.org/10.1093/plankt/14.2.307","http://dx.doi.org/10.1093/plankt/14.2.307")</f>
        <v>http://dx.doi.org/10.1093/plankt/14.2.307</v>
      </c>
      <c r="BG943" t="s">
        <v>74</v>
      </c>
      <c r="BH943" t="s">
        <v>74</v>
      </c>
      <c r="BI943" t="s">
        <v>74</v>
      </c>
      <c r="BJ943" t="s">
        <v>74</v>
      </c>
      <c r="BK943" t="s">
        <v>74</v>
      </c>
      <c r="BL943" t="s">
        <v>74</v>
      </c>
      <c r="BM943" t="s">
        <v>74</v>
      </c>
      <c r="BN943" t="s">
        <v>74</v>
      </c>
      <c r="BO943" t="s">
        <v>74</v>
      </c>
      <c r="BP943" t="s">
        <v>74</v>
      </c>
      <c r="BQ943" t="s">
        <v>74</v>
      </c>
      <c r="BR943" t="s">
        <v>74</v>
      </c>
      <c r="BS943" t="s">
        <v>6634</v>
      </c>
      <c r="BT943" t="str">
        <f>HYPERLINK("https%3A%2F%2Fwww.webofscience.com%2Fwos%2Fwoscc%2Ffull-record%2FWOS:A1992HD36600009","View Full Record in Web of Science")</f>
        <v>View Full Record in Web of Science</v>
      </c>
    </row>
    <row r="944" spans="1:72" x14ac:dyDescent="0.2">
      <c r="A944" t="s">
        <v>72</v>
      </c>
      <c r="B944" t="s">
        <v>6635</v>
      </c>
      <c r="C944" t="s">
        <v>74</v>
      </c>
      <c r="D944" t="s">
        <v>74</v>
      </c>
      <c r="E944" t="s">
        <v>74</v>
      </c>
      <c r="F944" t="s">
        <v>6635</v>
      </c>
      <c r="G944" t="s">
        <v>74</v>
      </c>
      <c r="H944" t="s">
        <v>74</v>
      </c>
      <c r="I944" t="s">
        <v>6636</v>
      </c>
      <c r="J944" t="s">
        <v>88</v>
      </c>
      <c r="K944" t="s">
        <v>74</v>
      </c>
      <c r="L944" t="s">
        <v>74</v>
      </c>
      <c r="M944" t="s">
        <v>74</v>
      </c>
      <c r="N944" t="s">
        <v>74</v>
      </c>
      <c r="O944" t="s">
        <v>74</v>
      </c>
      <c r="P944" t="s">
        <v>74</v>
      </c>
      <c r="Q944" t="s">
        <v>74</v>
      </c>
      <c r="R944" t="s">
        <v>74</v>
      </c>
      <c r="S944" t="s">
        <v>74</v>
      </c>
      <c r="T944" t="s">
        <v>74</v>
      </c>
      <c r="U944" t="s">
        <v>74</v>
      </c>
      <c r="V944" t="s">
        <v>74</v>
      </c>
      <c r="W944" t="s">
        <v>74</v>
      </c>
      <c r="X944" t="s">
        <v>74</v>
      </c>
      <c r="Y944" t="s">
        <v>74</v>
      </c>
      <c r="Z944" t="s">
        <v>74</v>
      </c>
      <c r="AA944" t="s">
        <v>74</v>
      </c>
      <c r="AB944" t="s">
        <v>74</v>
      </c>
      <c r="AC944" t="s">
        <v>74</v>
      </c>
      <c r="AD944" t="s">
        <v>74</v>
      </c>
      <c r="AE944" t="s">
        <v>74</v>
      </c>
      <c r="AF944" t="s">
        <v>74</v>
      </c>
      <c r="AG944" t="s">
        <v>74</v>
      </c>
      <c r="AH944" t="s">
        <v>74</v>
      </c>
      <c r="AI944" t="s">
        <v>74</v>
      </c>
      <c r="AJ944" t="s">
        <v>74</v>
      </c>
      <c r="AK944" t="s">
        <v>74</v>
      </c>
      <c r="AL944" t="s">
        <v>74</v>
      </c>
      <c r="AM944" t="s">
        <v>74</v>
      </c>
      <c r="AN944" t="s">
        <v>74</v>
      </c>
      <c r="AO944" t="s">
        <v>89</v>
      </c>
      <c r="AP944" t="s">
        <v>74</v>
      </c>
      <c r="AQ944" t="s">
        <v>74</v>
      </c>
      <c r="AR944" t="s">
        <v>74</v>
      </c>
      <c r="AS944" t="s">
        <v>74</v>
      </c>
      <c r="AT944" t="s">
        <v>315</v>
      </c>
      <c r="AU944">
        <v>1992</v>
      </c>
      <c r="AV944">
        <v>49</v>
      </c>
      <c r="AW944">
        <v>1</v>
      </c>
      <c r="AX944" t="s">
        <v>74</v>
      </c>
      <c r="AY944" t="s">
        <v>74</v>
      </c>
      <c r="AZ944" t="s">
        <v>74</v>
      </c>
      <c r="BA944" t="s">
        <v>74</v>
      </c>
      <c r="BB944">
        <v>73</v>
      </c>
      <c r="BC944">
        <v>77</v>
      </c>
      <c r="BD944" t="s">
        <v>74</v>
      </c>
      <c r="BE944" t="s">
        <v>6637</v>
      </c>
      <c r="BF944" t="str">
        <f>HYPERLINK("http://dx.doi.org/10.1139/f92-008","http://dx.doi.org/10.1139/f92-008")</f>
        <v>http://dx.doi.org/10.1139/f92-008</v>
      </c>
      <c r="BG944" t="s">
        <v>74</v>
      </c>
      <c r="BH944" t="s">
        <v>74</v>
      </c>
      <c r="BI944" t="s">
        <v>74</v>
      </c>
      <c r="BJ944" t="s">
        <v>74</v>
      </c>
      <c r="BK944" t="s">
        <v>74</v>
      </c>
      <c r="BL944" t="s">
        <v>74</v>
      </c>
      <c r="BM944" t="s">
        <v>74</v>
      </c>
      <c r="BN944" t="s">
        <v>74</v>
      </c>
      <c r="BO944" t="s">
        <v>74</v>
      </c>
      <c r="BP944" t="s">
        <v>74</v>
      </c>
      <c r="BQ944" t="s">
        <v>74</v>
      </c>
      <c r="BR944" t="s">
        <v>74</v>
      </c>
      <c r="BS944" t="s">
        <v>6638</v>
      </c>
      <c r="BT944" t="str">
        <f>HYPERLINK("https%3A%2F%2Fwww.webofscience.com%2Fwos%2Fwoscc%2Ffull-record%2FWOS:A1992HC98500008","View Full Record in Web of Science")</f>
        <v>View Full Record in Web of Science</v>
      </c>
    </row>
    <row r="945" spans="1:72" x14ac:dyDescent="0.2">
      <c r="A945" t="s">
        <v>72</v>
      </c>
      <c r="B945" t="s">
        <v>6639</v>
      </c>
      <c r="C945" t="s">
        <v>74</v>
      </c>
      <c r="D945" t="s">
        <v>74</v>
      </c>
      <c r="E945" t="s">
        <v>74</v>
      </c>
      <c r="F945" t="s">
        <v>6639</v>
      </c>
      <c r="G945" t="s">
        <v>74</v>
      </c>
      <c r="H945" t="s">
        <v>74</v>
      </c>
      <c r="I945" t="s">
        <v>6640</v>
      </c>
      <c r="J945" t="s">
        <v>1323</v>
      </c>
      <c r="K945" t="s">
        <v>74</v>
      </c>
      <c r="L945" t="s">
        <v>74</v>
      </c>
      <c r="M945" t="s">
        <v>74</v>
      </c>
      <c r="N945" t="s">
        <v>74</v>
      </c>
      <c r="O945" t="s">
        <v>74</v>
      </c>
      <c r="P945" t="s">
        <v>74</v>
      </c>
      <c r="Q945" t="s">
        <v>74</v>
      </c>
      <c r="R945" t="s">
        <v>74</v>
      </c>
      <c r="S945" t="s">
        <v>74</v>
      </c>
      <c r="T945" t="s">
        <v>74</v>
      </c>
      <c r="U945" t="s">
        <v>74</v>
      </c>
      <c r="V945" t="s">
        <v>74</v>
      </c>
      <c r="W945" t="s">
        <v>74</v>
      </c>
      <c r="X945" t="s">
        <v>74</v>
      </c>
      <c r="Y945" t="s">
        <v>74</v>
      </c>
      <c r="Z945" t="s">
        <v>74</v>
      </c>
      <c r="AA945" t="s">
        <v>6641</v>
      </c>
      <c r="AB945" t="s">
        <v>6642</v>
      </c>
      <c r="AC945" t="s">
        <v>74</v>
      </c>
      <c r="AD945" t="s">
        <v>74</v>
      </c>
      <c r="AE945" t="s">
        <v>74</v>
      </c>
      <c r="AF945" t="s">
        <v>74</v>
      </c>
      <c r="AG945" t="s">
        <v>74</v>
      </c>
      <c r="AH945" t="s">
        <v>74</v>
      </c>
      <c r="AI945" t="s">
        <v>74</v>
      </c>
      <c r="AJ945" t="s">
        <v>74</v>
      </c>
      <c r="AK945" t="s">
        <v>74</v>
      </c>
      <c r="AL945" t="s">
        <v>74</v>
      </c>
      <c r="AM945" t="s">
        <v>74</v>
      </c>
      <c r="AN945" t="s">
        <v>74</v>
      </c>
      <c r="AO945" t="s">
        <v>1326</v>
      </c>
      <c r="AP945" t="s">
        <v>74</v>
      </c>
      <c r="AQ945" t="s">
        <v>74</v>
      </c>
      <c r="AR945" t="s">
        <v>74</v>
      </c>
      <c r="AS945" t="s">
        <v>74</v>
      </c>
      <c r="AT945" t="s">
        <v>74</v>
      </c>
      <c r="AU945">
        <v>1992</v>
      </c>
      <c r="AV945">
        <v>54</v>
      </c>
      <c r="AW945" t="s">
        <v>760</v>
      </c>
      <c r="AX945" t="s">
        <v>74</v>
      </c>
      <c r="AY945" t="s">
        <v>74</v>
      </c>
      <c r="AZ945" t="s">
        <v>74</v>
      </c>
      <c r="BA945" t="s">
        <v>74</v>
      </c>
      <c r="BB945">
        <v>321</v>
      </c>
      <c r="BC945">
        <v>330</v>
      </c>
      <c r="BD945" t="s">
        <v>74</v>
      </c>
      <c r="BE945" t="s">
        <v>6643</v>
      </c>
      <c r="BF945" t="str">
        <f>HYPERLINK("http://dx.doi.org/10.1007/BF00878144","http://dx.doi.org/10.1007/BF00878144")</f>
        <v>http://dx.doi.org/10.1007/BF00878144</v>
      </c>
      <c r="BG945" t="s">
        <v>74</v>
      </c>
      <c r="BH945" t="s">
        <v>74</v>
      </c>
      <c r="BI945" t="s">
        <v>74</v>
      </c>
      <c r="BJ945" t="s">
        <v>74</v>
      </c>
      <c r="BK945" t="s">
        <v>74</v>
      </c>
      <c r="BL945" t="s">
        <v>74</v>
      </c>
      <c r="BM945" t="s">
        <v>74</v>
      </c>
      <c r="BN945" t="s">
        <v>74</v>
      </c>
      <c r="BO945" t="s">
        <v>74</v>
      </c>
      <c r="BP945" t="s">
        <v>74</v>
      </c>
      <c r="BQ945" t="s">
        <v>74</v>
      </c>
      <c r="BR945" t="s">
        <v>74</v>
      </c>
      <c r="BS945" t="s">
        <v>6644</v>
      </c>
      <c r="BT945" t="str">
        <f>HYPERLINK("https%3A%2F%2Fwww.webofscience.com%2Fwos%2Fwoscc%2Ffull-record%2FWOS:A1992KD90400010","View Full Record in Web of Science")</f>
        <v>View Full Record in Web of Science</v>
      </c>
    </row>
    <row r="946" spans="1:72" x14ac:dyDescent="0.2">
      <c r="A946" t="s">
        <v>72</v>
      </c>
      <c r="B946" t="s">
        <v>6645</v>
      </c>
      <c r="C946" t="s">
        <v>74</v>
      </c>
      <c r="D946" t="s">
        <v>74</v>
      </c>
      <c r="E946" t="s">
        <v>74</v>
      </c>
      <c r="F946" t="s">
        <v>6645</v>
      </c>
      <c r="G946" t="s">
        <v>74</v>
      </c>
      <c r="H946" t="s">
        <v>74</v>
      </c>
      <c r="I946" t="s">
        <v>6646</v>
      </c>
      <c r="J946" t="s">
        <v>5705</v>
      </c>
      <c r="K946" t="s">
        <v>74</v>
      </c>
      <c r="L946" t="s">
        <v>74</v>
      </c>
      <c r="M946" t="s">
        <v>74</v>
      </c>
      <c r="N946" t="s">
        <v>74</v>
      </c>
      <c r="O946" t="s">
        <v>74</v>
      </c>
      <c r="P946" t="s">
        <v>74</v>
      </c>
      <c r="Q946" t="s">
        <v>74</v>
      </c>
      <c r="R946" t="s">
        <v>74</v>
      </c>
      <c r="S946" t="s">
        <v>74</v>
      </c>
      <c r="T946" t="s">
        <v>74</v>
      </c>
      <c r="U946" t="s">
        <v>74</v>
      </c>
      <c r="V946" t="s">
        <v>74</v>
      </c>
      <c r="W946" t="s">
        <v>74</v>
      </c>
      <c r="X946" t="s">
        <v>74</v>
      </c>
      <c r="Y946" t="s">
        <v>74</v>
      </c>
      <c r="Z946" t="s">
        <v>74</v>
      </c>
      <c r="AA946" t="s">
        <v>74</v>
      </c>
      <c r="AB946" t="s">
        <v>74</v>
      </c>
      <c r="AC946" t="s">
        <v>74</v>
      </c>
      <c r="AD946" t="s">
        <v>74</v>
      </c>
      <c r="AE946" t="s">
        <v>74</v>
      </c>
      <c r="AF946" t="s">
        <v>74</v>
      </c>
      <c r="AG946" t="s">
        <v>74</v>
      </c>
      <c r="AH946" t="s">
        <v>74</v>
      </c>
      <c r="AI946" t="s">
        <v>74</v>
      </c>
      <c r="AJ946" t="s">
        <v>74</v>
      </c>
      <c r="AK946" t="s">
        <v>74</v>
      </c>
      <c r="AL946" t="s">
        <v>74</v>
      </c>
      <c r="AM946" t="s">
        <v>74</v>
      </c>
      <c r="AN946" t="s">
        <v>74</v>
      </c>
      <c r="AO946" t="s">
        <v>5706</v>
      </c>
      <c r="AP946" t="s">
        <v>74</v>
      </c>
      <c r="AQ946" t="s">
        <v>74</v>
      </c>
      <c r="AR946" t="s">
        <v>74</v>
      </c>
      <c r="AS946" t="s">
        <v>74</v>
      </c>
      <c r="AT946" t="s">
        <v>82</v>
      </c>
      <c r="AU946">
        <v>1991</v>
      </c>
      <c r="AV946">
        <v>10</v>
      </c>
      <c r="AW946">
        <v>4</v>
      </c>
      <c r="AX946" t="s">
        <v>74</v>
      </c>
      <c r="AY946" t="s">
        <v>74</v>
      </c>
      <c r="AZ946" t="s">
        <v>74</v>
      </c>
      <c r="BA946" t="s">
        <v>74</v>
      </c>
      <c r="BB946">
        <v>444</v>
      </c>
      <c r="BC946">
        <v>454</v>
      </c>
      <c r="BD946" t="s">
        <v>74</v>
      </c>
      <c r="BE946" t="s">
        <v>6647</v>
      </c>
      <c r="BF946" t="str">
        <f>HYPERLINK("http://dx.doi.org/10.2307/1467669","http://dx.doi.org/10.2307/1467669")</f>
        <v>http://dx.doi.org/10.2307/1467669</v>
      </c>
      <c r="BG946" t="s">
        <v>74</v>
      </c>
      <c r="BH946" t="s">
        <v>74</v>
      </c>
      <c r="BI946" t="s">
        <v>74</v>
      </c>
      <c r="BJ946" t="s">
        <v>74</v>
      </c>
      <c r="BK946" t="s">
        <v>74</v>
      </c>
      <c r="BL946" t="s">
        <v>74</v>
      </c>
      <c r="BM946" t="s">
        <v>74</v>
      </c>
      <c r="BN946" t="s">
        <v>74</v>
      </c>
      <c r="BO946" t="s">
        <v>74</v>
      </c>
      <c r="BP946" t="s">
        <v>74</v>
      </c>
      <c r="BQ946" t="s">
        <v>74</v>
      </c>
      <c r="BR946" t="s">
        <v>74</v>
      </c>
      <c r="BS946" t="s">
        <v>6648</v>
      </c>
      <c r="BT946" t="str">
        <f>HYPERLINK("https%3A%2F%2Fwww.webofscience.com%2Fwos%2Fwoscc%2Ffull-record%2FWOS:A1991GV33700008","View Full Record in Web of Science")</f>
        <v>View Full Record in Web of Science</v>
      </c>
    </row>
    <row r="947" spans="1:72" x14ac:dyDescent="0.2">
      <c r="A947" t="s">
        <v>72</v>
      </c>
      <c r="B947" t="s">
        <v>6649</v>
      </c>
      <c r="C947" t="s">
        <v>74</v>
      </c>
      <c r="D947" t="s">
        <v>74</v>
      </c>
      <c r="E947" t="s">
        <v>74</v>
      </c>
      <c r="F947" t="s">
        <v>6649</v>
      </c>
      <c r="G947" t="s">
        <v>74</v>
      </c>
      <c r="H947" t="s">
        <v>74</v>
      </c>
      <c r="I947" t="s">
        <v>6650</v>
      </c>
      <c r="J947" t="s">
        <v>5710</v>
      </c>
      <c r="K947" t="s">
        <v>74</v>
      </c>
      <c r="L947" t="s">
        <v>74</v>
      </c>
      <c r="M947" t="s">
        <v>74</v>
      </c>
      <c r="N947" t="s">
        <v>74</v>
      </c>
      <c r="O947" t="s">
        <v>74</v>
      </c>
      <c r="P947" t="s">
        <v>74</v>
      </c>
      <c r="Q947" t="s">
        <v>74</v>
      </c>
      <c r="R947" t="s">
        <v>74</v>
      </c>
      <c r="S947" t="s">
        <v>74</v>
      </c>
      <c r="T947" t="s">
        <v>74</v>
      </c>
      <c r="U947" t="s">
        <v>74</v>
      </c>
      <c r="V947" t="s">
        <v>74</v>
      </c>
      <c r="W947" t="s">
        <v>74</v>
      </c>
      <c r="X947" t="s">
        <v>74</v>
      </c>
      <c r="Y947" t="s">
        <v>74</v>
      </c>
      <c r="Z947" t="s">
        <v>74</v>
      </c>
      <c r="AA947" t="s">
        <v>74</v>
      </c>
      <c r="AB947" t="s">
        <v>74</v>
      </c>
      <c r="AC947" t="s">
        <v>74</v>
      </c>
      <c r="AD947" t="s">
        <v>74</v>
      </c>
      <c r="AE947" t="s">
        <v>74</v>
      </c>
      <c r="AF947" t="s">
        <v>74</v>
      </c>
      <c r="AG947" t="s">
        <v>74</v>
      </c>
      <c r="AH947" t="s">
        <v>74</v>
      </c>
      <c r="AI947" t="s">
        <v>74</v>
      </c>
      <c r="AJ947" t="s">
        <v>74</v>
      </c>
      <c r="AK947" t="s">
        <v>74</v>
      </c>
      <c r="AL947" t="s">
        <v>74</v>
      </c>
      <c r="AM947" t="s">
        <v>74</v>
      </c>
      <c r="AN947" t="s">
        <v>74</v>
      </c>
      <c r="AO947" t="s">
        <v>5711</v>
      </c>
      <c r="AP947" t="s">
        <v>74</v>
      </c>
      <c r="AQ947" t="s">
        <v>74</v>
      </c>
      <c r="AR947" t="s">
        <v>74</v>
      </c>
      <c r="AS947" t="s">
        <v>74</v>
      </c>
      <c r="AT947" t="s">
        <v>335</v>
      </c>
      <c r="AU947">
        <v>1991</v>
      </c>
      <c r="AV947">
        <v>123</v>
      </c>
      <c r="AW947">
        <v>1</v>
      </c>
      <c r="AX947" t="s">
        <v>74</v>
      </c>
      <c r="AY947" t="s">
        <v>74</v>
      </c>
      <c r="AZ947" t="s">
        <v>74</v>
      </c>
      <c r="BA947" t="s">
        <v>74</v>
      </c>
      <c r="BB947">
        <v>69</v>
      </c>
      <c r="BC947">
        <v>97</v>
      </c>
      <c r="BD947" t="s">
        <v>74</v>
      </c>
      <c r="BE947" t="s">
        <v>74</v>
      </c>
      <c r="BF947" t="s">
        <v>74</v>
      </c>
      <c r="BG947" t="s">
        <v>74</v>
      </c>
      <c r="BH947" t="s">
        <v>74</v>
      </c>
      <c r="BI947" t="s">
        <v>74</v>
      </c>
      <c r="BJ947" t="s">
        <v>74</v>
      </c>
      <c r="BK947" t="s">
        <v>74</v>
      </c>
      <c r="BL947" t="s">
        <v>74</v>
      </c>
      <c r="BM947" t="s">
        <v>74</v>
      </c>
      <c r="BN947" t="s">
        <v>74</v>
      </c>
      <c r="BO947" t="s">
        <v>74</v>
      </c>
      <c r="BP947" t="s">
        <v>74</v>
      </c>
      <c r="BQ947" t="s">
        <v>74</v>
      </c>
      <c r="BR947" t="s">
        <v>74</v>
      </c>
      <c r="BS947" t="s">
        <v>6651</v>
      </c>
      <c r="BT947" t="str">
        <f>HYPERLINK("https%3A%2F%2Fwww.webofscience.com%2Fwos%2Fwoscc%2Ffull-record%2FWOS:A1991GT18500005","View Full Record in Web of Science")</f>
        <v>View Full Record in Web of Science</v>
      </c>
    </row>
    <row r="948" spans="1:72" x14ac:dyDescent="0.2">
      <c r="A948" t="s">
        <v>72</v>
      </c>
      <c r="B948" t="s">
        <v>6652</v>
      </c>
      <c r="C948" t="s">
        <v>74</v>
      </c>
      <c r="D948" t="s">
        <v>74</v>
      </c>
      <c r="E948" t="s">
        <v>74</v>
      </c>
      <c r="F948" t="s">
        <v>6652</v>
      </c>
      <c r="G948" t="s">
        <v>74</v>
      </c>
      <c r="H948" t="s">
        <v>74</v>
      </c>
      <c r="I948" t="s">
        <v>6653</v>
      </c>
      <c r="J948" t="s">
        <v>106</v>
      </c>
      <c r="K948" t="s">
        <v>74</v>
      </c>
      <c r="L948" t="s">
        <v>74</v>
      </c>
      <c r="M948" t="s">
        <v>74</v>
      </c>
      <c r="N948" t="s">
        <v>74</v>
      </c>
      <c r="O948" t="s">
        <v>74</v>
      </c>
      <c r="P948" t="s">
        <v>74</v>
      </c>
      <c r="Q948" t="s">
        <v>74</v>
      </c>
      <c r="R948" t="s">
        <v>74</v>
      </c>
      <c r="S948" t="s">
        <v>74</v>
      </c>
      <c r="T948" t="s">
        <v>74</v>
      </c>
      <c r="U948" t="s">
        <v>74</v>
      </c>
      <c r="V948" t="s">
        <v>74</v>
      </c>
      <c r="W948" t="s">
        <v>74</v>
      </c>
      <c r="X948" t="s">
        <v>74</v>
      </c>
      <c r="Y948" t="s">
        <v>74</v>
      </c>
      <c r="Z948" t="s">
        <v>74</v>
      </c>
      <c r="AA948" t="s">
        <v>6654</v>
      </c>
      <c r="AB948" t="s">
        <v>6655</v>
      </c>
      <c r="AC948" t="s">
        <v>74</v>
      </c>
      <c r="AD948" t="s">
        <v>74</v>
      </c>
      <c r="AE948" t="s">
        <v>74</v>
      </c>
      <c r="AF948" t="s">
        <v>74</v>
      </c>
      <c r="AG948" t="s">
        <v>74</v>
      </c>
      <c r="AH948" t="s">
        <v>74</v>
      </c>
      <c r="AI948" t="s">
        <v>74</v>
      </c>
      <c r="AJ948" t="s">
        <v>74</v>
      </c>
      <c r="AK948" t="s">
        <v>74</v>
      </c>
      <c r="AL948" t="s">
        <v>74</v>
      </c>
      <c r="AM948" t="s">
        <v>74</v>
      </c>
      <c r="AN948" t="s">
        <v>74</v>
      </c>
      <c r="AO948" t="s">
        <v>107</v>
      </c>
      <c r="AP948" t="s">
        <v>108</v>
      </c>
      <c r="AQ948" t="s">
        <v>74</v>
      </c>
      <c r="AR948" t="s">
        <v>74</v>
      </c>
      <c r="AS948" t="s">
        <v>74</v>
      </c>
      <c r="AT948" t="s">
        <v>624</v>
      </c>
      <c r="AU948">
        <v>1991</v>
      </c>
      <c r="AV948">
        <v>13</v>
      </c>
      <c r="AW948">
        <v>4</v>
      </c>
      <c r="AX948" t="s">
        <v>74</v>
      </c>
      <c r="AY948" t="s">
        <v>74</v>
      </c>
      <c r="AZ948" t="s">
        <v>74</v>
      </c>
      <c r="BA948" t="s">
        <v>74</v>
      </c>
      <c r="BB948">
        <v>863</v>
      </c>
      <c r="BC948">
        <v>871</v>
      </c>
      <c r="BD948" t="s">
        <v>74</v>
      </c>
      <c r="BE948" t="s">
        <v>6656</v>
      </c>
      <c r="BF948" t="str">
        <f>HYPERLINK("http://dx.doi.org/10.1093/plankt/13.4.863","http://dx.doi.org/10.1093/plankt/13.4.863")</f>
        <v>http://dx.doi.org/10.1093/plankt/13.4.863</v>
      </c>
      <c r="BG948" t="s">
        <v>74</v>
      </c>
      <c r="BH948" t="s">
        <v>74</v>
      </c>
      <c r="BI948" t="s">
        <v>74</v>
      </c>
      <c r="BJ948" t="s">
        <v>74</v>
      </c>
      <c r="BK948" t="s">
        <v>74</v>
      </c>
      <c r="BL948" t="s">
        <v>74</v>
      </c>
      <c r="BM948" t="s">
        <v>74</v>
      </c>
      <c r="BN948" t="s">
        <v>74</v>
      </c>
      <c r="BO948" t="s">
        <v>74</v>
      </c>
      <c r="BP948" t="s">
        <v>74</v>
      </c>
      <c r="BQ948" t="s">
        <v>74</v>
      </c>
      <c r="BR948" t="s">
        <v>74</v>
      </c>
      <c r="BS948" t="s">
        <v>6657</v>
      </c>
      <c r="BT948" t="str">
        <f>HYPERLINK("https%3A%2F%2Fwww.webofscience.com%2Fwos%2Fwoscc%2Ffull-record%2FWOS:A1991FV24100013","View Full Record in Web of Science")</f>
        <v>View Full Record in Web of Science</v>
      </c>
    </row>
    <row r="949" spans="1:72" x14ac:dyDescent="0.2">
      <c r="A949" t="s">
        <v>72</v>
      </c>
      <c r="B949" t="s">
        <v>6658</v>
      </c>
      <c r="C949" t="s">
        <v>74</v>
      </c>
      <c r="D949" t="s">
        <v>74</v>
      </c>
      <c r="E949" t="s">
        <v>74</v>
      </c>
      <c r="F949" t="s">
        <v>6658</v>
      </c>
      <c r="G949" t="s">
        <v>74</v>
      </c>
      <c r="H949" t="s">
        <v>74</v>
      </c>
      <c r="I949" t="s">
        <v>6659</v>
      </c>
      <c r="J949" t="s">
        <v>106</v>
      </c>
      <c r="K949" t="s">
        <v>74</v>
      </c>
      <c r="L949" t="s">
        <v>74</v>
      </c>
      <c r="M949" t="s">
        <v>74</v>
      </c>
      <c r="N949" t="s">
        <v>74</v>
      </c>
      <c r="O949" t="s">
        <v>74</v>
      </c>
      <c r="P949" t="s">
        <v>74</v>
      </c>
      <c r="Q949" t="s">
        <v>74</v>
      </c>
      <c r="R949" t="s">
        <v>74</v>
      </c>
      <c r="S949" t="s">
        <v>74</v>
      </c>
      <c r="T949" t="s">
        <v>74</v>
      </c>
      <c r="U949" t="s">
        <v>74</v>
      </c>
      <c r="V949" t="s">
        <v>74</v>
      </c>
      <c r="W949" t="s">
        <v>74</v>
      </c>
      <c r="X949" t="s">
        <v>74</v>
      </c>
      <c r="Y949" t="s">
        <v>74</v>
      </c>
      <c r="Z949" t="s">
        <v>74</v>
      </c>
      <c r="AA949" t="s">
        <v>74</v>
      </c>
      <c r="AB949" t="s">
        <v>74</v>
      </c>
      <c r="AC949" t="s">
        <v>74</v>
      </c>
      <c r="AD949" t="s">
        <v>74</v>
      </c>
      <c r="AE949" t="s">
        <v>74</v>
      </c>
      <c r="AF949" t="s">
        <v>74</v>
      </c>
      <c r="AG949" t="s">
        <v>74</v>
      </c>
      <c r="AH949" t="s">
        <v>74</v>
      </c>
      <c r="AI949" t="s">
        <v>74</v>
      </c>
      <c r="AJ949" t="s">
        <v>74</v>
      </c>
      <c r="AK949" t="s">
        <v>74</v>
      </c>
      <c r="AL949" t="s">
        <v>74</v>
      </c>
      <c r="AM949" t="s">
        <v>74</v>
      </c>
      <c r="AN949" t="s">
        <v>74</v>
      </c>
      <c r="AO949" t="s">
        <v>107</v>
      </c>
      <c r="AP949" t="s">
        <v>108</v>
      </c>
      <c r="AQ949" t="s">
        <v>74</v>
      </c>
      <c r="AR949" t="s">
        <v>74</v>
      </c>
      <c r="AS949" t="s">
        <v>74</v>
      </c>
      <c r="AT949" t="s">
        <v>624</v>
      </c>
      <c r="AU949">
        <v>1991</v>
      </c>
      <c r="AV949">
        <v>13</v>
      </c>
      <c r="AW949">
        <v>4</v>
      </c>
      <c r="AX949" t="s">
        <v>74</v>
      </c>
      <c r="AY949" t="s">
        <v>74</v>
      </c>
      <c r="AZ949" t="s">
        <v>74</v>
      </c>
      <c r="BA949" t="s">
        <v>74</v>
      </c>
      <c r="BB949">
        <v>789</v>
      </c>
      <c r="BC949">
        <v>799</v>
      </c>
      <c r="BD949" t="s">
        <v>74</v>
      </c>
      <c r="BE949" t="s">
        <v>6660</v>
      </c>
      <c r="BF949" t="str">
        <f>HYPERLINK("http://dx.doi.org/10.1093/plankt/13.4.789","http://dx.doi.org/10.1093/plankt/13.4.789")</f>
        <v>http://dx.doi.org/10.1093/plankt/13.4.789</v>
      </c>
      <c r="BG949" t="s">
        <v>74</v>
      </c>
      <c r="BH949" t="s">
        <v>74</v>
      </c>
      <c r="BI949" t="s">
        <v>74</v>
      </c>
      <c r="BJ949" t="s">
        <v>74</v>
      </c>
      <c r="BK949" t="s">
        <v>74</v>
      </c>
      <c r="BL949" t="s">
        <v>74</v>
      </c>
      <c r="BM949" t="s">
        <v>74</v>
      </c>
      <c r="BN949" t="s">
        <v>74</v>
      </c>
      <c r="BO949" t="s">
        <v>74</v>
      </c>
      <c r="BP949" t="s">
        <v>74</v>
      </c>
      <c r="BQ949" t="s">
        <v>74</v>
      </c>
      <c r="BR949" t="s">
        <v>74</v>
      </c>
      <c r="BS949" t="s">
        <v>6661</v>
      </c>
      <c r="BT949" t="str">
        <f>HYPERLINK("https%3A%2F%2Fwww.webofscience.com%2Fwos%2Fwoscc%2Ffull-record%2FWOS:A1991FV24100008","View Full Record in Web of Science")</f>
        <v>View Full Record in Web of Science</v>
      </c>
    </row>
    <row r="950" spans="1:72" x14ac:dyDescent="0.2">
      <c r="A950" t="s">
        <v>72</v>
      </c>
      <c r="B950" t="s">
        <v>6662</v>
      </c>
      <c r="C950" t="s">
        <v>74</v>
      </c>
      <c r="D950" t="s">
        <v>74</v>
      </c>
      <c r="E950" t="s">
        <v>74</v>
      </c>
      <c r="F950" t="s">
        <v>6662</v>
      </c>
      <c r="G950" t="s">
        <v>74</v>
      </c>
      <c r="H950" t="s">
        <v>74</v>
      </c>
      <c r="I950" t="s">
        <v>6663</v>
      </c>
      <c r="J950" t="s">
        <v>1523</v>
      </c>
      <c r="K950" t="s">
        <v>74</v>
      </c>
      <c r="L950" t="s">
        <v>74</v>
      </c>
      <c r="M950" t="s">
        <v>74</v>
      </c>
      <c r="N950" t="s">
        <v>74</v>
      </c>
      <c r="O950" t="s">
        <v>74</v>
      </c>
      <c r="P950" t="s">
        <v>74</v>
      </c>
      <c r="Q950" t="s">
        <v>74</v>
      </c>
      <c r="R950" t="s">
        <v>74</v>
      </c>
      <c r="S950" t="s">
        <v>74</v>
      </c>
      <c r="T950" t="s">
        <v>74</v>
      </c>
      <c r="U950" t="s">
        <v>74</v>
      </c>
      <c r="V950" t="s">
        <v>74</v>
      </c>
      <c r="W950" t="s">
        <v>74</v>
      </c>
      <c r="X950" t="s">
        <v>74</v>
      </c>
      <c r="Y950" t="s">
        <v>74</v>
      </c>
      <c r="Z950" t="s">
        <v>74</v>
      </c>
      <c r="AA950" t="s">
        <v>6664</v>
      </c>
      <c r="AB950" t="s">
        <v>74</v>
      </c>
      <c r="AC950" t="s">
        <v>74</v>
      </c>
      <c r="AD950" t="s">
        <v>74</v>
      </c>
      <c r="AE950" t="s">
        <v>74</v>
      </c>
      <c r="AF950" t="s">
        <v>74</v>
      </c>
      <c r="AG950" t="s">
        <v>74</v>
      </c>
      <c r="AH950" t="s">
        <v>74</v>
      </c>
      <c r="AI950" t="s">
        <v>74</v>
      </c>
      <c r="AJ950" t="s">
        <v>74</v>
      </c>
      <c r="AK950" t="s">
        <v>74</v>
      </c>
      <c r="AL950" t="s">
        <v>74</v>
      </c>
      <c r="AM950" t="s">
        <v>74</v>
      </c>
      <c r="AN950" t="s">
        <v>74</v>
      </c>
      <c r="AO950" t="s">
        <v>1524</v>
      </c>
      <c r="AP950" t="s">
        <v>1525</v>
      </c>
      <c r="AQ950" t="s">
        <v>74</v>
      </c>
      <c r="AR950" t="s">
        <v>74</v>
      </c>
      <c r="AS950" t="s">
        <v>74</v>
      </c>
      <c r="AT950" t="s">
        <v>569</v>
      </c>
      <c r="AU950">
        <v>1991</v>
      </c>
      <c r="AV950">
        <v>72</v>
      </c>
      <c r="AW950">
        <v>3</v>
      </c>
      <c r="AX950" t="s">
        <v>74</v>
      </c>
      <c r="AY950" t="s">
        <v>74</v>
      </c>
      <c r="AZ950" t="s">
        <v>74</v>
      </c>
      <c r="BA950" t="s">
        <v>74</v>
      </c>
      <c r="BB950">
        <v>924</v>
      </c>
      <c r="BC950">
        <v>937</v>
      </c>
      <c r="BD950" t="s">
        <v>74</v>
      </c>
      <c r="BE950" t="s">
        <v>6665</v>
      </c>
      <c r="BF950" t="str">
        <f>HYPERLINK("http://dx.doi.org/10.2307/1940594","http://dx.doi.org/10.2307/1940594")</f>
        <v>http://dx.doi.org/10.2307/1940594</v>
      </c>
      <c r="BG950" t="s">
        <v>74</v>
      </c>
      <c r="BH950" t="s">
        <v>74</v>
      </c>
      <c r="BI950" t="s">
        <v>74</v>
      </c>
      <c r="BJ950" t="s">
        <v>74</v>
      </c>
      <c r="BK950" t="s">
        <v>74</v>
      </c>
      <c r="BL950" t="s">
        <v>74</v>
      </c>
      <c r="BM950" t="s">
        <v>74</v>
      </c>
      <c r="BN950" t="s">
        <v>74</v>
      </c>
      <c r="BO950" t="s">
        <v>74</v>
      </c>
      <c r="BP950" t="s">
        <v>74</v>
      </c>
      <c r="BQ950" t="s">
        <v>74</v>
      </c>
      <c r="BR950" t="s">
        <v>74</v>
      </c>
      <c r="BS950" t="s">
        <v>6666</v>
      </c>
      <c r="BT950" t="str">
        <f>HYPERLINK("https%3A%2F%2Fwww.webofscience.com%2Fwos%2Fwoscc%2Ffull-record%2FWOS:A1991FM08400016","View Full Record in Web of Science")</f>
        <v>View Full Record in Web of Science</v>
      </c>
    </row>
    <row r="951" spans="1:72" x14ac:dyDescent="0.2">
      <c r="A951" t="s">
        <v>72</v>
      </c>
      <c r="B951" t="s">
        <v>6667</v>
      </c>
      <c r="C951" t="s">
        <v>74</v>
      </c>
      <c r="D951" t="s">
        <v>74</v>
      </c>
      <c r="E951" t="s">
        <v>74</v>
      </c>
      <c r="F951" t="s">
        <v>6667</v>
      </c>
      <c r="G951" t="s">
        <v>74</v>
      </c>
      <c r="H951" t="s">
        <v>74</v>
      </c>
      <c r="I951" t="s">
        <v>6668</v>
      </c>
      <c r="J951" t="s">
        <v>88</v>
      </c>
      <c r="K951" t="s">
        <v>74</v>
      </c>
      <c r="L951" t="s">
        <v>74</v>
      </c>
      <c r="M951" t="s">
        <v>74</v>
      </c>
      <c r="N951" t="s">
        <v>74</v>
      </c>
      <c r="O951" t="s">
        <v>74</v>
      </c>
      <c r="P951" t="s">
        <v>74</v>
      </c>
      <c r="Q951" t="s">
        <v>74</v>
      </c>
      <c r="R951" t="s">
        <v>74</v>
      </c>
      <c r="S951" t="s">
        <v>74</v>
      </c>
      <c r="T951" t="s">
        <v>74</v>
      </c>
      <c r="U951" t="s">
        <v>74</v>
      </c>
      <c r="V951" t="s">
        <v>74</v>
      </c>
      <c r="W951" t="s">
        <v>74</v>
      </c>
      <c r="X951" t="s">
        <v>74</v>
      </c>
      <c r="Y951" t="s">
        <v>74</v>
      </c>
      <c r="Z951" t="s">
        <v>74</v>
      </c>
      <c r="AA951" t="s">
        <v>74</v>
      </c>
      <c r="AB951" t="s">
        <v>74</v>
      </c>
      <c r="AC951" t="s">
        <v>74</v>
      </c>
      <c r="AD951" t="s">
        <v>74</v>
      </c>
      <c r="AE951" t="s">
        <v>74</v>
      </c>
      <c r="AF951" t="s">
        <v>74</v>
      </c>
      <c r="AG951" t="s">
        <v>74</v>
      </c>
      <c r="AH951" t="s">
        <v>74</v>
      </c>
      <c r="AI951" t="s">
        <v>74</v>
      </c>
      <c r="AJ951" t="s">
        <v>74</v>
      </c>
      <c r="AK951" t="s">
        <v>74</v>
      </c>
      <c r="AL951" t="s">
        <v>74</v>
      </c>
      <c r="AM951" t="s">
        <v>74</v>
      </c>
      <c r="AN951" t="s">
        <v>74</v>
      </c>
      <c r="AO951" t="s">
        <v>89</v>
      </c>
      <c r="AP951" t="s">
        <v>74</v>
      </c>
      <c r="AQ951" t="s">
        <v>74</v>
      </c>
      <c r="AR951" t="s">
        <v>74</v>
      </c>
      <c r="AS951" t="s">
        <v>74</v>
      </c>
      <c r="AT951" t="s">
        <v>157</v>
      </c>
      <c r="AU951">
        <v>1991</v>
      </c>
      <c r="AV951">
        <v>48</v>
      </c>
      <c r="AW951">
        <v>3</v>
      </c>
      <c r="AX951" t="s">
        <v>74</v>
      </c>
      <c r="AY951" t="s">
        <v>74</v>
      </c>
      <c r="AZ951" t="s">
        <v>74</v>
      </c>
      <c r="BA951" t="s">
        <v>74</v>
      </c>
      <c r="BB951">
        <v>364</v>
      </c>
      <c r="BC951">
        <v>370</v>
      </c>
      <c r="BD951" t="s">
        <v>74</v>
      </c>
      <c r="BE951" t="s">
        <v>6669</v>
      </c>
      <c r="BF951" t="str">
        <f>HYPERLINK("http://dx.doi.org/10.1139/f91-048","http://dx.doi.org/10.1139/f91-048")</f>
        <v>http://dx.doi.org/10.1139/f91-048</v>
      </c>
      <c r="BG951" t="s">
        <v>74</v>
      </c>
      <c r="BH951" t="s">
        <v>74</v>
      </c>
      <c r="BI951" t="s">
        <v>74</v>
      </c>
      <c r="BJ951" t="s">
        <v>74</v>
      </c>
      <c r="BK951" t="s">
        <v>74</v>
      </c>
      <c r="BL951" t="s">
        <v>74</v>
      </c>
      <c r="BM951" t="s">
        <v>74</v>
      </c>
      <c r="BN951" t="s">
        <v>74</v>
      </c>
      <c r="BO951" t="s">
        <v>74</v>
      </c>
      <c r="BP951" t="s">
        <v>74</v>
      </c>
      <c r="BQ951" t="s">
        <v>74</v>
      </c>
      <c r="BR951" t="s">
        <v>74</v>
      </c>
      <c r="BS951" t="s">
        <v>6670</v>
      </c>
      <c r="BT951" t="str">
        <f>HYPERLINK("https%3A%2F%2Fwww.webofscience.com%2Fwos%2Fwoscc%2Ffull-record%2FWOS:A1991EZ78800003","View Full Record in Web of Science")</f>
        <v>View Full Record in Web of Science</v>
      </c>
    </row>
    <row r="952" spans="1:72" x14ac:dyDescent="0.2">
      <c r="A952" t="s">
        <v>72</v>
      </c>
      <c r="B952" t="s">
        <v>6671</v>
      </c>
      <c r="C952" t="s">
        <v>74</v>
      </c>
      <c r="D952" t="s">
        <v>74</v>
      </c>
      <c r="E952" t="s">
        <v>74</v>
      </c>
      <c r="F952" t="s">
        <v>6671</v>
      </c>
      <c r="G952" t="s">
        <v>74</v>
      </c>
      <c r="H952" t="s">
        <v>74</v>
      </c>
      <c r="I952" t="s">
        <v>6672</v>
      </c>
      <c r="J952" t="s">
        <v>1299</v>
      </c>
      <c r="K952" t="s">
        <v>74</v>
      </c>
      <c r="L952" t="s">
        <v>74</v>
      </c>
      <c r="M952" t="s">
        <v>74</v>
      </c>
      <c r="N952" t="s">
        <v>74</v>
      </c>
      <c r="O952" t="s">
        <v>74</v>
      </c>
      <c r="P952" t="s">
        <v>74</v>
      </c>
      <c r="Q952" t="s">
        <v>74</v>
      </c>
      <c r="R952" t="s">
        <v>74</v>
      </c>
      <c r="S952" t="s">
        <v>74</v>
      </c>
      <c r="T952" t="s">
        <v>74</v>
      </c>
      <c r="U952" t="s">
        <v>74</v>
      </c>
      <c r="V952" t="s">
        <v>74</v>
      </c>
      <c r="W952" t="s">
        <v>74</v>
      </c>
      <c r="X952" t="s">
        <v>74</v>
      </c>
      <c r="Y952" t="s">
        <v>74</v>
      </c>
      <c r="Z952" t="s">
        <v>74</v>
      </c>
      <c r="AA952" t="s">
        <v>6673</v>
      </c>
      <c r="AB952" t="s">
        <v>6674</v>
      </c>
      <c r="AC952" t="s">
        <v>74</v>
      </c>
      <c r="AD952" t="s">
        <v>74</v>
      </c>
      <c r="AE952" t="s">
        <v>74</v>
      </c>
      <c r="AF952" t="s">
        <v>74</v>
      </c>
      <c r="AG952" t="s">
        <v>74</v>
      </c>
      <c r="AH952" t="s">
        <v>74</v>
      </c>
      <c r="AI952" t="s">
        <v>74</v>
      </c>
      <c r="AJ952" t="s">
        <v>74</v>
      </c>
      <c r="AK952" t="s">
        <v>74</v>
      </c>
      <c r="AL952" t="s">
        <v>74</v>
      </c>
      <c r="AM952" t="s">
        <v>74</v>
      </c>
      <c r="AN952" t="s">
        <v>74</v>
      </c>
      <c r="AO952" t="s">
        <v>1302</v>
      </c>
      <c r="AP952" t="s">
        <v>74</v>
      </c>
      <c r="AQ952" t="s">
        <v>74</v>
      </c>
      <c r="AR952" t="s">
        <v>74</v>
      </c>
      <c r="AS952" t="s">
        <v>74</v>
      </c>
      <c r="AT952" t="s">
        <v>74</v>
      </c>
      <c r="AU952">
        <v>1991</v>
      </c>
      <c r="AV952">
        <v>87</v>
      </c>
      <c r="AW952">
        <v>3</v>
      </c>
      <c r="AX952" t="s">
        <v>74</v>
      </c>
      <c r="AY952" t="s">
        <v>74</v>
      </c>
      <c r="AZ952" t="s">
        <v>74</v>
      </c>
      <c r="BA952" t="s">
        <v>74</v>
      </c>
      <c r="BB952">
        <v>409</v>
      </c>
      <c r="BC952">
        <v>416</v>
      </c>
      <c r="BD952" t="s">
        <v>74</v>
      </c>
      <c r="BE952" t="s">
        <v>6675</v>
      </c>
      <c r="BF952" t="str">
        <f>HYPERLINK("http://dx.doi.org/10.1007/BF00634599","http://dx.doi.org/10.1007/BF00634599")</f>
        <v>http://dx.doi.org/10.1007/BF00634599</v>
      </c>
      <c r="BG952" t="s">
        <v>74</v>
      </c>
      <c r="BH952" t="s">
        <v>74</v>
      </c>
      <c r="BI952" t="s">
        <v>74</v>
      </c>
      <c r="BJ952" t="s">
        <v>74</v>
      </c>
      <c r="BK952" t="s">
        <v>74</v>
      </c>
      <c r="BL952" t="s">
        <v>74</v>
      </c>
      <c r="BM952" t="s">
        <v>74</v>
      </c>
      <c r="BN952">
        <v>28313270</v>
      </c>
      <c r="BO952" t="s">
        <v>74</v>
      </c>
      <c r="BP952" t="s">
        <v>74</v>
      </c>
      <c r="BQ952" t="s">
        <v>74</v>
      </c>
      <c r="BR952" t="s">
        <v>74</v>
      </c>
      <c r="BS952" t="s">
        <v>6676</v>
      </c>
      <c r="BT952" t="str">
        <f>HYPERLINK("https%3A%2F%2Fwww.webofscience.com%2Fwos%2Fwoscc%2Ffull-record%2FWOS:A1991GA27000016","View Full Record in Web of Science")</f>
        <v>View Full Record in Web of Science</v>
      </c>
    </row>
    <row r="953" spans="1:72" x14ac:dyDescent="0.2">
      <c r="A953" t="s">
        <v>72</v>
      </c>
      <c r="B953" t="s">
        <v>6677</v>
      </c>
      <c r="C953" t="s">
        <v>74</v>
      </c>
      <c r="D953" t="s">
        <v>74</v>
      </c>
      <c r="E953" t="s">
        <v>74</v>
      </c>
      <c r="F953" t="s">
        <v>6677</v>
      </c>
      <c r="G953" t="s">
        <v>74</v>
      </c>
      <c r="H953" t="s">
        <v>74</v>
      </c>
      <c r="I953" t="s">
        <v>6678</v>
      </c>
      <c r="J953" t="s">
        <v>844</v>
      </c>
      <c r="K953" t="s">
        <v>74</v>
      </c>
      <c r="L953" t="s">
        <v>74</v>
      </c>
      <c r="M953" t="s">
        <v>74</v>
      </c>
      <c r="N953" t="s">
        <v>74</v>
      </c>
      <c r="O953" t="s">
        <v>74</v>
      </c>
      <c r="P953" t="s">
        <v>74</v>
      </c>
      <c r="Q953" t="s">
        <v>74</v>
      </c>
      <c r="R953" t="s">
        <v>74</v>
      </c>
      <c r="S953" t="s">
        <v>74</v>
      </c>
      <c r="T953" t="s">
        <v>74</v>
      </c>
      <c r="U953" t="s">
        <v>74</v>
      </c>
      <c r="V953" t="s">
        <v>74</v>
      </c>
      <c r="W953" t="s">
        <v>74</v>
      </c>
      <c r="X953" t="s">
        <v>74</v>
      </c>
      <c r="Y953" t="s">
        <v>74</v>
      </c>
      <c r="Z953" t="s">
        <v>74</v>
      </c>
      <c r="AA953" t="s">
        <v>74</v>
      </c>
      <c r="AB953" t="s">
        <v>74</v>
      </c>
      <c r="AC953" t="s">
        <v>74</v>
      </c>
      <c r="AD953" t="s">
        <v>74</v>
      </c>
      <c r="AE953" t="s">
        <v>74</v>
      </c>
      <c r="AF953" t="s">
        <v>74</v>
      </c>
      <c r="AG953" t="s">
        <v>74</v>
      </c>
      <c r="AH953" t="s">
        <v>74</v>
      </c>
      <c r="AI953" t="s">
        <v>74</v>
      </c>
      <c r="AJ953" t="s">
        <v>74</v>
      </c>
      <c r="AK953" t="s">
        <v>74</v>
      </c>
      <c r="AL953" t="s">
        <v>74</v>
      </c>
      <c r="AM953" t="s">
        <v>74</v>
      </c>
      <c r="AN953" t="s">
        <v>74</v>
      </c>
      <c r="AO953" t="s">
        <v>847</v>
      </c>
      <c r="AP953" t="s">
        <v>848</v>
      </c>
      <c r="AQ953" t="s">
        <v>74</v>
      </c>
      <c r="AR953" t="s">
        <v>74</v>
      </c>
      <c r="AS953" t="s">
        <v>74</v>
      </c>
      <c r="AT953" t="s">
        <v>74</v>
      </c>
      <c r="AU953">
        <v>1991</v>
      </c>
      <c r="AV953">
        <v>10</v>
      </c>
      <c r="AW953">
        <v>2</v>
      </c>
      <c r="AX953" t="s">
        <v>74</v>
      </c>
      <c r="AY953" t="s">
        <v>74</v>
      </c>
      <c r="AZ953" t="s">
        <v>74</v>
      </c>
      <c r="BA953" t="s">
        <v>74</v>
      </c>
      <c r="BB953">
        <v>209</v>
      </c>
      <c r="BC953">
        <v>216</v>
      </c>
      <c r="BD953" t="s">
        <v>74</v>
      </c>
      <c r="BE953" t="s">
        <v>6679</v>
      </c>
      <c r="BF953" t="str">
        <f>HYPERLINK("http://dx.doi.org/10.1002/etc.5620100209","http://dx.doi.org/10.1002/etc.5620100209")</f>
        <v>http://dx.doi.org/10.1002/etc.5620100209</v>
      </c>
      <c r="BG953" t="s">
        <v>74</v>
      </c>
      <c r="BH953" t="s">
        <v>74</v>
      </c>
      <c r="BI953" t="s">
        <v>74</v>
      </c>
      <c r="BJ953" t="s">
        <v>74</v>
      </c>
      <c r="BK953" t="s">
        <v>74</v>
      </c>
      <c r="BL953" t="s">
        <v>74</v>
      </c>
      <c r="BM953" t="s">
        <v>74</v>
      </c>
      <c r="BN953" t="s">
        <v>74</v>
      </c>
      <c r="BO953" t="s">
        <v>74</v>
      </c>
      <c r="BP953" t="s">
        <v>74</v>
      </c>
      <c r="BQ953" t="s">
        <v>74</v>
      </c>
      <c r="BR953" t="s">
        <v>74</v>
      </c>
      <c r="BS953" t="s">
        <v>6680</v>
      </c>
      <c r="BT953" t="str">
        <f>HYPERLINK("https%3A%2F%2Fwww.webofscience.com%2Fwos%2Fwoscc%2Ffull-record%2FWOS:A1991EY87000009","View Full Record in Web of Science")</f>
        <v>View Full Record in Web of Science</v>
      </c>
    </row>
    <row r="954" spans="1:72" x14ac:dyDescent="0.2">
      <c r="A954" t="s">
        <v>72</v>
      </c>
      <c r="B954" t="s">
        <v>6681</v>
      </c>
      <c r="C954" t="s">
        <v>74</v>
      </c>
      <c r="D954" t="s">
        <v>74</v>
      </c>
      <c r="E954" t="s">
        <v>74</v>
      </c>
      <c r="F954" t="s">
        <v>6681</v>
      </c>
      <c r="G954" t="s">
        <v>74</v>
      </c>
      <c r="H954" t="s">
        <v>74</v>
      </c>
      <c r="I954" t="s">
        <v>6682</v>
      </c>
      <c r="J954" t="s">
        <v>5947</v>
      </c>
      <c r="K954" t="s">
        <v>74</v>
      </c>
      <c r="L954" t="s">
        <v>74</v>
      </c>
      <c r="M954" t="s">
        <v>74</v>
      </c>
      <c r="N954" t="s">
        <v>74</v>
      </c>
      <c r="O954" t="s">
        <v>74</v>
      </c>
      <c r="P954" t="s">
        <v>74</v>
      </c>
      <c r="Q954" t="s">
        <v>74</v>
      </c>
      <c r="R954" t="s">
        <v>74</v>
      </c>
      <c r="S954" t="s">
        <v>74</v>
      </c>
      <c r="T954" t="s">
        <v>74</v>
      </c>
      <c r="U954" t="s">
        <v>74</v>
      </c>
      <c r="V954" t="s">
        <v>74</v>
      </c>
      <c r="W954" t="s">
        <v>74</v>
      </c>
      <c r="X954" t="s">
        <v>74</v>
      </c>
      <c r="Y954" t="s">
        <v>74</v>
      </c>
      <c r="Z954" t="s">
        <v>74</v>
      </c>
      <c r="AA954" t="s">
        <v>74</v>
      </c>
      <c r="AB954" t="s">
        <v>74</v>
      </c>
      <c r="AC954" t="s">
        <v>74</v>
      </c>
      <c r="AD954" t="s">
        <v>74</v>
      </c>
      <c r="AE954" t="s">
        <v>74</v>
      </c>
      <c r="AF954" t="s">
        <v>74</v>
      </c>
      <c r="AG954" t="s">
        <v>74</v>
      </c>
      <c r="AH954" t="s">
        <v>74</v>
      </c>
      <c r="AI954" t="s">
        <v>74</v>
      </c>
      <c r="AJ954" t="s">
        <v>74</v>
      </c>
      <c r="AK954" t="s">
        <v>74</v>
      </c>
      <c r="AL954" t="s">
        <v>74</v>
      </c>
      <c r="AM954" t="s">
        <v>74</v>
      </c>
      <c r="AN954" t="s">
        <v>74</v>
      </c>
      <c r="AO954" t="s">
        <v>5950</v>
      </c>
      <c r="AP954" t="s">
        <v>74</v>
      </c>
      <c r="AQ954" t="s">
        <v>74</v>
      </c>
      <c r="AR954" t="s">
        <v>74</v>
      </c>
      <c r="AS954" t="s">
        <v>74</v>
      </c>
      <c r="AT954" t="s">
        <v>74</v>
      </c>
      <c r="AU954">
        <v>1991</v>
      </c>
      <c r="AV954">
        <v>151</v>
      </c>
      <c r="AW954">
        <v>1</v>
      </c>
      <c r="AX954" t="s">
        <v>74</v>
      </c>
      <c r="AY954" t="s">
        <v>74</v>
      </c>
      <c r="AZ954" t="s">
        <v>74</v>
      </c>
      <c r="BA954" t="s">
        <v>74</v>
      </c>
      <c r="BB954">
        <v>83</v>
      </c>
      <c r="BC954">
        <v>92</v>
      </c>
      <c r="BD954" t="s">
        <v>74</v>
      </c>
      <c r="BE954" t="s">
        <v>6683</v>
      </c>
      <c r="BF954" t="str">
        <f>HYPERLINK("http://dx.doi.org/10.1016/0022-0981(91)90017-Q","http://dx.doi.org/10.1016/0022-0981(91)90017-Q")</f>
        <v>http://dx.doi.org/10.1016/0022-0981(91)90017-Q</v>
      </c>
      <c r="BG954" t="s">
        <v>74</v>
      </c>
      <c r="BH954" t="s">
        <v>74</v>
      </c>
      <c r="BI954" t="s">
        <v>74</v>
      </c>
      <c r="BJ954" t="s">
        <v>74</v>
      </c>
      <c r="BK954" t="s">
        <v>74</v>
      </c>
      <c r="BL954" t="s">
        <v>74</v>
      </c>
      <c r="BM954" t="s">
        <v>74</v>
      </c>
      <c r="BN954" t="s">
        <v>74</v>
      </c>
      <c r="BO954" t="s">
        <v>74</v>
      </c>
      <c r="BP954" t="s">
        <v>74</v>
      </c>
      <c r="BQ954" t="s">
        <v>74</v>
      </c>
      <c r="BR954" t="s">
        <v>74</v>
      </c>
      <c r="BS954" t="s">
        <v>6684</v>
      </c>
      <c r="BT954" t="str">
        <f>HYPERLINK("https%3A%2F%2Fwww.webofscience.com%2Fwos%2Fwoscc%2Ffull-record%2FWOS:A1991GG85800007","View Full Record in Web of Science")</f>
        <v>View Full Record in Web of Science</v>
      </c>
    </row>
    <row r="955" spans="1:72" x14ac:dyDescent="0.2">
      <c r="A955" t="s">
        <v>72</v>
      </c>
      <c r="B955" t="s">
        <v>6685</v>
      </c>
      <c r="C955" t="s">
        <v>74</v>
      </c>
      <c r="D955" t="s">
        <v>74</v>
      </c>
      <c r="E955" t="s">
        <v>74</v>
      </c>
      <c r="F955" t="s">
        <v>6685</v>
      </c>
      <c r="G955" t="s">
        <v>74</v>
      </c>
      <c r="H955" t="s">
        <v>74</v>
      </c>
      <c r="I955" t="s">
        <v>6686</v>
      </c>
      <c r="J955" t="s">
        <v>77</v>
      </c>
      <c r="K955" t="s">
        <v>74</v>
      </c>
      <c r="L955" t="s">
        <v>74</v>
      </c>
      <c r="M955" t="s">
        <v>74</v>
      </c>
      <c r="N955" t="s">
        <v>74</v>
      </c>
      <c r="O955" t="s">
        <v>74</v>
      </c>
      <c r="P955" t="s">
        <v>74</v>
      </c>
      <c r="Q955" t="s">
        <v>74</v>
      </c>
      <c r="R955" t="s">
        <v>74</v>
      </c>
      <c r="S955" t="s">
        <v>74</v>
      </c>
      <c r="T955" t="s">
        <v>74</v>
      </c>
      <c r="U955" t="s">
        <v>74</v>
      </c>
      <c r="V955" t="s">
        <v>74</v>
      </c>
      <c r="W955" t="s">
        <v>74</v>
      </c>
      <c r="X955" t="s">
        <v>74</v>
      </c>
      <c r="Y955" t="s">
        <v>74</v>
      </c>
      <c r="Z955" t="s">
        <v>74</v>
      </c>
      <c r="AA955" t="s">
        <v>7185</v>
      </c>
      <c r="AB955" t="s">
        <v>7186</v>
      </c>
      <c r="AC955" t="s">
        <v>74</v>
      </c>
      <c r="AD955" t="s">
        <v>74</v>
      </c>
      <c r="AE955" t="s">
        <v>74</v>
      </c>
      <c r="AF955" t="s">
        <v>74</v>
      </c>
      <c r="AG955" t="s">
        <v>74</v>
      </c>
      <c r="AH955" t="s">
        <v>74</v>
      </c>
      <c r="AI955" t="s">
        <v>74</v>
      </c>
      <c r="AJ955" t="s">
        <v>74</v>
      </c>
      <c r="AK955" t="s">
        <v>74</v>
      </c>
      <c r="AL955" t="s">
        <v>74</v>
      </c>
      <c r="AM955" t="s">
        <v>74</v>
      </c>
      <c r="AN955" t="s">
        <v>74</v>
      </c>
      <c r="AO955" t="s">
        <v>80</v>
      </c>
      <c r="AP955" t="s">
        <v>74</v>
      </c>
      <c r="AQ955" t="s">
        <v>74</v>
      </c>
      <c r="AR955" t="s">
        <v>74</v>
      </c>
      <c r="AS955" t="s">
        <v>74</v>
      </c>
      <c r="AT955" t="s">
        <v>74</v>
      </c>
      <c r="AU955">
        <v>1991</v>
      </c>
      <c r="AV955">
        <v>21</v>
      </c>
      <c r="AW955">
        <v>2</v>
      </c>
      <c r="AX955" t="s">
        <v>74</v>
      </c>
      <c r="AY955" t="s">
        <v>74</v>
      </c>
      <c r="AZ955" t="s">
        <v>74</v>
      </c>
      <c r="BA955" t="s">
        <v>74</v>
      </c>
      <c r="BB955">
        <v>99</v>
      </c>
      <c r="BC955">
        <v>118</v>
      </c>
      <c r="BD955" t="s">
        <v>74</v>
      </c>
      <c r="BE955" t="s">
        <v>6687</v>
      </c>
      <c r="BF955" t="str">
        <f>HYPERLINK("http://dx.doi.org/10.1007/BF02539147","http://dx.doi.org/10.1007/BF02539147")</f>
        <v>http://dx.doi.org/10.1007/BF02539147</v>
      </c>
      <c r="BG955" t="s">
        <v>74</v>
      </c>
      <c r="BH955" t="s">
        <v>74</v>
      </c>
      <c r="BI955" t="s">
        <v>74</v>
      </c>
      <c r="BJ955" t="s">
        <v>74</v>
      </c>
      <c r="BK955" t="s">
        <v>74</v>
      </c>
      <c r="BL955" t="s">
        <v>74</v>
      </c>
      <c r="BM955" t="s">
        <v>74</v>
      </c>
      <c r="BN955">
        <v>24194204</v>
      </c>
      <c r="BO955" t="s">
        <v>74</v>
      </c>
      <c r="BP955" t="s">
        <v>74</v>
      </c>
      <c r="BQ955" t="s">
        <v>74</v>
      </c>
      <c r="BR955" t="s">
        <v>74</v>
      </c>
      <c r="BS955" t="s">
        <v>6688</v>
      </c>
      <c r="BT955" t="str">
        <f>HYPERLINK("https%3A%2F%2Fwww.webofscience.com%2Fwos%2Fwoscc%2Ffull-record%2FWOS:A1991FN75600002","View Full Record in Web of Science")</f>
        <v>View Full Record in Web of Science</v>
      </c>
    </row>
    <row r="956" spans="1:72" x14ac:dyDescent="0.2">
      <c r="A956" t="s">
        <v>72</v>
      </c>
      <c r="B956" t="s">
        <v>6689</v>
      </c>
      <c r="C956" t="s">
        <v>74</v>
      </c>
      <c r="D956" t="s">
        <v>74</v>
      </c>
      <c r="E956" t="s">
        <v>74</v>
      </c>
      <c r="F956" t="s">
        <v>6689</v>
      </c>
      <c r="G956" t="s">
        <v>74</v>
      </c>
      <c r="H956" t="s">
        <v>74</v>
      </c>
      <c r="I956" t="s">
        <v>6690</v>
      </c>
      <c r="J956" t="s">
        <v>124</v>
      </c>
      <c r="K956" t="s">
        <v>74</v>
      </c>
      <c r="L956" t="s">
        <v>74</v>
      </c>
      <c r="M956" t="s">
        <v>74</v>
      </c>
      <c r="N956" t="s">
        <v>74</v>
      </c>
      <c r="O956" t="s">
        <v>74</v>
      </c>
      <c r="P956" t="s">
        <v>74</v>
      </c>
      <c r="Q956" t="s">
        <v>74</v>
      </c>
      <c r="R956" t="s">
        <v>74</v>
      </c>
      <c r="S956" t="s">
        <v>74</v>
      </c>
      <c r="T956" t="s">
        <v>74</v>
      </c>
      <c r="U956" t="s">
        <v>74</v>
      </c>
      <c r="V956" t="s">
        <v>74</v>
      </c>
      <c r="W956" t="s">
        <v>74</v>
      </c>
      <c r="X956" t="s">
        <v>74</v>
      </c>
      <c r="Y956" t="s">
        <v>74</v>
      </c>
      <c r="Z956" t="s">
        <v>74</v>
      </c>
      <c r="AA956" t="s">
        <v>74</v>
      </c>
      <c r="AB956" t="s">
        <v>74</v>
      </c>
      <c r="AC956" t="s">
        <v>74</v>
      </c>
      <c r="AD956" t="s">
        <v>74</v>
      </c>
      <c r="AE956" t="s">
        <v>74</v>
      </c>
      <c r="AF956" t="s">
        <v>74</v>
      </c>
      <c r="AG956" t="s">
        <v>74</v>
      </c>
      <c r="AH956" t="s">
        <v>74</v>
      </c>
      <c r="AI956" t="s">
        <v>74</v>
      </c>
      <c r="AJ956" t="s">
        <v>74</v>
      </c>
      <c r="AK956" t="s">
        <v>74</v>
      </c>
      <c r="AL956" t="s">
        <v>74</v>
      </c>
      <c r="AM956" t="s">
        <v>74</v>
      </c>
      <c r="AN956" t="s">
        <v>74</v>
      </c>
      <c r="AO956" t="s">
        <v>127</v>
      </c>
      <c r="AP956" t="s">
        <v>74</v>
      </c>
      <c r="AQ956" t="s">
        <v>74</v>
      </c>
      <c r="AR956" t="s">
        <v>74</v>
      </c>
      <c r="AS956" t="s">
        <v>74</v>
      </c>
      <c r="AT956" t="s">
        <v>6691</v>
      </c>
      <c r="AU956">
        <v>1990</v>
      </c>
      <c r="AV956">
        <v>206</v>
      </c>
      <c r="AW956">
        <v>3</v>
      </c>
      <c r="AX956" t="s">
        <v>74</v>
      </c>
      <c r="AY956" t="s">
        <v>74</v>
      </c>
      <c r="AZ956" t="s">
        <v>74</v>
      </c>
      <c r="BA956" t="s">
        <v>74</v>
      </c>
      <c r="BB956">
        <v>175</v>
      </c>
      <c r="BC956">
        <v>206</v>
      </c>
      <c r="BD956" t="s">
        <v>74</v>
      </c>
      <c r="BE956" t="s">
        <v>6692</v>
      </c>
      <c r="BF956" t="str">
        <f>HYPERLINK("http://dx.doi.org/10.1007/BF00014085","http://dx.doi.org/10.1007/BF00014085")</f>
        <v>http://dx.doi.org/10.1007/BF00014085</v>
      </c>
      <c r="BG956" t="s">
        <v>74</v>
      </c>
      <c r="BH956" t="s">
        <v>74</v>
      </c>
      <c r="BI956" t="s">
        <v>74</v>
      </c>
      <c r="BJ956" t="s">
        <v>74</v>
      </c>
      <c r="BK956" t="s">
        <v>74</v>
      </c>
      <c r="BL956" t="s">
        <v>74</v>
      </c>
      <c r="BM956" t="s">
        <v>74</v>
      </c>
      <c r="BN956" t="s">
        <v>74</v>
      </c>
      <c r="BO956" t="s">
        <v>74</v>
      </c>
      <c r="BP956" t="s">
        <v>74</v>
      </c>
      <c r="BQ956" t="s">
        <v>74</v>
      </c>
      <c r="BR956" t="s">
        <v>74</v>
      </c>
      <c r="BS956" t="s">
        <v>6693</v>
      </c>
      <c r="BT956" t="str">
        <f>HYPERLINK("https%3A%2F%2Fwww.webofscience.com%2Fwos%2Fwoscc%2Ffull-record%2FWOS:A1990EW45600001","View Full Record in Web of Science")</f>
        <v>View Full Record in Web of Science</v>
      </c>
    </row>
    <row r="957" spans="1:72" x14ac:dyDescent="0.2">
      <c r="A957" t="s">
        <v>72</v>
      </c>
      <c r="B957" t="s">
        <v>6694</v>
      </c>
      <c r="C957" t="s">
        <v>74</v>
      </c>
      <c r="D957" t="s">
        <v>74</v>
      </c>
      <c r="E957" t="s">
        <v>74</v>
      </c>
      <c r="F957" t="s">
        <v>6694</v>
      </c>
      <c r="G957" t="s">
        <v>74</v>
      </c>
      <c r="H957" t="s">
        <v>74</v>
      </c>
      <c r="I957" t="s">
        <v>6695</v>
      </c>
      <c r="J957" t="s">
        <v>3919</v>
      </c>
      <c r="K957" t="s">
        <v>74</v>
      </c>
      <c r="L957" t="s">
        <v>74</v>
      </c>
      <c r="M957" t="s">
        <v>74</v>
      </c>
      <c r="N957" t="s">
        <v>74</v>
      </c>
      <c r="O957" t="s">
        <v>74</v>
      </c>
      <c r="P957" t="s">
        <v>74</v>
      </c>
      <c r="Q957" t="s">
        <v>74</v>
      </c>
      <c r="R957" t="s">
        <v>74</v>
      </c>
      <c r="S957" t="s">
        <v>74</v>
      </c>
      <c r="T957" t="s">
        <v>74</v>
      </c>
      <c r="U957" t="s">
        <v>74</v>
      </c>
      <c r="V957" t="s">
        <v>74</v>
      </c>
      <c r="W957" t="s">
        <v>74</v>
      </c>
      <c r="X957" t="s">
        <v>74</v>
      </c>
      <c r="Y957" t="s">
        <v>74</v>
      </c>
      <c r="Z957" t="s">
        <v>74</v>
      </c>
      <c r="AA957" t="s">
        <v>74</v>
      </c>
      <c r="AB957" t="s">
        <v>74</v>
      </c>
      <c r="AC957" t="s">
        <v>74</v>
      </c>
      <c r="AD957" t="s">
        <v>74</v>
      </c>
      <c r="AE957" t="s">
        <v>74</v>
      </c>
      <c r="AF957" t="s">
        <v>74</v>
      </c>
      <c r="AG957" t="s">
        <v>74</v>
      </c>
      <c r="AH957" t="s">
        <v>74</v>
      </c>
      <c r="AI957" t="s">
        <v>74</v>
      </c>
      <c r="AJ957" t="s">
        <v>74</v>
      </c>
      <c r="AK957" t="s">
        <v>74</v>
      </c>
      <c r="AL957" t="s">
        <v>74</v>
      </c>
      <c r="AM957" t="s">
        <v>74</v>
      </c>
      <c r="AN957" t="s">
        <v>74</v>
      </c>
      <c r="AO957" t="s">
        <v>3920</v>
      </c>
      <c r="AP957" t="s">
        <v>3921</v>
      </c>
      <c r="AQ957" t="s">
        <v>74</v>
      </c>
      <c r="AR957" t="s">
        <v>74</v>
      </c>
      <c r="AS957" t="s">
        <v>74</v>
      </c>
      <c r="AT957" t="s">
        <v>575</v>
      </c>
      <c r="AU957">
        <v>1990</v>
      </c>
      <c r="AV957">
        <v>56</v>
      </c>
      <c r="AW957">
        <v>5</v>
      </c>
      <c r="AX957" t="s">
        <v>74</v>
      </c>
      <c r="AY957" t="s">
        <v>74</v>
      </c>
      <c r="AZ957" t="s">
        <v>74</v>
      </c>
      <c r="BA957" t="s">
        <v>74</v>
      </c>
      <c r="BB957">
        <v>1303</v>
      </c>
      <c r="BC957">
        <v>1309</v>
      </c>
      <c r="BD957" t="s">
        <v>74</v>
      </c>
      <c r="BE957" t="s">
        <v>6696</v>
      </c>
      <c r="BF957" t="str">
        <f>HYPERLINK("http://dx.doi.org/10.1128/AEM.56.5.1303-1309.1990","http://dx.doi.org/10.1128/AEM.56.5.1303-1309.1990")</f>
        <v>http://dx.doi.org/10.1128/AEM.56.5.1303-1309.1990</v>
      </c>
      <c r="BG957" t="s">
        <v>74</v>
      </c>
      <c r="BH957" t="s">
        <v>74</v>
      </c>
      <c r="BI957" t="s">
        <v>74</v>
      </c>
      <c r="BJ957" t="s">
        <v>74</v>
      </c>
      <c r="BK957" t="s">
        <v>74</v>
      </c>
      <c r="BL957" t="s">
        <v>74</v>
      </c>
      <c r="BM957" t="s">
        <v>74</v>
      </c>
      <c r="BN957">
        <v>16348184</v>
      </c>
      <c r="BO957" t="s">
        <v>74</v>
      </c>
      <c r="BP957" t="s">
        <v>74</v>
      </c>
      <c r="BQ957" t="s">
        <v>74</v>
      </c>
      <c r="BR957" t="s">
        <v>74</v>
      </c>
      <c r="BS957" t="s">
        <v>6697</v>
      </c>
      <c r="BT957" t="str">
        <f>HYPERLINK("https%3A%2F%2Fwww.webofscience.com%2Fwos%2Fwoscc%2Ffull-record%2FWOS:A1990DB55400016","View Full Record in Web of Science")</f>
        <v>View Full Record in Web of Science</v>
      </c>
    </row>
    <row r="958" spans="1:72" x14ac:dyDescent="0.2">
      <c r="A958" t="s">
        <v>72</v>
      </c>
      <c r="B958" t="s">
        <v>6698</v>
      </c>
      <c r="C958" t="s">
        <v>74</v>
      </c>
      <c r="D958" t="s">
        <v>74</v>
      </c>
      <c r="E958" t="s">
        <v>74</v>
      </c>
      <c r="F958" t="s">
        <v>6698</v>
      </c>
      <c r="G958" t="s">
        <v>74</v>
      </c>
      <c r="H958" t="s">
        <v>74</v>
      </c>
      <c r="I958" t="s">
        <v>6699</v>
      </c>
      <c r="J958" t="s">
        <v>88</v>
      </c>
      <c r="K958" t="s">
        <v>74</v>
      </c>
      <c r="L958" t="s">
        <v>74</v>
      </c>
      <c r="M958" t="s">
        <v>74</v>
      </c>
      <c r="N958" t="s">
        <v>74</v>
      </c>
      <c r="O958" t="s">
        <v>74</v>
      </c>
      <c r="P958" t="s">
        <v>74</v>
      </c>
      <c r="Q958" t="s">
        <v>74</v>
      </c>
      <c r="R958" t="s">
        <v>74</v>
      </c>
      <c r="S958" t="s">
        <v>74</v>
      </c>
      <c r="T958" t="s">
        <v>74</v>
      </c>
      <c r="U958" t="s">
        <v>74</v>
      </c>
      <c r="V958" t="s">
        <v>74</v>
      </c>
      <c r="W958" t="s">
        <v>74</v>
      </c>
      <c r="X958" t="s">
        <v>74</v>
      </c>
      <c r="Y958" t="s">
        <v>74</v>
      </c>
      <c r="Z958" t="s">
        <v>74</v>
      </c>
      <c r="AA958" t="s">
        <v>6700</v>
      </c>
      <c r="AB958" t="s">
        <v>6701</v>
      </c>
      <c r="AC958" t="s">
        <v>74</v>
      </c>
      <c r="AD958" t="s">
        <v>74</v>
      </c>
      <c r="AE958" t="s">
        <v>74</v>
      </c>
      <c r="AF958" t="s">
        <v>74</v>
      </c>
      <c r="AG958" t="s">
        <v>74</v>
      </c>
      <c r="AH958" t="s">
        <v>74</v>
      </c>
      <c r="AI958" t="s">
        <v>74</v>
      </c>
      <c r="AJ958" t="s">
        <v>74</v>
      </c>
      <c r="AK958" t="s">
        <v>74</v>
      </c>
      <c r="AL958" t="s">
        <v>74</v>
      </c>
      <c r="AM958" t="s">
        <v>74</v>
      </c>
      <c r="AN958" t="s">
        <v>74</v>
      </c>
      <c r="AO958" t="s">
        <v>89</v>
      </c>
      <c r="AP958" t="s">
        <v>90</v>
      </c>
      <c r="AQ958" t="s">
        <v>74</v>
      </c>
      <c r="AR958" t="s">
        <v>74</v>
      </c>
      <c r="AS958" t="s">
        <v>74</v>
      </c>
      <c r="AT958" t="s">
        <v>406</v>
      </c>
      <c r="AU958">
        <v>1988</v>
      </c>
      <c r="AV958">
        <v>45</v>
      </c>
      <c r="AW958">
        <v>10</v>
      </c>
      <c r="AX958" t="s">
        <v>74</v>
      </c>
      <c r="AY958" t="s">
        <v>74</v>
      </c>
      <c r="AZ958" t="s">
        <v>74</v>
      </c>
      <c r="BA958" t="s">
        <v>74</v>
      </c>
      <c r="BB958">
        <v>1711</v>
      </c>
      <c r="BC958">
        <v>1719</v>
      </c>
      <c r="BD958" t="s">
        <v>74</v>
      </c>
      <c r="BE958" t="s">
        <v>6702</v>
      </c>
      <c r="BF958" t="str">
        <f>HYPERLINK("http://dx.doi.org/10.1139/f88-203","http://dx.doi.org/10.1139/f88-203")</f>
        <v>http://dx.doi.org/10.1139/f88-203</v>
      </c>
      <c r="BG958" t="s">
        <v>74</v>
      </c>
      <c r="BH958" t="s">
        <v>74</v>
      </c>
      <c r="BI958" t="s">
        <v>74</v>
      </c>
      <c r="BJ958" t="s">
        <v>74</v>
      </c>
      <c r="BK958" t="s">
        <v>74</v>
      </c>
      <c r="BL958" t="s">
        <v>74</v>
      </c>
      <c r="BM958" t="s">
        <v>74</v>
      </c>
      <c r="BN958" t="s">
        <v>74</v>
      </c>
      <c r="BO958" t="s">
        <v>74</v>
      </c>
      <c r="BP958" t="s">
        <v>74</v>
      </c>
      <c r="BQ958" t="s">
        <v>74</v>
      </c>
      <c r="BR958" t="s">
        <v>74</v>
      </c>
      <c r="BS958" t="s">
        <v>6703</v>
      </c>
      <c r="BT958" t="str">
        <f>HYPERLINK("https%3A%2F%2Fwww.webofscience.com%2Fwos%2Fwoscc%2Ffull-record%2FWOS:A1988Q469800006","View Full Record in Web of Science")</f>
        <v>View Full Record in Web of Science</v>
      </c>
    </row>
    <row r="959" spans="1:72" x14ac:dyDescent="0.2">
      <c r="A959" t="s">
        <v>72</v>
      </c>
      <c r="B959" t="s">
        <v>6704</v>
      </c>
      <c r="C959" t="s">
        <v>74</v>
      </c>
      <c r="D959" t="s">
        <v>74</v>
      </c>
      <c r="E959" t="s">
        <v>74</v>
      </c>
      <c r="F959" t="s">
        <v>6704</v>
      </c>
      <c r="G959" t="s">
        <v>74</v>
      </c>
      <c r="H959" t="s">
        <v>74</v>
      </c>
      <c r="I959" t="s">
        <v>6705</v>
      </c>
      <c r="J959" t="s">
        <v>1523</v>
      </c>
      <c r="K959" t="s">
        <v>74</v>
      </c>
      <c r="L959" t="s">
        <v>74</v>
      </c>
      <c r="M959" t="s">
        <v>74</v>
      </c>
      <c r="N959" t="s">
        <v>74</v>
      </c>
      <c r="O959" t="s">
        <v>74</v>
      </c>
      <c r="P959" t="s">
        <v>74</v>
      </c>
      <c r="Q959" t="s">
        <v>74</v>
      </c>
      <c r="R959" t="s">
        <v>74</v>
      </c>
      <c r="S959" t="s">
        <v>74</v>
      </c>
      <c r="T959" t="s">
        <v>74</v>
      </c>
      <c r="U959" t="s">
        <v>74</v>
      </c>
      <c r="V959" t="s">
        <v>74</v>
      </c>
      <c r="W959" t="s">
        <v>74</v>
      </c>
      <c r="X959" t="s">
        <v>74</v>
      </c>
      <c r="Y959" t="s">
        <v>74</v>
      </c>
      <c r="Z959" t="s">
        <v>74</v>
      </c>
      <c r="AA959" t="s">
        <v>6706</v>
      </c>
      <c r="AB959" t="s">
        <v>6707</v>
      </c>
      <c r="AC959" t="s">
        <v>74</v>
      </c>
      <c r="AD959" t="s">
        <v>74</v>
      </c>
      <c r="AE959" t="s">
        <v>74</v>
      </c>
      <c r="AF959" t="s">
        <v>74</v>
      </c>
      <c r="AG959" t="s">
        <v>74</v>
      </c>
      <c r="AH959" t="s">
        <v>74</v>
      </c>
      <c r="AI959" t="s">
        <v>74</v>
      </c>
      <c r="AJ959" t="s">
        <v>74</v>
      </c>
      <c r="AK959" t="s">
        <v>74</v>
      </c>
      <c r="AL959" t="s">
        <v>74</v>
      </c>
      <c r="AM959" t="s">
        <v>74</v>
      </c>
      <c r="AN959" t="s">
        <v>74</v>
      </c>
      <c r="AO959" t="s">
        <v>1524</v>
      </c>
      <c r="AP959" t="s">
        <v>1525</v>
      </c>
      <c r="AQ959" t="s">
        <v>74</v>
      </c>
      <c r="AR959" t="s">
        <v>74</v>
      </c>
      <c r="AS959" t="s">
        <v>74</v>
      </c>
      <c r="AT959" t="s">
        <v>406</v>
      </c>
      <c r="AU959">
        <v>1988</v>
      </c>
      <c r="AV959">
        <v>69</v>
      </c>
      <c r="AW959">
        <v>5</v>
      </c>
      <c r="AX959" t="s">
        <v>74</v>
      </c>
      <c r="AY959" t="s">
        <v>74</v>
      </c>
      <c r="AZ959" t="s">
        <v>74</v>
      </c>
      <c r="BA959" t="s">
        <v>74</v>
      </c>
      <c r="BB959">
        <v>1393</v>
      </c>
      <c r="BC959">
        <v>1400</v>
      </c>
      <c r="BD959" t="s">
        <v>74</v>
      </c>
      <c r="BE959" t="s">
        <v>6708</v>
      </c>
      <c r="BF959" t="str">
        <f>HYPERLINK("http://dx.doi.org/10.2307/1941636","http://dx.doi.org/10.2307/1941636")</f>
        <v>http://dx.doi.org/10.2307/1941636</v>
      </c>
      <c r="BG959" t="s">
        <v>74</v>
      </c>
      <c r="BH959" t="s">
        <v>74</v>
      </c>
      <c r="BI959" t="s">
        <v>74</v>
      </c>
      <c r="BJ959" t="s">
        <v>74</v>
      </c>
      <c r="BK959" t="s">
        <v>74</v>
      </c>
      <c r="BL959" t="s">
        <v>74</v>
      </c>
      <c r="BM959" t="s">
        <v>74</v>
      </c>
      <c r="BN959" t="s">
        <v>74</v>
      </c>
      <c r="BO959" t="s">
        <v>74</v>
      </c>
      <c r="BP959" t="s">
        <v>74</v>
      </c>
      <c r="BQ959" t="s">
        <v>74</v>
      </c>
      <c r="BR959" t="s">
        <v>74</v>
      </c>
      <c r="BS959" t="s">
        <v>6709</v>
      </c>
      <c r="BT959" t="str">
        <f>HYPERLINK("https%3A%2F%2Fwww.webofscience.com%2Fwos%2Fwoscc%2Ffull-record%2FWOS:A1988Q291900009","View Full Record in Web of Science")</f>
        <v>View Full Record in Web of Science</v>
      </c>
    </row>
    <row r="960" spans="1:72" x14ac:dyDescent="0.2">
      <c r="A960" t="s">
        <v>72</v>
      </c>
      <c r="B960" t="s">
        <v>6710</v>
      </c>
      <c r="C960" t="s">
        <v>74</v>
      </c>
      <c r="D960" t="s">
        <v>74</v>
      </c>
      <c r="E960" t="s">
        <v>74</v>
      </c>
      <c r="F960" t="s">
        <v>6710</v>
      </c>
      <c r="G960" t="s">
        <v>74</v>
      </c>
      <c r="H960" t="s">
        <v>74</v>
      </c>
      <c r="I960" t="s">
        <v>6711</v>
      </c>
      <c r="J960" t="s">
        <v>3919</v>
      </c>
      <c r="K960" t="s">
        <v>74</v>
      </c>
      <c r="L960" t="s">
        <v>74</v>
      </c>
      <c r="M960" t="s">
        <v>74</v>
      </c>
      <c r="N960" t="s">
        <v>74</v>
      </c>
      <c r="O960" t="s">
        <v>74</v>
      </c>
      <c r="P960" t="s">
        <v>74</v>
      </c>
      <c r="Q960" t="s">
        <v>74</v>
      </c>
      <c r="R960" t="s">
        <v>74</v>
      </c>
      <c r="S960" t="s">
        <v>74</v>
      </c>
      <c r="T960" t="s">
        <v>74</v>
      </c>
      <c r="U960" t="s">
        <v>74</v>
      </c>
      <c r="V960" t="s">
        <v>74</v>
      </c>
      <c r="W960" t="s">
        <v>74</v>
      </c>
      <c r="X960" t="s">
        <v>74</v>
      </c>
      <c r="Y960" t="s">
        <v>74</v>
      </c>
      <c r="Z960" t="s">
        <v>74</v>
      </c>
      <c r="AA960" t="s">
        <v>74</v>
      </c>
      <c r="AB960" t="s">
        <v>74</v>
      </c>
      <c r="AC960" t="s">
        <v>74</v>
      </c>
      <c r="AD960" t="s">
        <v>74</v>
      </c>
      <c r="AE960" t="s">
        <v>74</v>
      </c>
      <c r="AF960" t="s">
        <v>74</v>
      </c>
      <c r="AG960" t="s">
        <v>74</v>
      </c>
      <c r="AH960" t="s">
        <v>74</v>
      </c>
      <c r="AI960" t="s">
        <v>74</v>
      </c>
      <c r="AJ960" t="s">
        <v>74</v>
      </c>
      <c r="AK960" t="s">
        <v>74</v>
      </c>
      <c r="AL960" t="s">
        <v>74</v>
      </c>
      <c r="AM960" t="s">
        <v>74</v>
      </c>
      <c r="AN960" t="s">
        <v>74</v>
      </c>
      <c r="AO960" t="s">
        <v>3920</v>
      </c>
      <c r="AP960" t="s">
        <v>3921</v>
      </c>
      <c r="AQ960" t="s">
        <v>74</v>
      </c>
      <c r="AR960" t="s">
        <v>74</v>
      </c>
      <c r="AS960" t="s">
        <v>74</v>
      </c>
      <c r="AT960" t="s">
        <v>569</v>
      </c>
      <c r="AU960">
        <v>1986</v>
      </c>
      <c r="AV960">
        <v>51</v>
      </c>
      <c r="AW960">
        <v>6</v>
      </c>
      <c r="AX960" t="s">
        <v>74</v>
      </c>
      <c r="AY960" t="s">
        <v>74</v>
      </c>
      <c r="AZ960" t="s">
        <v>74</v>
      </c>
      <c r="BA960" t="s">
        <v>74</v>
      </c>
      <c r="BB960">
        <v>1199</v>
      </c>
      <c r="BC960">
        <v>1204</v>
      </c>
      <c r="BD960" t="s">
        <v>74</v>
      </c>
      <c r="BE960" t="s">
        <v>74</v>
      </c>
      <c r="BF960" t="s">
        <v>74</v>
      </c>
      <c r="BG960" t="s">
        <v>74</v>
      </c>
      <c r="BH960" t="s">
        <v>74</v>
      </c>
      <c r="BI960" t="s">
        <v>74</v>
      </c>
      <c r="BJ960" t="s">
        <v>74</v>
      </c>
      <c r="BK960" t="s">
        <v>74</v>
      </c>
      <c r="BL960" t="s">
        <v>74</v>
      </c>
      <c r="BM960" t="s">
        <v>74</v>
      </c>
      <c r="BN960">
        <v>16347077</v>
      </c>
      <c r="BO960" t="s">
        <v>74</v>
      </c>
      <c r="BP960" t="s">
        <v>74</v>
      </c>
      <c r="BQ960" t="s">
        <v>74</v>
      </c>
      <c r="BR960" t="s">
        <v>74</v>
      </c>
      <c r="BS960" t="s">
        <v>6712</v>
      </c>
      <c r="BT960" t="str">
        <f>HYPERLINK("https%3A%2F%2Fwww.webofscience.com%2Fwos%2Fwoscc%2Ffull-record%2FWOS:A1986C593100008","View Full Record in Web of Science")</f>
        <v>View Full Record in Web of Science</v>
      </c>
    </row>
    <row r="961" spans="1:72" x14ac:dyDescent="0.2">
      <c r="A961" t="s">
        <v>72</v>
      </c>
      <c r="B961" t="s">
        <v>6713</v>
      </c>
      <c r="C961" t="s">
        <v>74</v>
      </c>
      <c r="D961" t="s">
        <v>74</v>
      </c>
      <c r="E961" t="s">
        <v>74</v>
      </c>
      <c r="F961" t="s">
        <v>6713</v>
      </c>
      <c r="G961" t="s">
        <v>74</v>
      </c>
      <c r="H961" t="s">
        <v>74</v>
      </c>
      <c r="I961" t="s">
        <v>6714</v>
      </c>
      <c r="J961" t="s">
        <v>4852</v>
      </c>
      <c r="K961" t="s">
        <v>74</v>
      </c>
      <c r="L961" t="s">
        <v>74</v>
      </c>
      <c r="M961" t="s">
        <v>74</v>
      </c>
      <c r="N961" t="s">
        <v>74</v>
      </c>
      <c r="O961" t="s">
        <v>74</v>
      </c>
      <c r="P961" t="s">
        <v>74</v>
      </c>
      <c r="Q961" t="s">
        <v>74</v>
      </c>
      <c r="R961" t="s">
        <v>74</v>
      </c>
      <c r="S961" t="s">
        <v>74</v>
      </c>
      <c r="T961" t="s">
        <v>74</v>
      </c>
      <c r="U961" t="s">
        <v>74</v>
      </c>
      <c r="V961" t="s">
        <v>74</v>
      </c>
      <c r="W961" t="s">
        <v>74</v>
      </c>
      <c r="X961" t="s">
        <v>74</v>
      </c>
      <c r="Y961" t="s">
        <v>74</v>
      </c>
      <c r="Z961" t="s">
        <v>74</v>
      </c>
      <c r="AA961" t="s">
        <v>74</v>
      </c>
      <c r="AB961" t="s">
        <v>74</v>
      </c>
      <c r="AC961" t="s">
        <v>74</v>
      </c>
      <c r="AD961" t="s">
        <v>74</v>
      </c>
      <c r="AE961" t="s">
        <v>74</v>
      </c>
      <c r="AF961" t="s">
        <v>74</v>
      </c>
      <c r="AG961" t="s">
        <v>74</v>
      </c>
      <c r="AH961" t="s">
        <v>74</v>
      </c>
      <c r="AI961" t="s">
        <v>74</v>
      </c>
      <c r="AJ961" t="s">
        <v>74</v>
      </c>
      <c r="AK961" t="s">
        <v>74</v>
      </c>
      <c r="AL961" t="s">
        <v>74</v>
      </c>
      <c r="AM961" t="s">
        <v>74</v>
      </c>
      <c r="AN961" t="s">
        <v>74</v>
      </c>
      <c r="AO961" t="s">
        <v>4855</v>
      </c>
      <c r="AP961" t="s">
        <v>4856</v>
      </c>
      <c r="AQ961" t="s">
        <v>74</v>
      </c>
      <c r="AR961" t="s">
        <v>74</v>
      </c>
      <c r="AS961" t="s">
        <v>74</v>
      </c>
      <c r="AT961" t="s">
        <v>74</v>
      </c>
      <c r="AU961">
        <v>1985</v>
      </c>
      <c r="AV961">
        <v>14</v>
      </c>
      <c r="AW961">
        <v>4</v>
      </c>
      <c r="AX961" t="s">
        <v>74</v>
      </c>
      <c r="AY961" t="s">
        <v>74</v>
      </c>
      <c r="AZ961" t="s">
        <v>74</v>
      </c>
      <c r="BA961" t="s">
        <v>74</v>
      </c>
      <c r="BB961">
        <v>281</v>
      </c>
      <c r="BC961">
        <v>293</v>
      </c>
      <c r="BD961" t="s">
        <v>74</v>
      </c>
      <c r="BE961" t="s">
        <v>6715</v>
      </c>
      <c r="BF961" t="str">
        <f>HYPERLINK("http://dx.doi.org/10.1007/BF00002633","http://dx.doi.org/10.1007/BF00002633")</f>
        <v>http://dx.doi.org/10.1007/BF00002633</v>
      </c>
      <c r="BG961" t="s">
        <v>74</v>
      </c>
      <c r="BH961" t="s">
        <v>74</v>
      </c>
      <c r="BI961" t="s">
        <v>74</v>
      </c>
      <c r="BJ961" t="s">
        <v>74</v>
      </c>
      <c r="BK961" t="s">
        <v>74</v>
      </c>
      <c r="BL961" t="s">
        <v>74</v>
      </c>
      <c r="BM961" t="s">
        <v>74</v>
      </c>
      <c r="BN961" t="s">
        <v>74</v>
      </c>
      <c r="BO961" t="s">
        <v>74</v>
      </c>
      <c r="BP961" t="s">
        <v>74</v>
      </c>
      <c r="BQ961" t="s">
        <v>74</v>
      </c>
      <c r="BR961" t="s">
        <v>74</v>
      </c>
      <c r="BS961" t="s">
        <v>6716</v>
      </c>
      <c r="BT961" t="str">
        <f>HYPERLINK("https%3A%2F%2Fwww.webofscience.com%2Fwos%2Fwoscc%2Ffull-record%2FWOS:A1985AWL7500007","View Full Record in Web of Science")</f>
        <v>View Full Record in Web of Science</v>
      </c>
    </row>
    <row r="962" spans="1:72" x14ac:dyDescent="0.2">
      <c r="A962" t="s">
        <v>72</v>
      </c>
      <c r="B962" t="s">
        <v>6717</v>
      </c>
      <c r="C962" t="s">
        <v>74</v>
      </c>
      <c r="D962" t="s">
        <v>74</v>
      </c>
      <c r="E962" t="s">
        <v>74</v>
      </c>
      <c r="F962" t="s">
        <v>6717</v>
      </c>
      <c r="G962" t="s">
        <v>74</v>
      </c>
      <c r="H962" t="s">
        <v>74</v>
      </c>
      <c r="I962" t="s">
        <v>6718</v>
      </c>
      <c r="J962" t="s">
        <v>106</v>
      </c>
      <c r="K962" t="s">
        <v>74</v>
      </c>
      <c r="L962" t="s">
        <v>74</v>
      </c>
      <c r="M962" t="s">
        <v>74</v>
      </c>
      <c r="N962" t="s">
        <v>74</v>
      </c>
      <c r="O962" t="s">
        <v>74</v>
      </c>
      <c r="P962" t="s">
        <v>74</v>
      </c>
      <c r="Q962" t="s">
        <v>74</v>
      </c>
      <c r="R962" t="s">
        <v>74</v>
      </c>
      <c r="S962" t="s">
        <v>74</v>
      </c>
      <c r="T962" t="s">
        <v>74</v>
      </c>
      <c r="U962" t="s">
        <v>74</v>
      </c>
      <c r="V962" t="s">
        <v>74</v>
      </c>
      <c r="W962" t="s">
        <v>74</v>
      </c>
      <c r="X962" t="s">
        <v>74</v>
      </c>
      <c r="Y962" t="s">
        <v>74</v>
      </c>
      <c r="Z962" t="s">
        <v>74</v>
      </c>
      <c r="AA962" t="s">
        <v>74</v>
      </c>
      <c r="AB962" t="s">
        <v>74</v>
      </c>
      <c r="AC962" t="s">
        <v>74</v>
      </c>
      <c r="AD962" t="s">
        <v>74</v>
      </c>
      <c r="AE962" t="s">
        <v>74</v>
      </c>
      <c r="AF962" t="s">
        <v>74</v>
      </c>
      <c r="AG962" t="s">
        <v>74</v>
      </c>
      <c r="AH962" t="s">
        <v>74</v>
      </c>
      <c r="AI962" t="s">
        <v>74</v>
      </c>
      <c r="AJ962" t="s">
        <v>74</v>
      </c>
      <c r="AK962" t="s">
        <v>74</v>
      </c>
      <c r="AL962" t="s">
        <v>74</v>
      </c>
      <c r="AM962" t="s">
        <v>74</v>
      </c>
      <c r="AN962" t="s">
        <v>74</v>
      </c>
      <c r="AO962" t="s">
        <v>107</v>
      </c>
      <c r="AP962" t="s">
        <v>108</v>
      </c>
      <c r="AQ962" t="s">
        <v>74</v>
      </c>
      <c r="AR962" t="s">
        <v>74</v>
      </c>
      <c r="AS962" t="s">
        <v>74</v>
      </c>
      <c r="AT962" t="s">
        <v>74</v>
      </c>
      <c r="AU962">
        <v>1985</v>
      </c>
      <c r="AV962">
        <v>7</v>
      </c>
      <c r="AW962">
        <v>2</v>
      </c>
      <c r="AX962" t="s">
        <v>74</v>
      </c>
      <c r="AY962" t="s">
        <v>74</v>
      </c>
      <c r="AZ962" t="s">
        <v>74</v>
      </c>
      <c r="BA962" t="s">
        <v>74</v>
      </c>
      <c r="BB962">
        <v>279</v>
      </c>
      <c r="BC962">
        <v>294</v>
      </c>
      <c r="BD962" t="s">
        <v>74</v>
      </c>
      <c r="BE962" t="s">
        <v>6719</v>
      </c>
      <c r="BF962" t="str">
        <f>HYPERLINK("http://dx.doi.org/10.1093/plankt/7.2.279","http://dx.doi.org/10.1093/plankt/7.2.279")</f>
        <v>http://dx.doi.org/10.1093/plankt/7.2.279</v>
      </c>
      <c r="BG962" t="s">
        <v>74</v>
      </c>
      <c r="BH962" t="s">
        <v>74</v>
      </c>
      <c r="BI962" t="s">
        <v>74</v>
      </c>
      <c r="BJ962" t="s">
        <v>74</v>
      </c>
      <c r="BK962" t="s">
        <v>74</v>
      </c>
      <c r="BL962" t="s">
        <v>74</v>
      </c>
      <c r="BM962" t="s">
        <v>74</v>
      </c>
      <c r="BN962" t="s">
        <v>74</v>
      </c>
      <c r="BO962" t="s">
        <v>74</v>
      </c>
      <c r="BP962" t="s">
        <v>74</v>
      </c>
      <c r="BQ962" t="s">
        <v>74</v>
      </c>
      <c r="BR962" t="s">
        <v>74</v>
      </c>
      <c r="BS962" t="s">
        <v>6720</v>
      </c>
      <c r="BT962" t="str">
        <f>HYPERLINK("https%3A%2F%2Fwww.webofscience.com%2Fwos%2Fwoscc%2Ffull-record%2FWOS:A1985AFD3900010","View Full Record in Web of Science")</f>
        <v>View Full Record in Web of Science</v>
      </c>
    </row>
    <row r="963" spans="1:72" x14ac:dyDescent="0.2">
      <c r="A963" t="s">
        <v>72</v>
      </c>
      <c r="B963" t="s">
        <v>6721</v>
      </c>
      <c r="C963" t="s">
        <v>74</v>
      </c>
      <c r="D963" t="s">
        <v>74</v>
      </c>
      <c r="E963" t="s">
        <v>74</v>
      </c>
      <c r="F963" t="s">
        <v>6721</v>
      </c>
      <c r="G963" t="s">
        <v>74</v>
      </c>
      <c r="H963" t="s">
        <v>74</v>
      </c>
      <c r="I963" t="s">
        <v>6722</v>
      </c>
      <c r="J963" t="s">
        <v>1377</v>
      </c>
      <c r="K963" t="s">
        <v>74</v>
      </c>
      <c r="L963" t="s">
        <v>74</v>
      </c>
      <c r="M963" t="s">
        <v>74</v>
      </c>
      <c r="N963" t="s">
        <v>74</v>
      </c>
      <c r="O963" t="s">
        <v>74</v>
      </c>
      <c r="P963" t="s">
        <v>74</v>
      </c>
      <c r="Q963" t="s">
        <v>74</v>
      </c>
      <c r="R963" t="s">
        <v>74</v>
      </c>
      <c r="S963" t="s">
        <v>74</v>
      </c>
      <c r="T963" t="s">
        <v>74</v>
      </c>
      <c r="U963" t="s">
        <v>74</v>
      </c>
      <c r="V963" t="s">
        <v>74</v>
      </c>
      <c r="W963" t="s">
        <v>74</v>
      </c>
      <c r="X963" t="s">
        <v>74</v>
      </c>
      <c r="Y963" t="s">
        <v>74</v>
      </c>
      <c r="Z963" t="s">
        <v>74</v>
      </c>
      <c r="AA963" t="s">
        <v>74</v>
      </c>
      <c r="AB963" t="s">
        <v>74</v>
      </c>
      <c r="AC963" t="s">
        <v>74</v>
      </c>
      <c r="AD963" t="s">
        <v>74</v>
      </c>
      <c r="AE963" t="s">
        <v>74</v>
      </c>
      <c r="AF963" t="s">
        <v>74</v>
      </c>
      <c r="AG963" t="s">
        <v>74</v>
      </c>
      <c r="AH963" t="s">
        <v>74</v>
      </c>
      <c r="AI963" t="s">
        <v>74</v>
      </c>
      <c r="AJ963" t="s">
        <v>74</v>
      </c>
      <c r="AK963" t="s">
        <v>74</v>
      </c>
      <c r="AL963" t="s">
        <v>74</v>
      </c>
      <c r="AM963" t="s">
        <v>74</v>
      </c>
      <c r="AN963" t="s">
        <v>74</v>
      </c>
      <c r="AO963" t="s">
        <v>1380</v>
      </c>
      <c r="AP963" t="s">
        <v>1381</v>
      </c>
      <c r="AQ963" t="s">
        <v>74</v>
      </c>
      <c r="AR963" t="s">
        <v>74</v>
      </c>
      <c r="AS963" t="s">
        <v>74</v>
      </c>
      <c r="AT963" t="s">
        <v>74</v>
      </c>
      <c r="AU963">
        <v>1983</v>
      </c>
      <c r="AV963">
        <v>71</v>
      </c>
      <c r="AW963">
        <v>3</v>
      </c>
      <c r="AX963" t="s">
        <v>74</v>
      </c>
      <c r="AY963" t="s">
        <v>74</v>
      </c>
      <c r="AZ963" t="s">
        <v>74</v>
      </c>
      <c r="BA963" t="s">
        <v>74</v>
      </c>
      <c r="BB963">
        <v>793</v>
      </c>
      <c r="BC963">
        <v>810</v>
      </c>
      <c r="BD963" t="s">
        <v>74</v>
      </c>
      <c r="BE963" t="s">
        <v>6723</v>
      </c>
      <c r="BF963" t="str">
        <f>HYPERLINK("http://dx.doi.org/10.2307/2259593","http://dx.doi.org/10.2307/2259593")</f>
        <v>http://dx.doi.org/10.2307/2259593</v>
      </c>
      <c r="BG963" t="s">
        <v>74</v>
      </c>
      <c r="BH963" t="s">
        <v>74</v>
      </c>
      <c r="BI963" t="s">
        <v>74</v>
      </c>
      <c r="BJ963" t="s">
        <v>74</v>
      </c>
      <c r="BK963" t="s">
        <v>74</v>
      </c>
      <c r="BL963" t="s">
        <v>74</v>
      </c>
      <c r="BM963" t="s">
        <v>74</v>
      </c>
      <c r="BN963" t="s">
        <v>74</v>
      </c>
      <c r="BO963" t="s">
        <v>74</v>
      </c>
      <c r="BP963" t="s">
        <v>74</v>
      </c>
      <c r="BQ963" t="s">
        <v>74</v>
      </c>
      <c r="BR963" t="s">
        <v>74</v>
      </c>
      <c r="BS963" t="s">
        <v>6724</v>
      </c>
      <c r="BT963" t="str">
        <f>HYPERLINK("https%3A%2F%2Fwww.webofscience.com%2Fwos%2Fwoscc%2Ffull-record%2FWOS:A1983RR52200010","View Full Record in Web of Science")</f>
        <v>View Full Record in Web of Science</v>
      </c>
    </row>
    <row r="964" spans="1:72" x14ac:dyDescent="0.2">
      <c r="A964" t="s">
        <v>72</v>
      </c>
      <c r="B964" t="s">
        <v>6725</v>
      </c>
      <c r="C964" t="s">
        <v>74</v>
      </c>
      <c r="D964" t="s">
        <v>74</v>
      </c>
      <c r="E964" t="s">
        <v>74</v>
      </c>
      <c r="F964" t="s">
        <v>6725</v>
      </c>
      <c r="G964" t="s">
        <v>74</v>
      </c>
      <c r="H964" t="s">
        <v>74</v>
      </c>
      <c r="I964" t="s">
        <v>6726</v>
      </c>
      <c r="J964" t="s">
        <v>227</v>
      </c>
      <c r="K964" t="s">
        <v>74</v>
      </c>
      <c r="L964" t="s">
        <v>74</v>
      </c>
      <c r="M964" t="s">
        <v>74</v>
      </c>
      <c r="N964" t="s">
        <v>74</v>
      </c>
      <c r="O964" t="s">
        <v>74</v>
      </c>
      <c r="P964" t="s">
        <v>74</v>
      </c>
      <c r="Q964" t="s">
        <v>74</v>
      </c>
      <c r="R964" t="s">
        <v>74</v>
      </c>
      <c r="S964" t="s">
        <v>74</v>
      </c>
      <c r="T964" t="s">
        <v>74</v>
      </c>
      <c r="U964" t="s">
        <v>74</v>
      </c>
      <c r="V964" t="s">
        <v>74</v>
      </c>
      <c r="W964" t="s">
        <v>74</v>
      </c>
      <c r="X964" t="s">
        <v>74</v>
      </c>
      <c r="Y964" t="s">
        <v>74</v>
      </c>
      <c r="Z964" t="s">
        <v>74</v>
      </c>
      <c r="AA964" t="s">
        <v>5296</v>
      </c>
      <c r="AB964" t="s">
        <v>74</v>
      </c>
      <c r="AC964" t="s">
        <v>74</v>
      </c>
      <c r="AD964" t="s">
        <v>74</v>
      </c>
      <c r="AE964" t="s">
        <v>74</v>
      </c>
      <c r="AF964" t="s">
        <v>74</v>
      </c>
      <c r="AG964" t="s">
        <v>74</v>
      </c>
      <c r="AH964" t="s">
        <v>74</v>
      </c>
      <c r="AI964" t="s">
        <v>74</v>
      </c>
      <c r="AJ964" t="s">
        <v>74</v>
      </c>
      <c r="AK964" t="s">
        <v>74</v>
      </c>
      <c r="AL964" t="s">
        <v>74</v>
      </c>
      <c r="AM964" t="s">
        <v>74</v>
      </c>
      <c r="AN964" t="s">
        <v>74</v>
      </c>
      <c r="AO964" t="s">
        <v>230</v>
      </c>
      <c r="AP964" t="s">
        <v>231</v>
      </c>
      <c r="AQ964" t="s">
        <v>74</v>
      </c>
      <c r="AR964" t="s">
        <v>74</v>
      </c>
      <c r="AS964" t="s">
        <v>74</v>
      </c>
      <c r="AT964" t="s">
        <v>74</v>
      </c>
      <c r="AU964">
        <v>1983</v>
      </c>
      <c r="AV964">
        <v>28</v>
      </c>
      <c r="AW964">
        <v>3</v>
      </c>
      <c r="AX964" t="s">
        <v>74</v>
      </c>
      <c r="AY964" t="s">
        <v>74</v>
      </c>
      <c r="AZ964" t="s">
        <v>74</v>
      </c>
      <c r="BA964" t="s">
        <v>74</v>
      </c>
      <c r="BB964">
        <v>448</v>
      </c>
      <c r="BC964">
        <v>464</v>
      </c>
      <c r="BD964" t="s">
        <v>74</v>
      </c>
      <c r="BE964" t="s">
        <v>6727</v>
      </c>
      <c r="BF964" t="str">
        <f>HYPERLINK("http://dx.doi.org/10.4319/lo.1983.28.3.0448","http://dx.doi.org/10.4319/lo.1983.28.3.0448")</f>
        <v>http://dx.doi.org/10.4319/lo.1983.28.3.0448</v>
      </c>
      <c r="BG964" t="s">
        <v>74</v>
      </c>
      <c r="BH964" t="s">
        <v>74</v>
      </c>
      <c r="BI964" t="s">
        <v>74</v>
      </c>
      <c r="BJ964" t="s">
        <v>74</v>
      </c>
      <c r="BK964" t="s">
        <v>74</v>
      </c>
      <c r="BL964" t="s">
        <v>74</v>
      </c>
      <c r="BM964" t="s">
        <v>74</v>
      </c>
      <c r="BN964" t="s">
        <v>74</v>
      </c>
      <c r="BO964" t="s">
        <v>74</v>
      </c>
      <c r="BP964" t="s">
        <v>74</v>
      </c>
      <c r="BQ964" t="s">
        <v>74</v>
      </c>
      <c r="BR964" t="s">
        <v>74</v>
      </c>
      <c r="BS964" t="s">
        <v>6728</v>
      </c>
      <c r="BT964" t="str">
        <f>HYPERLINK("https%3A%2F%2Fwww.webofscience.com%2Fwos%2Fwoscc%2Ffull-record%2FWOS:A1983QT11200004","View Full Record in Web of Science")</f>
        <v>View Full Record in Web of Science</v>
      </c>
    </row>
    <row r="965" spans="1:72" x14ac:dyDescent="0.2">
      <c r="A965" t="s">
        <v>72</v>
      </c>
      <c r="B965" t="s">
        <v>6725</v>
      </c>
      <c r="C965" t="s">
        <v>74</v>
      </c>
      <c r="D965" t="s">
        <v>74</v>
      </c>
      <c r="E965" t="s">
        <v>74</v>
      </c>
      <c r="F965" t="s">
        <v>6725</v>
      </c>
      <c r="G965" t="s">
        <v>74</v>
      </c>
      <c r="H965" t="s">
        <v>74</v>
      </c>
      <c r="I965" t="s">
        <v>6729</v>
      </c>
      <c r="J965" t="s">
        <v>1716</v>
      </c>
      <c r="K965" t="s">
        <v>74</v>
      </c>
      <c r="L965" t="s">
        <v>74</v>
      </c>
      <c r="M965" t="s">
        <v>74</v>
      </c>
      <c r="N965" t="s">
        <v>74</v>
      </c>
      <c r="O965" t="s">
        <v>74</v>
      </c>
      <c r="P965" t="s">
        <v>74</v>
      </c>
      <c r="Q965" t="s">
        <v>74</v>
      </c>
      <c r="R965" t="s">
        <v>74</v>
      </c>
      <c r="S965" t="s">
        <v>74</v>
      </c>
      <c r="T965" t="s">
        <v>74</v>
      </c>
      <c r="U965" t="s">
        <v>74</v>
      </c>
      <c r="V965" t="s">
        <v>74</v>
      </c>
      <c r="W965" t="s">
        <v>74</v>
      </c>
      <c r="X965" t="s">
        <v>74</v>
      </c>
      <c r="Y965" t="s">
        <v>74</v>
      </c>
      <c r="Z965" t="s">
        <v>74</v>
      </c>
      <c r="AA965" t="s">
        <v>5296</v>
      </c>
      <c r="AB965" t="s">
        <v>74</v>
      </c>
      <c r="AC965" t="s">
        <v>74</v>
      </c>
      <c r="AD965" t="s">
        <v>74</v>
      </c>
      <c r="AE965" t="s">
        <v>74</v>
      </c>
      <c r="AF965" t="s">
        <v>74</v>
      </c>
      <c r="AG965" t="s">
        <v>74</v>
      </c>
      <c r="AH965" t="s">
        <v>74</v>
      </c>
      <c r="AI965" t="s">
        <v>74</v>
      </c>
      <c r="AJ965" t="s">
        <v>74</v>
      </c>
      <c r="AK965" t="s">
        <v>74</v>
      </c>
      <c r="AL965" t="s">
        <v>74</v>
      </c>
      <c r="AM965" t="s">
        <v>74</v>
      </c>
      <c r="AN965" t="s">
        <v>74</v>
      </c>
      <c r="AO965" t="s">
        <v>1717</v>
      </c>
      <c r="AP965" t="s">
        <v>1718</v>
      </c>
      <c r="AQ965" t="s">
        <v>74</v>
      </c>
      <c r="AR965" t="s">
        <v>74</v>
      </c>
      <c r="AS965" t="s">
        <v>74</v>
      </c>
      <c r="AT965" t="s">
        <v>74</v>
      </c>
      <c r="AU965">
        <v>1982</v>
      </c>
      <c r="AV965">
        <v>18</v>
      </c>
      <c r="AW965">
        <v>2</v>
      </c>
      <c r="AX965" t="s">
        <v>74</v>
      </c>
      <c r="AY965" t="s">
        <v>74</v>
      </c>
      <c r="AZ965" t="s">
        <v>74</v>
      </c>
      <c r="BA965" t="s">
        <v>74</v>
      </c>
      <c r="BB965">
        <v>275</v>
      </c>
      <c r="BC965">
        <v>284</v>
      </c>
      <c r="BD965" t="s">
        <v>74</v>
      </c>
      <c r="BE965" t="s">
        <v>74</v>
      </c>
      <c r="BF965" t="s">
        <v>74</v>
      </c>
      <c r="BG965" t="s">
        <v>74</v>
      </c>
      <c r="BH965" t="s">
        <v>74</v>
      </c>
      <c r="BI965" t="s">
        <v>74</v>
      </c>
      <c r="BJ965" t="s">
        <v>74</v>
      </c>
      <c r="BK965" t="s">
        <v>74</v>
      </c>
      <c r="BL965" t="s">
        <v>74</v>
      </c>
      <c r="BM965" t="s">
        <v>74</v>
      </c>
      <c r="BN965" t="s">
        <v>74</v>
      </c>
      <c r="BO965" t="s">
        <v>74</v>
      </c>
      <c r="BP965" t="s">
        <v>74</v>
      </c>
      <c r="BQ965" t="s">
        <v>74</v>
      </c>
      <c r="BR965" t="s">
        <v>74</v>
      </c>
      <c r="BS965" t="s">
        <v>6730</v>
      </c>
      <c r="BT965" t="str">
        <f>HYPERLINK("https%3A%2F%2Fwww.webofscience.com%2Fwos%2Fwoscc%2Ffull-record%2FWOS:A1982PJ07400014","View Full Record in Web of Science")</f>
        <v>View Full Record in Web of Science</v>
      </c>
    </row>
    <row r="966" spans="1:72" x14ac:dyDescent="0.2">
      <c r="A966" t="s">
        <v>72</v>
      </c>
      <c r="B966" t="s">
        <v>6731</v>
      </c>
      <c r="C966" t="s">
        <v>74</v>
      </c>
      <c r="D966" t="s">
        <v>74</v>
      </c>
      <c r="E966" t="s">
        <v>74</v>
      </c>
      <c r="F966" t="s">
        <v>6731</v>
      </c>
      <c r="G966" t="s">
        <v>74</v>
      </c>
      <c r="H966" t="s">
        <v>74</v>
      </c>
      <c r="I966" t="s">
        <v>6732</v>
      </c>
      <c r="J966" t="s">
        <v>1523</v>
      </c>
      <c r="K966" t="s">
        <v>74</v>
      </c>
      <c r="L966" t="s">
        <v>74</v>
      </c>
      <c r="M966" t="s">
        <v>74</v>
      </c>
      <c r="N966" t="s">
        <v>74</v>
      </c>
      <c r="O966" t="s">
        <v>74</v>
      </c>
      <c r="P966" t="s">
        <v>74</v>
      </c>
      <c r="Q966" t="s">
        <v>74</v>
      </c>
      <c r="R966" t="s">
        <v>74</v>
      </c>
      <c r="S966" t="s">
        <v>74</v>
      </c>
      <c r="T966" t="s">
        <v>74</v>
      </c>
      <c r="U966" t="s">
        <v>74</v>
      </c>
      <c r="V966" t="s">
        <v>74</v>
      </c>
      <c r="W966" t="s">
        <v>74</v>
      </c>
      <c r="X966" t="s">
        <v>74</v>
      </c>
      <c r="Y966" t="s">
        <v>74</v>
      </c>
      <c r="Z966" t="s">
        <v>74</v>
      </c>
      <c r="AA966" t="s">
        <v>74</v>
      </c>
      <c r="AB966" t="s">
        <v>74</v>
      </c>
      <c r="AC966" t="s">
        <v>74</v>
      </c>
      <c r="AD966" t="s">
        <v>74</v>
      </c>
      <c r="AE966" t="s">
        <v>74</v>
      </c>
      <c r="AF966" t="s">
        <v>74</v>
      </c>
      <c r="AG966" t="s">
        <v>74</v>
      </c>
      <c r="AH966" t="s">
        <v>74</v>
      </c>
      <c r="AI966" t="s">
        <v>74</v>
      </c>
      <c r="AJ966" t="s">
        <v>74</v>
      </c>
      <c r="AK966" t="s">
        <v>74</v>
      </c>
      <c r="AL966" t="s">
        <v>74</v>
      </c>
      <c r="AM966" t="s">
        <v>74</v>
      </c>
      <c r="AN966" t="s">
        <v>74</v>
      </c>
      <c r="AO966" t="s">
        <v>1524</v>
      </c>
      <c r="AP966" t="s">
        <v>1525</v>
      </c>
      <c r="AQ966" t="s">
        <v>74</v>
      </c>
      <c r="AR966" t="s">
        <v>74</v>
      </c>
      <c r="AS966" t="s">
        <v>74</v>
      </c>
      <c r="AT966" t="s">
        <v>74</v>
      </c>
      <c r="AU966">
        <v>1981</v>
      </c>
      <c r="AV966">
        <v>62</v>
      </c>
      <c r="AW966">
        <v>4</v>
      </c>
      <c r="AX966" t="s">
        <v>74</v>
      </c>
      <c r="AY966" t="s">
        <v>74</v>
      </c>
      <c r="AZ966" t="s">
        <v>74</v>
      </c>
      <c r="BA966" t="s">
        <v>74</v>
      </c>
      <c r="BB966">
        <v>894</v>
      </c>
      <c r="BC966">
        <v>900</v>
      </c>
      <c r="BD966" t="s">
        <v>74</v>
      </c>
      <c r="BE966" t="s">
        <v>6733</v>
      </c>
      <c r="BF966" t="str">
        <f>HYPERLINK("http://dx.doi.org/10.2307/1936986","http://dx.doi.org/10.2307/1936986")</f>
        <v>http://dx.doi.org/10.2307/1936986</v>
      </c>
      <c r="BG966" t="s">
        <v>74</v>
      </c>
      <c r="BH966" t="s">
        <v>74</v>
      </c>
      <c r="BI966" t="s">
        <v>74</v>
      </c>
      <c r="BJ966" t="s">
        <v>74</v>
      </c>
      <c r="BK966" t="s">
        <v>74</v>
      </c>
      <c r="BL966" t="s">
        <v>74</v>
      </c>
      <c r="BM966" t="s">
        <v>74</v>
      </c>
      <c r="BN966" t="s">
        <v>74</v>
      </c>
      <c r="BO966" t="s">
        <v>74</v>
      </c>
      <c r="BP966" t="s">
        <v>74</v>
      </c>
      <c r="BQ966" t="s">
        <v>74</v>
      </c>
      <c r="BR966" t="s">
        <v>74</v>
      </c>
      <c r="BS966" t="s">
        <v>6734</v>
      </c>
      <c r="BT966" t="str">
        <f>HYPERLINK("https%3A%2F%2Fwww.webofscience.com%2Fwos%2Fwoscc%2Ffull-record%2FWOS:A1981MD82400003","View Full Record in Web of Science")</f>
        <v>View Full Record in Web of Science</v>
      </c>
    </row>
    <row r="967" spans="1:72" x14ac:dyDescent="0.2">
      <c r="A967" t="s">
        <v>72</v>
      </c>
      <c r="B967" t="s">
        <v>6735</v>
      </c>
      <c r="C967" t="s">
        <v>74</v>
      </c>
      <c r="D967" t="s">
        <v>74</v>
      </c>
      <c r="E967" t="s">
        <v>74</v>
      </c>
      <c r="F967" t="s">
        <v>6735</v>
      </c>
      <c r="G967" t="s">
        <v>74</v>
      </c>
      <c r="H967" t="s">
        <v>74</v>
      </c>
      <c r="I967" t="s">
        <v>6736</v>
      </c>
      <c r="J967" t="s">
        <v>3612</v>
      </c>
      <c r="K967" t="s">
        <v>74</v>
      </c>
      <c r="L967" t="s">
        <v>74</v>
      </c>
      <c r="M967" t="s">
        <v>74</v>
      </c>
      <c r="N967" t="s">
        <v>74</v>
      </c>
      <c r="O967" t="s">
        <v>74</v>
      </c>
      <c r="P967" t="s">
        <v>74</v>
      </c>
      <c r="Q967" t="s">
        <v>74</v>
      </c>
      <c r="R967" t="s">
        <v>74</v>
      </c>
      <c r="S967" t="s">
        <v>74</v>
      </c>
      <c r="T967" t="s">
        <v>74</v>
      </c>
      <c r="U967" t="s">
        <v>74</v>
      </c>
      <c r="V967" t="s">
        <v>74</v>
      </c>
      <c r="W967" t="s">
        <v>74</v>
      </c>
      <c r="X967" t="s">
        <v>74</v>
      </c>
      <c r="Y967" t="s">
        <v>74</v>
      </c>
      <c r="Z967" t="s">
        <v>74</v>
      </c>
      <c r="AA967" t="s">
        <v>74</v>
      </c>
      <c r="AB967" t="s">
        <v>74</v>
      </c>
      <c r="AC967" t="s">
        <v>74</v>
      </c>
      <c r="AD967" t="s">
        <v>74</v>
      </c>
      <c r="AE967" t="s">
        <v>74</v>
      </c>
      <c r="AF967" t="s">
        <v>74</v>
      </c>
      <c r="AG967" t="s">
        <v>74</v>
      </c>
      <c r="AH967" t="s">
        <v>74</v>
      </c>
      <c r="AI967" t="s">
        <v>74</v>
      </c>
      <c r="AJ967" t="s">
        <v>74</v>
      </c>
      <c r="AK967" t="s">
        <v>74</v>
      </c>
      <c r="AL967" t="s">
        <v>74</v>
      </c>
      <c r="AM967" t="s">
        <v>74</v>
      </c>
      <c r="AN967" t="s">
        <v>74</v>
      </c>
      <c r="AO967" t="s">
        <v>3615</v>
      </c>
      <c r="AP967" t="s">
        <v>3616</v>
      </c>
      <c r="AQ967" t="s">
        <v>74</v>
      </c>
      <c r="AR967" t="s">
        <v>74</v>
      </c>
      <c r="AS967" t="s">
        <v>74</v>
      </c>
      <c r="AT967" t="s">
        <v>74</v>
      </c>
      <c r="AU967">
        <v>1978</v>
      </c>
      <c r="AV967">
        <v>56</v>
      </c>
      <c r="AW967">
        <v>4</v>
      </c>
      <c r="AX967" t="s">
        <v>74</v>
      </c>
      <c r="AY967" t="s">
        <v>74</v>
      </c>
      <c r="AZ967" t="s">
        <v>74</v>
      </c>
      <c r="BA967" t="s">
        <v>74</v>
      </c>
      <c r="BB967">
        <v>634</v>
      </c>
      <c r="BC967">
        <v>642</v>
      </c>
      <c r="BD967" t="s">
        <v>74</v>
      </c>
      <c r="BE967" t="s">
        <v>6737</v>
      </c>
      <c r="BF967" t="str">
        <f>HYPERLINK("http://dx.doi.org/10.1139/z78-091","http://dx.doi.org/10.1139/z78-091")</f>
        <v>http://dx.doi.org/10.1139/z78-091</v>
      </c>
      <c r="BG967" t="s">
        <v>74</v>
      </c>
      <c r="BH967" t="s">
        <v>74</v>
      </c>
      <c r="BI967" t="s">
        <v>74</v>
      </c>
      <c r="BJ967" t="s">
        <v>74</v>
      </c>
      <c r="BK967" t="s">
        <v>74</v>
      </c>
      <c r="BL967" t="s">
        <v>74</v>
      </c>
      <c r="BM967" t="s">
        <v>74</v>
      </c>
      <c r="BN967" t="s">
        <v>74</v>
      </c>
      <c r="BO967" t="s">
        <v>74</v>
      </c>
      <c r="BP967" t="s">
        <v>74</v>
      </c>
      <c r="BQ967" t="s">
        <v>74</v>
      </c>
      <c r="BR967" t="s">
        <v>74</v>
      </c>
      <c r="BS967" t="s">
        <v>6738</v>
      </c>
      <c r="BT967" t="str">
        <f>HYPERLINK("https%3A%2F%2Fwww.webofscience.com%2Fwos%2Fwoscc%2Ffull-record%2FWOS:A1978EX20600017","View Full Record in Web of Science")</f>
        <v>View Full Record in Web of Science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FF99-3CA9-FE4D-895D-8C6A0553CA00}">
  <dimension ref="A1:BT218"/>
  <sheetViews>
    <sheetView workbookViewId="0">
      <selection activeCell="E29" sqref="E29"/>
    </sheetView>
  </sheetViews>
  <sheetFormatPr baseColWidth="10" defaultRowHeight="16" x14ac:dyDescent="0.2"/>
  <cols>
    <col min="1" max="80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85</v>
      </c>
      <c r="C2" t="s">
        <v>74</v>
      </c>
      <c r="D2" t="s">
        <v>74</v>
      </c>
      <c r="E2" t="s">
        <v>74</v>
      </c>
      <c r="F2" t="s">
        <v>86</v>
      </c>
      <c r="G2" t="s">
        <v>74</v>
      </c>
      <c r="H2" t="s">
        <v>74</v>
      </c>
      <c r="I2" t="s">
        <v>87</v>
      </c>
      <c r="J2" t="s">
        <v>88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74</v>
      </c>
      <c r="AB2" t="s">
        <v>6773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89</v>
      </c>
      <c r="AP2" t="s">
        <v>90</v>
      </c>
      <c r="AQ2" t="s">
        <v>74</v>
      </c>
      <c r="AR2" t="s">
        <v>74</v>
      </c>
      <c r="AS2" t="s">
        <v>74</v>
      </c>
      <c r="AT2" t="s">
        <v>569</v>
      </c>
      <c r="AU2">
        <v>2024</v>
      </c>
      <c r="AV2">
        <v>81</v>
      </c>
      <c r="AW2">
        <v>6</v>
      </c>
      <c r="AX2" t="s">
        <v>74</v>
      </c>
      <c r="AY2" t="s">
        <v>74</v>
      </c>
      <c r="AZ2" t="s">
        <v>74</v>
      </c>
      <c r="BA2" t="s">
        <v>74</v>
      </c>
      <c r="BB2">
        <v>699</v>
      </c>
      <c r="BC2">
        <v>714</v>
      </c>
      <c r="BD2" t="s">
        <v>74</v>
      </c>
      <c r="BE2" t="s">
        <v>91</v>
      </c>
      <c r="BF2" t="str">
        <f>HYPERLINK("http://dx.doi.org/10.1139/cjfas-2023-0138","http://dx.doi.org/10.1139/cjfas-2023-0138")</f>
        <v>http://dx.doi.org/10.1139/cjfas-2023-0138</v>
      </c>
      <c r="BG2" t="s">
        <v>74</v>
      </c>
      <c r="BH2" t="s">
        <v>92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93</v>
      </c>
      <c r="BT2" t="str">
        <f>HYPERLINK("https%3A%2F%2Fwww.webofscience.com%2Fwos%2Fwoscc%2Ffull-record%2FWOS:001227121500001","View Full Record in Web of Science")</f>
        <v>View Full Record in Web of Science</v>
      </c>
    </row>
    <row r="3" spans="1:72" x14ac:dyDescent="0.2">
      <c r="A3" t="s">
        <v>72</v>
      </c>
      <c r="B3" t="s">
        <v>94</v>
      </c>
      <c r="C3" t="s">
        <v>74</v>
      </c>
      <c r="D3" t="s">
        <v>74</v>
      </c>
      <c r="E3" t="s">
        <v>74</v>
      </c>
      <c r="F3" t="s">
        <v>95</v>
      </c>
      <c r="G3" t="s">
        <v>74</v>
      </c>
      <c r="H3" t="s">
        <v>74</v>
      </c>
      <c r="I3" t="s">
        <v>96</v>
      </c>
      <c r="J3" t="s">
        <v>97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74</v>
      </c>
      <c r="AB3" t="s">
        <v>74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98</v>
      </c>
      <c r="AP3" t="s">
        <v>99</v>
      </c>
      <c r="AQ3" t="s">
        <v>74</v>
      </c>
      <c r="AR3" t="s">
        <v>74</v>
      </c>
      <c r="AS3" t="s">
        <v>74</v>
      </c>
      <c r="AT3" t="s">
        <v>100</v>
      </c>
      <c r="AU3">
        <v>2024</v>
      </c>
      <c r="AV3" t="s">
        <v>74</v>
      </c>
      <c r="AW3" t="s">
        <v>74</v>
      </c>
      <c r="AX3" t="s">
        <v>74</v>
      </c>
      <c r="AY3" t="s">
        <v>74</v>
      </c>
      <c r="AZ3" t="s">
        <v>74</v>
      </c>
      <c r="BA3" t="s">
        <v>74</v>
      </c>
      <c r="BB3" t="s">
        <v>74</v>
      </c>
      <c r="BC3" t="s">
        <v>74</v>
      </c>
      <c r="BD3" t="s">
        <v>74</v>
      </c>
      <c r="BE3" t="s">
        <v>101</v>
      </c>
      <c r="BF3" t="str">
        <f>HYPERLINK("http://dx.doi.org/10.1007/s10452-024-10110-9","http://dx.doi.org/10.1007/s10452-024-10110-9")</f>
        <v>http://dx.doi.org/10.1007/s10452-024-10110-9</v>
      </c>
      <c r="BG3" t="s">
        <v>74</v>
      </c>
      <c r="BH3" t="s">
        <v>92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102</v>
      </c>
      <c r="BT3" t="str">
        <f>HYPERLINK("https%3A%2F%2Fwww.webofscience.com%2Fwos%2Fwoscc%2Ffull-record%2FWOS:001221510400001","View Full Record in Web of Science")</f>
        <v>View Full Record in Web of Science</v>
      </c>
    </row>
    <row r="4" spans="1:72" x14ac:dyDescent="0.2">
      <c r="A4" t="s">
        <v>72</v>
      </c>
      <c r="B4" t="s">
        <v>142</v>
      </c>
      <c r="C4" t="s">
        <v>74</v>
      </c>
      <c r="D4" t="s">
        <v>74</v>
      </c>
      <c r="E4" t="s">
        <v>74</v>
      </c>
      <c r="F4" t="s">
        <v>143</v>
      </c>
      <c r="G4" t="s">
        <v>74</v>
      </c>
      <c r="H4" t="s">
        <v>74</v>
      </c>
      <c r="I4" t="s">
        <v>144</v>
      </c>
      <c r="J4" t="s">
        <v>145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146</v>
      </c>
      <c r="AP4" t="s">
        <v>147</v>
      </c>
      <c r="AQ4" t="s">
        <v>74</v>
      </c>
      <c r="AR4" t="s">
        <v>74</v>
      </c>
      <c r="AS4" t="s">
        <v>74</v>
      </c>
      <c r="AT4" t="s">
        <v>148</v>
      </c>
      <c r="AU4">
        <v>2024</v>
      </c>
      <c r="AV4">
        <v>926</v>
      </c>
      <c r="AW4" t="s">
        <v>74</v>
      </c>
      <c r="AX4" t="s">
        <v>74</v>
      </c>
      <c r="AY4" t="s">
        <v>74</v>
      </c>
      <c r="AZ4" t="s">
        <v>74</v>
      </c>
      <c r="BA4" t="s">
        <v>74</v>
      </c>
      <c r="BB4" t="s">
        <v>74</v>
      </c>
      <c r="BC4" t="s">
        <v>74</v>
      </c>
      <c r="BD4">
        <v>171663</v>
      </c>
      <c r="BE4" t="s">
        <v>149</v>
      </c>
      <c r="BF4" t="str">
        <f>HYPERLINK("http://dx.doi.org/10.1016/j.scitotenv.2024.171663","http://dx.doi.org/10.1016/j.scitotenv.2024.171663")</f>
        <v>http://dx.doi.org/10.1016/j.scitotenv.2024.171663</v>
      </c>
      <c r="BG4" t="s">
        <v>74</v>
      </c>
      <c r="BH4" t="s">
        <v>140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>
        <v>38485007</v>
      </c>
      <c r="BO4" t="s">
        <v>74</v>
      </c>
      <c r="BP4" t="s">
        <v>74</v>
      </c>
      <c r="BQ4" t="s">
        <v>74</v>
      </c>
      <c r="BR4" t="s">
        <v>74</v>
      </c>
      <c r="BS4" t="s">
        <v>150</v>
      </c>
      <c r="BT4" t="str">
        <f>HYPERLINK("https%3A%2F%2Fwww.webofscience.com%2Fwos%2Fwoscc%2Ffull-record%2FWOS:001219475500001","View Full Record in Web of Science")</f>
        <v>View Full Record in Web of Science</v>
      </c>
    </row>
    <row r="5" spans="1:72" x14ac:dyDescent="0.2">
      <c r="A5" t="s">
        <v>72</v>
      </c>
      <c r="B5" t="s">
        <v>160</v>
      </c>
      <c r="C5" t="s">
        <v>74</v>
      </c>
      <c r="D5" t="s">
        <v>74</v>
      </c>
      <c r="E5" t="s">
        <v>74</v>
      </c>
      <c r="F5" t="s">
        <v>161</v>
      </c>
      <c r="G5" t="s">
        <v>74</v>
      </c>
      <c r="H5" t="s">
        <v>74</v>
      </c>
      <c r="I5" t="s">
        <v>162</v>
      </c>
      <c r="J5" t="s">
        <v>145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163</v>
      </c>
      <c r="AB5" t="s">
        <v>164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146</v>
      </c>
      <c r="AP5" t="s">
        <v>147</v>
      </c>
      <c r="AQ5" t="s">
        <v>74</v>
      </c>
      <c r="AR5" t="s">
        <v>74</v>
      </c>
      <c r="AS5" t="s">
        <v>74</v>
      </c>
      <c r="AT5" t="s">
        <v>165</v>
      </c>
      <c r="AU5">
        <v>2024</v>
      </c>
      <c r="AV5">
        <v>922</v>
      </c>
      <c r="AW5" t="s">
        <v>74</v>
      </c>
      <c r="AX5" t="s">
        <v>74</v>
      </c>
      <c r="AY5" t="s">
        <v>74</v>
      </c>
      <c r="AZ5" t="s">
        <v>74</v>
      </c>
      <c r="BA5" t="s">
        <v>74</v>
      </c>
      <c r="BB5" t="s">
        <v>74</v>
      </c>
      <c r="BC5" t="s">
        <v>74</v>
      </c>
      <c r="BD5">
        <v>171426</v>
      </c>
      <c r="BE5" t="s">
        <v>166</v>
      </c>
      <c r="BF5" t="str">
        <f>HYPERLINK("http://dx.doi.org/10.1016/j.scitotenv.2024.171426","http://dx.doi.org/10.1016/j.scitotenv.2024.171426")</f>
        <v>http://dx.doi.org/10.1016/j.scitotenv.2024.171426</v>
      </c>
      <c r="BG5" t="s">
        <v>74</v>
      </c>
      <c r="BH5" t="s">
        <v>140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>
        <v>38432363</v>
      </c>
      <c r="BO5" t="s">
        <v>74</v>
      </c>
      <c r="BP5" t="s">
        <v>74</v>
      </c>
      <c r="BQ5" t="s">
        <v>74</v>
      </c>
      <c r="BR5" t="s">
        <v>74</v>
      </c>
      <c r="BS5" t="s">
        <v>167</v>
      </c>
      <c r="BT5" t="str">
        <f>HYPERLINK("https%3A%2F%2Fwww.webofscience.com%2Fwos%2Fwoscc%2Ffull-record%2FWOS:001207495000001","View Full Record in Web of Science")</f>
        <v>View Full Record in Web of Science</v>
      </c>
    </row>
    <row r="6" spans="1:72" x14ac:dyDescent="0.2">
      <c r="A6" t="s">
        <v>72</v>
      </c>
      <c r="B6" t="s">
        <v>224</v>
      </c>
      <c r="C6" t="s">
        <v>74</v>
      </c>
      <c r="D6" t="s">
        <v>74</v>
      </c>
      <c r="E6" t="s">
        <v>74</v>
      </c>
      <c r="F6" t="s">
        <v>225</v>
      </c>
      <c r="G6" t="s">
        <v>74</v>
      </c>
      <c r="H6" t="s">
        <v>74</v>
      </c>
      <c r="I6" t="s">
        <v>226</v>
      </c>
      <c r="J6" t="s">
        <v>227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228</v>
      </c>
      <c r="AB6" t="s">
        <v>229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230</v>
      </c>
      <c r="AP6" t="s">
        <v>231</v>
      </c>
      <c r="AQ6" t="s">
        <v>74</v>
      </c>
      <c r="AR6" t="s">
        <v>74</v>
      </c>
      <c r="AS6" t="s">
        <v>74</v>
      </c>
      <c r="AT6" t="s">
        <v>157</v>
      </c>
      <c r="AU6">
        <v>2024</v>
      </c>
      <c r="AV6">
        <v>69</v>
      </c>
      <c r="AW6">
        <v>3</v>
      </c>
      <c r="AX6" t="s">
        <v>74</v>
      </c>
      <c r="AY6" t="s">
        <v>74</v>
      </c>
      <c r="AZ6" t="s">
        <v>74</v>
      </c>
      <c r="BA6" t="s">
        <v>74</v>
      </c>
      <c r="BB6">
        <v>681</v>
      </c>
      <c r="BC6">
        <v>699</v>
      </c>
      <c r="BD6" t="s">
        <v>74</v>
      </c>
      <c r="BE6" t="s">
        <v>232</v>
      </c>
      <c r="BF6" t="str">
        <f>HYPERLINK("http://dx.doi.org/10.1002/lno.12523","http://dx.doi.org/10.1002/lno.12523")</f>
        <v>http://dx.doi.org/10.1002/lno.12523</v>
      </c>
      <c r="BG6" t="s">
        <v>74</v>
      </c>
      <c r="BH6" t="s">
        <v>185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 t="s">
        <v>233</v>
      </c>
      <c r="BT6" t="str">
        <f>HYPERLINK("https%3A%2F%2Fwww.webofscience.com%2Fwos%2Fwoscc%2Ffull-record%2FWOS:001155308300001","View Full Record in Web of Science")</f>
        <v>View Full Record in Web of Science</v>
      </c>
    </row>
    <row r="7" spans="1:72" x14ac:dyDescent="0.2">
      <c r="A7" t="s">
        <v>72</v>
      </c>
      <c r="B7" t="s">
        <v>347</v>
      </c>
      <c r="C7" t="s">
        <v>74</v>
      </c>
      <c r="D7" t="s">
        <v>74</v>
      </c>
      <c r="E7" t="s">
        <v>74</v>
      </c>
      <c r="F7" t="s">
        <v>348</v>
      </c>
      <c r="G7" t="s">
        <v>74</v>
      </c>
      <c r="H7" t="s">
        <v>74</v>
      </c>
      <c r="I7" t="s">
        <v>349</v>
      </c>
      <c r="J7" t="s">
        <v>350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6781</v>
      </c>
      <c r="AB7" t="s">
        <v>351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352</v>
      </c>
      <c r="AP7" t="s">
        <v>353</v>
      </c>
      <c r="AQ7" t="s">
        <v>74</v>
      </c>
      <c r="AR7" t="s">
        <v>74</v>
      </c>
      <c r="AS7" t="s">
        <v>74</v>
      </c>
      <c r="AT7" t="s">
        <v>335</v>
      </c>
      <c r="AU7">
        <v>2023</v>
      </c>
      <c r="AV7">
        <v>30</v>
      </c>
      <c r="AW7">
        <v>54</v>
      </c>
      <c r="AX7" t="s">
        <v>74</v>
      </c>
      <c r="AY7" t="s">
        <v>74</v>
      </c>
      <c r="AZ7" t="s">
        <v>74</v>
      </c>
      <c r="BA7" t="s">
        <v>74</v>
      </c>
      <c r="BB7">
        <v>115805</v>
      </c>
      <c r="BC7">
        <v>115819</v>
      </c>
      <c r="BD7" t="s">
        <v>74</v>
      </c>
      <c r="BE7" t="s">
        <v>354</v>
      </c>
      <c r="BF7" t="str">
        <f>HYPERLINK("http://dx.doi.org/10.1007/s11356-023-30609-2","http://dx.doi.org/10.1007/s11356-023-30609-2")</f>
        <v>http://dx.doi.org/10.1007/s11356-023-30609-2</v>
      </c>
      <c r="BG7" t="s">
        <v>74</v>
      </c>
      <c r="BH7" t="s">
        <v>355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>
        <v>37889416</v>
      </c>
      <c r="BO7" t="s">
        <v>74</v>
      </c>
      <c r="BP7" t="s">
        <v>74</v>
      </c>
      <c r="BQ7" t="s">
        <v>74</v>
      </c>
      <c r="BR7" t="s">
        <v>74</v>
      </c>
      <c r="BS7" t="s">
        <v>356</v>
      </c>
      <c r="BT7" t="str">
        <f>HYPERLINK("https%3A%2F%2Fwww.webofscience.com%2Fwos%2Fwoscc%2Ffull-record%2FWOS:001092083000005","View Full Record in Web of Science")</f>
        <v>View Full Record in Web of Science</v>
      </c>
    </row>
    <row r="8" spans="1:72" x14ac:dyDescent="0.2">
      <c r="A8" t="s">
        <v>72</v>
      </c>
      <c r="B8" t="s">
        <v>378</v>
      </c>
      <c r="C8" t="s">
        <v>74</v>
      </c>
      <c r="D8" t="s">
        <v>74</v>
      </c>
      <c r="E8" t="s">
        <v>74</v>
      </c>
      <c r="F8" t="s">
        <v>379</v>
      </c>
      <c r="G8" t="s">
        <v>74</v>
      </c>
      <c r="H8" t="s">
        <v>74</v>
      </c>
      <c r="I8" t="s">
        <v>380</v>
      </c>
      <c r="J8" t="s">
        <v>381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6784</v>
      </c>
      <c r="AB8" t="s">
        <v>382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383</v>
      </c>
      <c r="AP8" t="s">
        <v>384</v>
      </c>
      <c r="AQ8" t="s">
        <v>74</v>
      </c>
      <c r="AR8" t="s">
        <v>74</v>
      </c>
      <c r="AS8" t="s">
        <v>74</v>
      </c>
      <c r="AT8" t="s">
        <v>385</v>
      </c>
      <c r="AU8">
        <v>2023</v>
      </c>
      <c r="AV8">
        <v>311</v>
      </c>
      <c r="AW8" t="s">
        <v>74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>
        <v>119965</v>
      </c>
      <c r="BE8" t="s">
        <v>386</v>
      </c>
      <c r="BF8" t="str">
        <f>HYPERLINK("http://dx.doi.org/10.1016/j.envpol.2022.119965","http://dx.doi.org/10.1016/j.envpol.2022.119965")</f>
        <v>http://dx.doi.org/10.1016/j.envpol.2022.119965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>
        <v>35998771</v>
      </c>
      <c r="BO8" t="s">
        <v>74</v>
      </c>
      <c r="BP8" t="s">
        <v>74</v>
      </c>
      <c r="BQ8" t="s">
        <v>74</v>
      </c>
      <c r="BR8" t="s">
        <v>74</v>
      </c>
      <c r="BS8" t="s">
        <v>387</v>
      </c>
      <c r="BT8" t="str">
        <f>HYPERLINK("https%3A%2F%2Fwww.webofscience.com%2Fwos%2Fwoscc%2Ffull-record%2FWOS:001131819800001","View Full Record in Web of Science")</f>
        <v>View Full Record in Web of Science</v>
      </c>
    </row>
    <row r="9" spans="1:72" x14ac:dyDescent="0.2">
      <c r="A9" t="s">
        <v>72</v>
      </c>
      <c r="B9" t="s">
        <v>470</v>
      </c>
      <c r="C9" t="s">
        <v>74</v>
      </c>
      <c r="D9" t="s">
        <v>74</v>
      </c>
      <c r="E9" t="s">
        <v>74</v>
      </c>
      <c r="F9" t="s">
        <v>471</v>
      </c>
      <c r="G9" t="s">
        <v>74</v>
      </c>
      <c r="H9" t="s">
        <v>74</v>
      </c>
      <c r="I9" t="s">
        <v>472</v>
      </c>
      <c r="J9" t="s">
        <v>381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6793</v>
      </c>
      <c r="AB9" t="s">
        <v>473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383</v>
      </c>
      <c r="AP9" t="s">
        <v>384</v>
      </c>
      <c r="AQ9" t="s">
        <v>74</v>
      </c>
      <c r="AR9" t="s">
        <v>74</v>
      </c>
      <c r="AS9" t="s">
        <v>74</v>
      </c>
      <c r="AT9" t="s">
        <v>474</v>
      </c>
      <c r="AU9">
        <v>2023</v>
      </c>
      <c r="AV9">
        <v>336</v>
      </c>
      <c r="AW9" t="s">
        <v>74</v>
      </c>
      <c r="AX9" t="s">
        <v>74</v>
      </c>
      <c r="AY9" t="s">
        <v>74</v>
      </c>
      <c r="AZ9" t="s">
        <v>74</v>
      </c>
      <c r="BA9" t="s">
        <v>74</v>
      </c>
      <c r="BB9" t="s">
        <v>74</v>
      </c>
      <c r="BC9" t="s">
        <v>74</v>
      </c>
      <c r="BD9">
        <v>122445</v>
      </c>
      <c r="BE9" t="s">
        <v>475</v>
      </c>
      <c r="BF9" t="str">
        <f>HYPERLINK("http://dx.doi.org/10.1016/j.envpol.2023.122445","http://dx.doi.org/10.1016/j.envpol.2023.122445")</f>
        <v>http://dx.doi.org/10.1016/j.envpol.2023.122445</v>
      </c>
      <c r="BG9" t="s">
        <v>74</v>
      </c>
      <c r="BH9" t="s">
        <v>476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>
        <v>37633431</v>
      </c>
      <c r="BO9" t="s">
        <v>74</v>
      </c>
      <c r="BP9" t="s">
        <v>74</v>
      </c>
      <c r="BQ9" t="s">
        <v>74</v>
      </c>
      <c r="BR9" t="s">
        <v>74</v>
      </c>
      <c r="BS9" t="s">
        <v>477</v>
      </c>
      <c r="BT9" t="str">
        <f>HYPERLINK("https%3A%2F%2Fwww.webofscience.com%2Fwos%2Fwoscc%2Ffull-record%2FWOS:001067204200001","View Full Record in Web of Science")</f>
        <v>View Full Record in Web of Science</v>
      </c>
    </row>
    <row r="10" spans="1:72" x14ac:dyDescent="0.2">
      <c r="A10" t="s">
        <v>72</v>
      </c>
      <c r="B10" t="s">
        <v>542</v>
      </c>
      <c r="C10" t="s">
        <v>74</v>
      </c>
      <c r="D10" t="s">
        <v>74</v>
      </c>
      <c r="E10" t="s">
        <v>74</v>
      </c>
      <c r="F10" t="s">
        <v>543</v>
      </c>
      <c r="G10" t="s">
        <v>74</v>
      </c>
      <c r="H10" t="s">
        <v>74</v>
      </c>
      <c r="I10" t="s">
        <v>544</v>
      </c>
      <c r="J10" t="s">
        <v>545</v>
      </c>
      <c r="K10" t="s">
        <v>74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74</v>
      </c>
      <c r="AB10" t="s">
        <v>74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546</v>
      </c>
      <c r="AP10" t="s">
        <v>547</v>
      </c>
      <c r="AQ10" t="s">
        <v>74</v>
      </c>
      <c r="AR10" t="s">
        <v>74</v>
      </c>
      <c r="AS10" t="s">
        <v>74</v>
      </c>
      <c r="AT10" t="s">
        <v>548</v>
      </c>
      <c r="AU10">
        <v>2023</v>
      </c>
      <c r="AV10">
        <v>26</v>
      </c>
      <c r="AW10">
        <v>3</v>
      </c>
      <c r="AX10" t="s">
        <v>74</v>
      </c>
      <c r="AY10" t="s">
        <v>74</v>
      </c>
      <c r="AZ10" t="s">
        <v>74</v>
      </c>
      <c r="BA10" t="s">
        <v>74</v>
      </c>
      <c r="BB10">
        <v>17</v>
      </c>
      <c r="BC10">
        <v>25</v>
      </c>
      <c r="BD10" t="s">
        <v>74</v>
      </c>
      <c r="BE10" t="s">
        <v>549</v>
      </c>
      <c r="BF10" t="str">
        <f>HYPERLINK("http://dx.doi.org/10.14321/aehm.026.03.17","http://dx.doi.org/10.14321/aehm.026.03.17")</f>
        <v>http://dx.doi.org/10.14321/aehm.026.03.17</v>
      </c>
      <c r="BG10" t="s">
        <v>74</v>
      </c>
      <c r="BH10" t="s">
        <v>74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 t="s">
        <v>550</v>
      </c>
      <c r="BT10" t="str">
        <f>HYPERLINK("https%3A%2F%2Fwww.webofscience.com%2Fwos%2Fwoscc%2Ffull-record%2FWOS:001184700900004","View Full Record in Web of Science")</f>
        <v>View Full Record in Web of Science</v>
      </c>
    </row>
    <row r="11" spans="1:72" x14ac:dyDescent="0.2">
      <c r="A11" t="s">
        <v>72</v>
      </c>
      <c r="B11" t="s">
        <v>551</v>
      </c>
      <c r="C11" t="s">
        <v>74</v>
      </c>
      <c r="D11" t="s">
        <v>74</v>
      </c>
      <c r="E11" t="s">
        <v>74</v>
      </c>
      <c r="F11" t="s">
        <v>552</v>
      </c>
      <c r="G11" t="s">
        <v>74</v>
      </c>
      <c r="H11" t="s">
        <v>74</v>
      </c>
      <c r="I11" t="s">
        <v>553</v>
      </c>
      <c r="J11" t="s">
        <v>190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74</v>
      </c>
      <c r="AB11" t="s">
        <v>74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74</v>
      </c>
      <c r="AP11" t="s">
        <v>191</v>
      </c>
      <c r="AQ11" t="s">
        <v>74</v>
      </c>
      <c r="AR11" t="s">
        <v>74</v>
      </c>
      <c r="AS11" t="s">
        <v>74</v>
      </c>
      <c r="AT11" t="s">
        <v>554</v>
      </c>
      <c r="AU11">
        <v>2023</v>
      </c>
      <c r="AV11">
        <v>14</v>
      </c>
      <c r="AW11" t="s">
        <v>74</v>
      </c>
      <c r="AX11" t="s">
        <v>74</v>
      </c>
      <c r="AY11" t="s">
        <v>74</v>
      </c>
      <c r="AZ11" t="s">
        <v>74</v>
      </c>
      <c r="BA11" t="s">
        <v>74</v>
      </c>
      <c r="BB11" t="s">
        <v>74</v>
      </c>
      <c r="BC11" t="s">
        <v>74</v>
      </c>
      <c r="BD11">
        <v>1195776</v>
      </c>
      <c r="BE11" t="s">
        <v>555</v>
      </c>
      <c r="BF11" t="str">
        <f>HYPERLINK("http://dx.doi.org/10.3389/fmicb.2023.1195776","http://dx.doi.org/10.3389/fmicb.2023.1195776")</f>
        <v>http://dx.doi.org/10.3389/fmicb.2023.1195776</v>
      </c>
      <c r="BG11" t="s">
        <v>74</v>
      </c>
      <c r="BH11" t="s">
        <v>74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>
        <v>37426024</v>
      </c>
      <c r="BO11" t="s">
        <v>74</v>
      </c>
      <c r="BP11" t="s">
        <v>74</v>
      </c>
      <c r="BQ11" t="s">
        <v>74</v>
      </c>
      <c r="BR11" t="s">
        <v>74</v>
      </c>
      <c r="BS11" t="s">
        <v>556</v>
      </c>
      <c r="BT11" t="str">
        <f>HYPERLINK("https%3A%2F%2Fwww.webofscience.com%2Fwos%2Fwoscc%2Ffull-record%2FWOS:001024468800001","View Full Record in Web of Science")</f>
        <v>View Full Record in Web of Science</v>
      </c>
    </row>
    <row r="12" spans="1:72" x14ac:dyDescent="0.2">
      <c r="A12" t="s">
        <v>72</v>
      </c>
      <c r="B12" t="s">
        <v>557</v>
      </c>
      <c r="C12" t="s">
        <v>74</v>
      </c>
      <c r="D12" t="s">
        <v>74</v>
      </c>
      <c r="E12" t="s">
        <v>74</v>
      </c>
      <c r="F12" t="s">
        <v>558</v>
      </c>
      <c r="G12" t="s">
        <v>74</v>
      </c>
      <c r="H12" t="s">
        <v>74</v>
      </c>
      <c r="I12" t="s">
        <v>559</v>
      </c>
      <c r="J12" t="s">
        <v>145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6796</v>
      </c>
      <c r="AB12" t="s">
        <v>74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146</v>
      </c>
      <c r="AP12" t="s">
        <v>147</v>
      </c>
      <c r="AQ12" t="s">
        <v>74</v>
      </c>
      <c r="AR12" t="s">
        <v>74</v>
      </c>
      <c r="AS12" t="s">
        <v>74</v>
      </c>
      <c r="AT12" t="s">
        <v>538</v>
      </c>
      <c r="AU12">
        <v>2023</v>
      </c>
      <c r="AV12">
        <v>892</v>
      </c>
      <c r="AW12" t="s">
        <v>74</v>
      </c>
      <c r="AX12" t="s">
        <v>74</v>
      </c>
      <c r="AY12" t="s">
        <v>74</v>
      </c>
      <c r="AZ12" t="s">
        <v>74</v>
      </c>
      <c r="BA12" t="s">
        <v>74</v>
      </c>
      <c r="BB12" t="s">
        <v>74</v>
      </c>
      <c r="BC12" t="s">
        <v>74</v>
      </c>
      <c r="BD12">
        <v>164718</v>
      </c>
      <c r="BE12" t="s">
        <v>560</v>
      </c>
      <c r="BF12" t="str">
        <f>HYPERLINK("http://dx.doi.org/10.1016/j.scitotenv.2023.164718","http://dx.doi.org/10.1016/j.scitotenv.2023.164718")</f>
        <v>http://dx.doi.org/10.1016/j.scitotenv.2023.164718</v>
      </c>
      <c r="BG12" t="s">
        <v>74</v>
      </c>
      <c r="BH12" t="s">
        <v>561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>
        <v>37301391</v>
      </c>
      <c r="BO12" t="s">
        <v>74</v>
      </c>
      <c r="BP12" t="s">
        <v>74</v>
      </c>
      <c r="BQ12" t="s">
        <v>74</v>
      </c>
      <c r="BR12" t="s">
        <v>74</v>
      </c>
      <c r="BS12" t="s">
        <v>562</v>
      </c>
      <c r="BT12" t="str">
        <f>HYPERLINK("https%3A%2F%2Fwww.webofscience.com%2Fwos%2Fwoscc%2Ffull-record%2FWOS:001026200300001","View Full Record in Web of Science")</f>
        <v>View Full Record in Web of Science</v>
      </c>
    </row>
    <row r="13" spans="1:72" x14ac:dyDescent="0.2">
      <c r="A13" t="s">
        <v>72</v>
      </c>
      <c r="B13" t="s">
        <v>615</v>
      </c>
      <c r="C13" t="s">
        <v>74</v>
      </c>
      <c r="D13" t="s">
        <v>74</v>
      </c>
      <c r="E13" t="s">
        <v>74</v>
      </c>
      <c r="F13" t="s">
        <v>616</v>
      </c>
      <c r="G13" t="s">
        <v>74</v>
      </c>
      <c r="H13" t="s">
        <v>74</v>
      </c>
      <c r="I13" t="s">
        <v>617</v>
      </c>
      <c r="J13" t="s">
        <v>331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74</v>
      </c>
      <c r="AB13" t="s">
        <v>74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74</v>
      </c>
      <c r="AP13" t="s">
        <v>334</v>
      </c>
      <c r="AQ13" t="s">
        <v>74</v>
      </c>
      <c r="AR13" t="s">
        <v>74</v>
      </c>
      <c r="AS13" t="s">
        <v>74</v>
      </c>
      <c r="AT13" t="s">
        <v>618</v>
      </c>
      <c r="AU13">
        <v>2023</v>
      </c>
      <c r="AV13">
        <v>15</v>
      </c>
      <c r="AW13">
        <v>11</v>
      </c>
      <c r="AX13" t="s">
        <v>74</v>
      </c>
      <c r="AY13" t="s">
        <v>74</v>
      </c>
      <c r="AZ13" t="s">
        <v>74</v>
      </c>
      <c r="BA13" t="s">
        <v>74</v>
      </c>
      <c r="BB13" t="s">
        <v>74</v>
      </c>
      <c r="BC13" t="s">
        <v>74</v>
      </c>
      <c r="BD13">
        <v>2018</v>
      </c>
      <c r="BE13" t="s">
        <v>619</v>
      </c>
      <c r="BF13" t="str">
        <f>HYPERLINK("http://dx.doi.org/10.3390/w15112018","http://dx.doi.org/10.3390/w15112018")</f>
        <v>http://dx.doi.org/10.3390/w15112018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620</v>
      </c>
      <c r="BT13" t="str">
        <f>HYPERLINK("https%3A%2F%2Fwww.webofscience.com%2Fwos%2Fwoscc%2Ffull-record%2FWOS:001006059000001","View Full Record in Web of Science")</f>
        <v>View Full Record in Web of Science</v>
      </c>
    </row>
    <row r="14" spans="1:72" x14ac:dyDescent="0.2">
      <c r="A14" t="s">
        <v>72</v>
      </c>
      <c r="B14" t="s">
        <v>653</v>
      </c>
      <c r="C14" t="s">
        <v>74</v>
      </c>
      <c r="D14" t="s">
        <v>74</v>
      </c>
      <c r="E14" t="s">
        <v>74</v>
      </c>
      <c r="F14" t="s">
        <v>654</v>
      </c>
      <c r="G14" t="s">
        <v>74</v>
      </c>
      <c r="H14" t="s">
        <v>74</v>
      </c>
      <c r="I14" t="s">
        <v>655</v>
      </c>
      <c r="J14" t="s">
        <v>656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657</v>
      </c>
      <c r="AB14" t="s">
        <v>6808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658</v>
      </c>
      <c r="AP14" t="s">
        <v>659</v>
      </c>
      <c r="AQ14" t="s">
        <v>74</v>
      </c>
      <c r="AR14" t="s">
        <v>74</v>
      </c>
      <c r="AS14" t="s">
        <v>74</v>
      </c>
      <c r="AT14" t="s">
        <v>569</v>
      </c>
      <c r="AU14">
        <v>2023</v>
      </c>
      <c r="AV14">
        <v>214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 t="s">
        <v>74</v>
      </c>
      <c r="BC14" t="s">
        <v>74</v>
      </c>
      <c r="BD14">
        <v>102982</v>
      </c>
      <c r="BE14" t="s">
        <v>660</v>
      </c>
      <c r="BF14" t="str">
        <f>HYPERLINK("http://dx.doi.org/10.1016/j.pocean.2023.102982","http://dx.doi.org/10.1016/j.pocean.2023.102982")</f>
        <v>http://dx.doi.org/10.1016/j.pocean.2023.102982</v>
      </c>
      <c r="BG14" t="s">
        <v>74</v>
      </c>
      <c r="BH14" t="s">
        <v>634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 t="s">
        <v>661</v>
      </c>
      <c r="BT14" t="str">
        <f>HYPERLINK("https%3A%2F%2Fwww.webofscience.com%2Fwos%2Fwoscc%2Ffull-record%2FWOS:000982541400001","View Full Record in Web of Science")</f>
        <v>View Full Record in Web of Science</v>
      </c>
    </row>
    <row r="15" spans="1:72" x14ac:dyDescent="0.2">
      <c r="A15" t="s">
        <v>72</v>
      </c>
      <c r="B15" t="s">
        <v>670</v>
      </c>
      <c r="C15" t="s">
        <v>74</v>
      </c>
      <c r="D15" t="s">
        <v>74</v>
      </c>
      <c r="E15" t="s">
        <v>74</v>
      </c>
      <c r="F15" t="s">
        <v>671</v>
      </c>
      <c r="G15" t="s">
        <v>74</v>
      </c>
      <c r="H15" t="s">
        <v>74</v>
      </c>
      <c r="I15" t="s">
        <v>672</v>
      </c>
      <c r="J15" t="s">
        <v>673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74</v>
      </c>
      <c r="AB15" t="s">
        <v>74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674</v>
      </c>
      <c r="AP15" t="s">
        <v>675</v>
      </c>
      <c r="AQ15" t="s">
        <v>74</v>
      </c>
      <c r="AR15" t="s">
        <v>74</v>
      </c>
      <c r="AS15" t="s">
        <v>74</v>
      </c>
      <c r="AT15" t="s">
        <v>575</v>
      </c>
      <c r="AU15">
        <v>2023</v>
      </c>
      <c r="AV15">
        <v>256</v>
      </c>
      <c r="AW15" t="s">
        <v>74</v>
      </c>
      <c r="AX15" t="s">
        <v>74</v>
      </c>
      <c r="AY15" t="s">
        <v>74</v>
      </c>
      <c r="AZ15" t="s">
        <v>74</v>
      </c>
      <c r="BA15" t="s">
        <v>74</v>
      </c>
      <c r="BB15" t="s">
        <v>74</v>
      </c>
      <c r="BC15" t="s">
        <v>74</v>
      </c>
      <c r="BD15">
        <v>114835</v>
      </c>
      <c r="BE15" t="s">
        <v>676</v>
      </c>
      <c r="BF15" t="str">
        <f>HYPERLINK("http://dx.doi.org/10.1016/j.ecoenv.2023.114835","http://dx.doi.org/10.1016/j.ecoenv.2023.114835")</f>
        <v>http://dx.doi.org/10.1016/j.ecoenv.2023.114835</v>
      </c>
      <c r="BG15" t="s">
        <v>74</v>
      </c>
      <c r="BH15" t="s">
        <v>677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>
        <v>37003058</v>
      </c>
      <c r="BO15" t="s">
        <v>74</v>
      </c>
      <c r="BP15" t="s">
        <v>74</v>
      </c>
      <c r="BQ15" t="s">
        <v>74</v>
      </c>
      <c r="BR15" t="s">
        <v>74</v>
      </c>
      <c r="BS15" t="s">
        <v>678</v>
      </c>
      <c r="BT15" t="str">
        <f>HYPERLINK("https%3A%2F%2Fwww.webofscience.com%2Fwos%2Fwoscc%2Ffull-record%2FWOS:000968806600001","View Full Record in Web of Science")</f>
        <v>View Full Record in Web of Science</v>
      </c>
    </row>
    <row r="16" spans="1:72" x14ac:dyDescent="0.2">
      <c r="A16" t="s">
        <v>72</v>
      </c>
      <c r="B16" t="s">
        <v>692</v>
      </c>
      <c r="C16" t="s">
        <v>74</v>
      </c>
      <c r="D16" t="s">
        <v>74</v>
      </c>
      <c r="E16" t="s">
        <v>74</v>
      </c>
      <c r="F16" t="s">
        <v>693</v>
      </c>
      <c r="G16" t="s">
        <v>74</v>
      </c>
      <c r="H16" t="s">
        <v>74</v>
      </c>
      <c r="I16" t="s">
        <v>694</v>
      </c>
      <c r="J16" t="s">
        <v>695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696</v>
      </c>
      <c r="AB16" t="s">
        <v>6809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697</v>
      </c>
      <c r="AP16" t="s">
        <v>698</v>
      </c>
      <c r="AQ16" t="s">
        <v>74</v>
      </c>
      <c r="AR16" t="s">
        <v>74</v>
      </c>
      <c r="AS16" t="s">
        <v>74</v>
      </c>
      <c r="AT16" t="s">
        <v>575</v>
      </c>
      <c r="AU16">
        <v>2023</v>
      </c>
      <c r="AV16">
        <v>93</v>
      </c>
      <c r="AW16">
        <v>2</v>
      </c>
      <c r="AX16" t="s">
        <v>74</v>
      </c>
      <c r="AY16" t="s">
        <v>74</v>
      </c>
      <c r="AZ16" t="s">
        <v>74</v>
      </c>
      <c r="BA16" t="s">
        <v>74</v>
      </c>
      <c r="BB16" t="s">
        <v>74</v>
      </c>
      <c r="BC16" t="s">
        <v>74</v>
      </c>
      <c r="BD16" t="s">
        <v>74</v>
      </c>
      <c r="BE16" t="s">
        <v>699</v>
      </c>
      <c r="BF16" t="str">
        <f>HYPERLINK("http://dx.doi.org/10.1002/ecm.1567","http://dx.doi.org/10.1002/ecm.1567")</f>
        <v>http://dx.doi.org/10.1002/ecm.1567</v>
      </c>
      <c r="BG16" t="s">
        <v>74</v>
      </c>
      <c r="BH16" t="s">
        <v>677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 t="s">
        <v>74</v>
      </c>
      <c r="BR16" t="s">
        <v>74</v>
      </c>
      <c r="BS16" t="s">
        <v>700</v>
      </c>
      <c r="BT16" t="str">
        <f>HYPERLINK("https%3A%2F%2Fwww.webofscience.com%2Fwos%2Fwoscc%2Ffull-record%2FWOS:000948547500001","View Full Record in Web of Science")</f>
        <v>View Full Record in Web of Science</v>
      </c>
    </row>
    <row r="17" spans="1:72" x14ac:dyDescent="0.2">
      <c r="A17" t="s">
        <v>72</v>
      </c>
      <c r="B17" t="s">
        <v>745</v>
      </c>
      <c r="C17" t="s">
        <v>74</v>
      </c>
      <c r="D17" t="s">
        <v>74</v>
      </c>
      <c r="E17" t="s">
        <v>74</v>
      </c>
      <c r="F17" t="s">
        <v>746</v>
      </c>
      <c r="G17" t="s">
        <v>74</v>
      </c>
      <c r="H17" t="s">
        <v>74</v>
      </c>
      <c r="I17" t="s">
        <v>747</v>
      </c>
      <c r="J17" t="s">
        <v>748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74</v>
      </c>
      <c r="AA17" t="s">
        <v>74</v>
      </c>
      <c r="AB17" t="s">
        <v>74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749</v>
      </c>
      <c r="AP17" t="s">
        <v>750</v>
      </c>
      <c r="AQ17" t="s">
        <v>74</v>
      </c>
      <c r="AR17" t="s">
        <v>74</v>
      </c>
      <c r="AS17" t="s">
        <v>74</v>
      </c>
      <c r="AT17" t="s">
        <v>416</v>
      </c>
      <c r="AU17">
        <v>2023</v>
      </c>
      <c r="AV17">
        <v>18</v>
      </c>
      <c r="AW17">
        <v>1</v>
      </c>
      <c r="AX17" t="s">
        <v>74</v>
      </c>
      <c r="AY17" t="s">
        <v>74</v>
      </c>
      <c r="AZ17" t="s">
        <v>74</v>
      </c>
      <c r="BA17" t="s">
        <v>74</v>
      </c>
      <c r="BB17">
        <v>21</v>
      </c>
      <c r="BC17">
        <v>33</v>
      </c>
      <c r="BD17" t="s">
        <v>74</v>
      </c>
      <c r="BE17" t="s">
        <v>751</v>
      </c>
      <c r="BF17" t="str">
        <f>HYPERLINK("http://dx.doi.org/10.3800/pbr.18.21","http://dx.doi.org/10.3800/pbr.18.21")</f>
        <v>http://dx.doi.org/10.3800/pbr.18.21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 t="s">
        <v>74</v>
      </c>
      <c r="BR17" t="s">
        <v>74</v>
      </c>
      <c r="BS17" t="s">
        <v>752</v>
      </c>
      <c r="BT17" t="str">
        <f>HYPERLINK("https%3A%2F%2Fwww.webofscience.com%2Fwos%2Fwoscc%2Ffull-record%2FWOS:001000124100003","View Full Record in Web of Science")</f>
        <v>View Full Record in Web of Science</v>
      </c>
    </row>
    <row r="18" spans="1:72" x14ac:dyDescent="0.2">
      <c r="A18" t="s">
        <v>72</v>
      </c>
      <c r="B18" t="s">
        <v>899</v>
      </c>
      <c r="C18" t="s">
        <v>74</v>
      </c>
      <c r="D18" t="s">
        <v>74</v>
      </c>
      <c r="E18" t="s">
        <v>74</v>
      </c>
      <c r="F18" t="s">
        <v>900</v>
      </c>
      <c r="G18" t="s">
        <v>74</v>
      </c>
      <c r="H18" t="s">
        <v>74</v>
      </c>
      <c r="I18" t="s">
        <v>901</v>
      </c>
      <c r="J18" t="s">
        <v>331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 t="s">
        <v>74</v>
      </c>
      <c r="AA18" t="s">
        <v>902</v>
      </c>
      <c r="AB18" t="s">
        <v>903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74</v>
      </c>
      <c r="AP18" t="s">
        <v>334</v>
      </c>
      <c r="AQ18" t="s">
        <v>74</v>
      </c>
      <c r="AR18" t="s">
        <v>74</v>
      </c>
      <c r="AS18" t="s">
        <v>74</v>
      </c>
      <c r="AT18" t="s">
        <v>335</v>
      </c>
      <c r="AU18">
        <v>2022</v>
      </c>
      <c r="AV18">
        <v>14</v>
      </c>
      <c r="AW18">
        <v>21</v>
      </c>
      <c r="AX18" t="s">
        <v>74</v>
      </c>
      <c r="AY18" t="s">
        <v>74</v>
      </c>
      <c r="AZ18" t="s">
        <v>74</v>
      </c>
      <c r="BA18" t="s">
        <v>74</v>
      </c>
      <c r="BB18" t="s">
        <v>74</v>
      </c>
      <c r="BC18" t="s">
        <v>74</v>
      </c>
      <c r="BD18">
        <v>3403</v>
      </c>
      <c r="BE18" t="s">
        <v>904</v>
      </c>
      <c r="BF18" t="str">
        <f>HYPERLINK("http://dx.doi.org/10.3390/w14213403","http://dx.doi.org/10.3390/w14213403")</f>
        <v>http://dx.doi.org/10.3390/w14213403</v>
      </c>
      <c r="BG18" t="s">
        <v>74</v>
      </c>
      <c r="BH18" t="s">
        <v>74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 t="s">
        <v>905</v>
      </c>
      <c r="BT18" t="str">
        <f>HYPERLINK("https%3A%2F%2Fwww.webofscience.com%2Fwos%2Fwoscc%2Ffull-record%2FWOS:000882279300001","View Full Record in Web of Science")</f>
        <v>View Full Record in Web of Science</v>
      </c>
    </row>
    <row r="19" spans="1:72" x14ac:dyDescent="0.2">
      <c r="A19" t="s">
        <v>72</v>
      </c>
      <c r="B19" t="s">
        <v>906</v>
      </c>
      <c r="C19" t="s">
        <v>74</v>
      </c>
      <c r="D19" t="s">
        <v>74</v>
      </c>
      <c r="E19" t="s">
        <v>74</v>
      </c>
      <c r="F19" t="s">
        <v>907</v>
      </c>
      <c r="G19" t="s">
        <v>74</v>
      </c>
      <c r="H19" t="s">
        <v>74</v>
      </c>
      <c r="I19" t="s">
        <v>908</v>
      </c>
      <c r="J19" t="s">
        <v>909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910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74</v>
      </c>
      <c r="AP19" t="s">
        <v>911</v>
      </c>
      <c r="AQ19" t="s">
        <v>74</v>
      </c>
      <c r="AR19" t="s">
        <v>74</v>
      </c>
      <c r="AS19" t="s">
        <v>74</v>
      </c>
      <c r="AT19" t="s">
        <v>335</v>
      </c>
      <c r="AU19">
        <v>2022</v>
      </c>
      <c r="AV19">
        <v>19</v>
      </c>
      <c r="AW19">
        <v>21</v>
      </c>
      <c r="AX19" t="s">
        <v>74</v>
      </c>
      <c r="AY19" t="s">
        <v>74</v>
      </c>
      <c r="AZ19" t="s">
        <v>74</v>
      </c>
      <c r="BA19" t="s">
        <v>74</v>
      </c>
      <c r="BB19" t="s">
        <v>74</v>
      </c>
      <c r="BC19" t="s">
        <v>74</v>
      </c>
      <c r="BD19">
        <v>14075</v>
      </c>
      <c r="BE19" t="s">
        <v>912</v>
      </c>
      <c r="BF19" t="str">
        <f>HYPERLINK("http://dx.doi.org/10.3390/ijerph192114075","http://dx.doi.org/10.3390/ijerph192114075")</f>
        <v>http://dx.doi.org/10.3390/ijerph192114075</v>
      </c>
      <c r="BG19" t="s">
        <v>74</v>
      </c>
      <c r="BH19" t="s">
        <v>74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>
        <v>36360953</v>
      </c>
      <c r="BO19" t="s">
        <v>74</v>
      </c>
      <c r="BP19" t="s">
        <v>74</v>
      </c>
      <c r="BQ19" t="s">
        <v>74</v>
      </c>
      <c r="BR19" t="s">
        <v>74</v>
      </c>
      <c r="BS19" t="s">
        <v>913</v>
      </c>
      <c r="BT19" t="str">
        <f>HYPERLINK("https%3A%2F%2Fwww.webofscience.com%2Fwos%2Fwoscc%2Ffull-record%2FWOS:000883618400001","View Full Record in Web of Science")</f>
        <v>View Full Record in Web of Science</v>
      </c>
    </row>
    <row r="20" spans="1:72" x14ac:dyDescent="0.2">
      <c r="A20" t="s">
        <v>72</v>
      </c>
      <c r="B20" t="s">
        <v>970</v>
      </c>
      <c r="C20" t="s">
        <v>74</v>
      </c>
      <c r="D20" t="s">
        <v>74</v>
      </c>
      <c r="E20" t="s">
        <v>74</v>
      </c>
      <c r="F20" t="s">
        <v>971</v>
      </c>
      <c r="G20" t="s">
        <v>74</v>
      </c>
      <c r="H20" t="s">
        <v>74</v>
      </c>
      <c r="I20" t="s">
        <v>972</v>
      </c>
      <c r="J20" t="s">
        <v>973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74</v>
      </c>
      <c r="AB20" t="s">
        <v>6820</v>
      </c>
      <c r="AC20" t="s">
        <v>74</v>
      </c>
      <c r="AD20" t="s">
        <v>74</v>
      </c>
      <c r="AE20" t="s">
        <v>74</v>
      </c>
      <c r="AF20" t="s">
        <v>74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t="s">
        <v>74</v>
      </c>
      <c r="AN20" t="s">
        <v>74</v>
      </c>
      <c r="AO20" t="s">
        <v>974</v>
      </c>
      <c r="AP20" t="s">
        <v>975</v>
      </c>
      <c r="AQ20" t="s">
        <v>74</v>
      </c>
      <c r="AR20" t="s">
        <v>74</v>
      </c>
      <c r="AS20" t="s">
        <v>74</v>
      </c>
      <c r="AT20" t="s">
        <v>976</v>
      </c>
      <c r="AU20">
        <v>2022</v>
      </c>
      <c r="AV20">
        <v>277</v>
      </c>
      <c r="AW20" t="s">
        <v>74</v>
      </c>
      <c r="AX20" t="s">
        <v>74</v>
      </c>
      <c r="AY20" t="s">
        <v>74</v>
      </c>
      <c r="AZ20" t="s">
        <v>74</v>
      </c>
      <c r="BA20" t="s">
        <v>74</v>
      </c>
      <c r="BB20" t="s">
        <v>74</v>
      </c>
      <c r="BC20" t="s">
        <v>74</v>
      </c>
      <c r="BD20">
        <v>108059</v>
      </c>
      <c r="BE20" t="s">
        <v>977</v>
      </c>
      <c r="BF20" t="str">
        <f>HYPERLINK("http://dx.doi.org/10.1016/j.ecss.2022.108059","http://dx.doi.org/10.1016/j.ecss.2022.108059")</f>
        <v>http://dx.doi.org/10.1016/j.ecss.2022.108059</v>
      </c>
      <c r="BG20" t="s">
        <v>74</v>
      </c>
      <c r="BH20" t="s">
        <v>978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 t="s">
        <v>979</v>
      </c>
      <c r="BT20" t="str">
        <f>HYPERLINK("https%3A%2F%2Fwww.webofscience.com%2Fwos%2Fwoscc%2Ffull-record%2FWOS:000868688900003","View Full Record in Web of Science")</f>
        <v>View Full Record in Web of Science</v>
      </c>
    </row>
    <row r="21" spans="1:72" x14ac:dyDescent="0.2">
      <c r="A21" t="s">
        <v>72</v>
      </c>
      <c r="B21" t="s">
        <v>986</v>
      </c>
      <c r="C21" t="s">
        <v>74</v>
      </c>
      <c r="D21" t="s">
        <v>74</v>
      </c>
      <c r="E21" t="s">
        <v>74</v>
      </c>
      <c r="F21" t="s">
        <v>987</v>
      </c>
      <c r="G21" t="s">
        <v>74</v>
      </c>
      <c r="H21" t="s">
        <v>74</v>
      </c>
      <c r="I21" t="s">
        <v>988</v>
      </c>
      <c r="J21" t="s">
        <v>989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990</v>
      </c>
      <c r="AB21" t="s">
        <v>991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992</v>
      </c>
      <c r="AP21" t="s">
        <v>993</v>
      </c>
      <c r="AQ21" t="s">
        <v>74</v>
      </c>
      <c r="AR21" t="s">
        <v>74</v>
      </c>
      <c r="AS21" t="s">
        <v>74</v>
      </c>
      <c r="AT21" t="s">
        <v>82</v>
      </c>
      <c r="AU21">
        <v>2022</v>
      </c>
      <c r="AV21">
        <v>183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>
        <v>103571</v>
      </c>
      <c r="BE21" t="s">
        <v>994</v>
      </c>
      <c r="BF21" t="str">
        <f>HYPERLINK("http://dx.doi.org/10.1016/j.aquabot.2022.103571","http://dx.doi.org/10.1016/j.aquabot.2022.103571")</f>
        <v>http://dx.doi.org/10.1016/j.aquabot.2022.103571</v>
      </c>
      <c r="BG21" t="s">
        <v>74</v>
      </c>
      <c r="BH21" t="s">
        <v>978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>
        <v>36466371</v>
      </c>
      <c r="BO21" t="s">
        <v>74</v>
      </c>
      <c r="BP21" t="s">
        <v>74</v>
      </c>
      <c r="BQ21" t="s">
        <v>74</v>
      </c>
      <c r="BR21" t="s">
        <v>74</v>
      </c>
      <c r="BS21" t="s">
        <v>995</v>
      </c>
      <c r="BT21" t="str">
        <f>HYPERLINK("https%3A%2F%2Fwww.webofscience.com%2Fwos%2Fwoscc%2Ffull-record%2FWOS:000984278900001","View Full Record in Web of Science")</f>
        <v>View Full Record in Web of Science</v>
      </c>
    </row>
    <row r="22" spans="1:72" x14ac:dyDescent="0.2">
      <c r="A22" t="s">
        <v>72</v>
      </c>
      <c r="B22" t="s">
        <v>1060</v>
      </c>
      <c r="C22" t="s">
        <v>74</v>
      </c>
      <c r="D22" t="s">
        <v>74</v>
      </c>
      <c r="E22" t="s">
        <v>74</v>
      </c>
      <c r="F22" t="s">
        <v>1061</v>
      </c>
      <c r="G22" t="s">
        <v>74</v>
      </c>
      <c r="H22" t="s">
        <v>74</v>
      </c>
      <c r="I22" t="s">
        <v>1062</v>
      </c>
      <c r="J22" t="s">
        <v>1063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74</v>
      </c>
      <c r="AA22" t="s">
        <v>6826</v>
      </c>
      <c r="AB22" t="s">
        <v>1064</v>
      </c>
      <c r="AC22" t="s">
        <v>74</v>
      </c>
      <c r="AD22" t="s">
        <v>74</v>
      </c>
      <c r="AE22" t="s">
        <v>74</v>
      </c>
      <c r="AF22" t="s">
        <v>74</v>
      </c>
      <c r="AG22" t="s">
        <v>74</v>
      </c>
      <c r="AH22" t="s">
        <v>74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1065</v>
      </c>
      <c r="AP22" t="s">
        <v>1066</v>
      </c>
      <c r="AQ22" t="s">
        <v>74</v>
      </c>
      <c r="AR22" t="s">
        <v>74</v>
      </c>
      <c r="AS22" t="s">
        <v>74</v>
      </c>
      <c r="AT22" t="s">
        <v>82</v>
      </c>
      <c r="AU22">
        <v>2022</v>
      </c>
      <c r="AV22">
        <v>308</v>
      </c>
      <c r="AW22" t="s">
        <v>74</v>
      </c>
      <c r="AX22">
        <v>1</v>
      </c>
      <c r="AY22" t="s">
        <v>74</v>
      </c>
      <c r="AZ22" t="s">
        <v>74</v>
      </c>
      <c r="BA22" t="s">
        <v>74</v>
      </c>
      <c r="BB22" t="s">
        <v>74</v>
      </c>
      <c r="BC22" t="s">
        <v>74</v>
      </c>
      <c r="BD22">
        <v>136066</v>
      </c>
      <c r="BE22" t="s">
        <v>1067</v>
      </c>
      <c r="BF22" t="str">
        <f>HYPERLINK("http://dx.doi.org/10.1016/j.chemosphere.2022.136066","http://dx.doi.org/10.1016/j.chemosphere.2022.136066")</f>
        <v>http://dx.doi.org/10.1016/j.chemosphere.2022.136066</v>
      </c>
      <c r="BG22" t="s">
        <v>74</v>
      </c>
      <c r="BH22" t="s">
        <v>1068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>
        <v>35987273</v>
      </c>
      <c r="BO22" t="s">
        <v>74</v>
      </c>
      <c r="BP22" t="s">
        <v>74</v>
      </c>
      <c r="BQ22" t="s">
        <v>74</v>
      </c>
      <c r="BR22" t="s">
        <v>74</v>
      </c>
      <c r="BS22" t="s">
        <v>1069</v>
      </c>
      <c r="BT22" t="str">
        <f>HYPERLINK("https%3A%2F%2Fwww.webofscience.com%2Fwos%2Fwoscc%2Ffull-record%2FWOS:000862937200006","View Full Record in Web of Science")</f>
        <v>View Full Record in Web of Science</v>
      </c>
    </row>
    <row r="23" spans="1:72" x14ac:dyDescent="0.2">
      <c r="A23" t="s">
        <v>72</v>
      </c>
      <c r="B23" t="s">
        <v>1070</v>
      </c>
      <c r="C23" t="s">
        <v>74</v>
      </c>
      <c r="D23" t="s">
        <v>74</v>
      </c>
      <c r="E23" t="s">
        <v>74</v>
      </c>
      <c r="F23" t="s">
        <v>1071</v>
      </c>
      <c r="G23" t="s">
        <v>74</v>
      </c>
      <c r="H23" t="s">
        <v>74</v>
      </c>
      <c r="I23" t="s">
        <v>1072</v>
      </c>
      <c r="J23" t="s">
        <v>227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74</v>
      </c>
      <c r="Y23" t="s">
        <v>74</v>
      </c>
      <c r="Z23" t="s">
        <v>74</v>
      </c>
      <c r="AA23" t="s">
        <v>1073</v>
      </c>
      <c r="AB23" t="s">
        <v>1074</v>
      </c>
      <c r="AC23" t="s">
        <v>74</v>
      </c>
      <c r="AD23" t="s">
        <v>74</v>
      </c>
      <c r="AE23" t="s">
        <v>74</v>
      </c>
      <c r="AF23" t="s">
        <v>74</v>
      </c>
      <c r="AG23" t="s">
        <v>74</v>
      </c>
      <c r="AH23" t="s">
        <v>74</v>
      </c>
      <c r="AI23" t="s">
        <v>74</v>
      </c>
      <c r="AJ23" t="s">
        <v>74</v>
      </c>
      <c r="AK23" t="s">
        <v>74</v>
      </c>
      <c r="AL23" t="s">
        <v>74</v>
      </c>
      <c r="AM23" t="s">
        <v>74</v>
      </c>
      <c r="AN23" t="s">
        <v>74</v>
      </c>
      <c r="AO23" t="s">
        <v>230</v>
      </c>
      <c r="AP23" t="s">
        <v>231</v>
      </c>
      <c r="AQ23" t="s">
        <v>74</v>
      </c>
      <c r="AR23" t="s">
        <v>74</v>
      </c>
      <c r="AS23" t="s">
        <v>74</v>
      </c>
      <c r="AT23" t="s">
        <v>335</v>
      </c>
      <c r="AU23">
        <v>2022</v>
      </c>
      <c r="AV23">
        <v>67</v>
      </c>
      <c r="AW23">
        <v>11</v>
      </c>
      <c r="AX23" t="s">
        <v>74</v>
      </c>
      <c r="AY23" t="s">
        <v>74</v>
      </c>
      <c r="AZ23" t="s">
        <v>74</v>
      </c>
      <c r="BA23" t="s">
        <v>74</v>
      </c>
      <c r="BB23">
        <v>2418</v>
      </c>
      <c r="BC23">
        <v>2430</v>
      </c>
      <c r="BD23" t="s">
        <v>74</v>
      </c>
      <c r="BE23" t="s">
        <v>1075</v>
      </c>
      <c r="BF23" t="str">
        <f>HYPERLINK("http://dx.doi.org/10.1002/lno.12210","http://dx.doi.org/10.1002/lno.12210")</f>
        <v>http://dx.doi.org/10.1002/lno.12210</v>
      </c>
      <c r="BG23" t="s">
        <v>74</v>
      </c>
      <c r="BH23" t="s">
        <v>1068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 t="s">
        <v>1076</v>
      </c>
      <c r="BT23" t="str">
        <f>HYPERLINK("https%3A%2F%2Fwww.webofscience.com%2Fwos%2Fwoscc%2Ffull-record%2FWOS:000847419300001","View Full Record in Web of Science")</f>
        <v>View Full Record in Web of Science</v>
      </c>
    </row>
    <row r="24" spans="1:72" x14ac:dyDescent="0.2">
      <c r="A24" t="s">
        <v>72</v>
      </c>
      <c r="B24" t="s">
        <v>1077</v>
      </c>
      <c r="C24" t="s">
        <v>74</v>
      </c>
      <c r="D24" t="s">
        <v>74</v>
      </c>
      <c r="E24" t="s">
        <v>74</v>
      </c>
      <c r="F24" t="s">
        <v>1078</v>
      </c>
      <c r="G24" t="s">
        <v>74</v>
      </c>
      <c r="H24" t="s">
        <v>74</v>
      </c>
      <c r="I24" t="s">
        <v>1079</v>
      </c>
      <c r="J24" t="s">
        <v>145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74</v>
      </c>
      <c r="W24" t="s">
        <v>74</v>
      </c>
      <c r="X24" t="s">
        <v>74</v>
      </c>
      <c r="Y24" t="s">
        <v>74</v>
      </c>
      <c r="Z24" t="s">
        <v>74</v>
      </c>
      <c r="AA24" t="s">
        <v>1080</v>
      </c>
      <c r="AB24" t="s">
        <v>1081</v>
      </c>
      <c r="AC24" t="s">
        <v>74</v>
      </c>
      <c r="AD24" t="s">
        <v>74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146</v>
      </c>
      <c r="AP24" t="s">
        <v>147</v>
      </c>
      <c r="AQ24" t="s">
        <v>74</v>
      </c>
      <c r="AR24" t="s">
        <v>74</v>
      </c>
      <c r="AS24" t="s">
        <v>74</v>
      </c>
      <c r="AT24" t="s">
        <v>303</v>
      </c>
      <c r="AU24">
        <v>2022</v>
      </c>
      <c r="AV24">
        <v>850</v>
      </c>
      <c r="AW24" t="s">
        <v>74</v>
      </c>
      <c r="AX24" t="s">
        <v>74</v>
      </c>
      <c r="AY24" t="s">
        <v>74</v>
      </c>
      <c r="AZ24" t="s">
        <v>74</v>
      </c>
      <c r="BA24" t="s">
        <v>74</v>
      </c>
      <c r="BB24" t="s">
        <v>74</v>
      </c>
      <c r="BC24" t="s">
        <v>74</v>
      </c>
      <c r="BD24">
        <v>157810</v>
      </c>
      <c r="BE24" t="s">
        <v>1082</v>
      </c>
      <c r="BF24" t="str">
        <f>HYPERLINK("http://dx.doi.org/10.1016/j.scitotenv.2022.157810","http://dx.doi.org/10.1016/j.scitotenv.2022.157810")</f>
        <v>http://dx.doi.org/10.1016/j.scitotenv.2022.157810</v>
      </c>
      <c r="BG24" t="s">
        <v>74</v>
      </c>
      <c r="BH24" t="s">
        <v>1068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>
        <v>35932862</v>
      </c>
      <c r="BO24" t="s">
        <v>74</v>
      </c>
      <c r="BP24" t="s">
        <v>74</v>
      </c>
      <c r="BQ24" t="s">
        <v>74</v>
      </c>
      <c r="BR24" t="s">
        <v>74</v>
      </c>
      <c r="BS24" t="s">
        <v>1083</v>
      </c>
      <c r="BT24" t="str">
        <f>HYPERLINK("https%3A%2F%2Fwww.webofscience.com%2Fwos%2Fwoscc%2Ffull-record%2FWOS:000891851900009","View Full Record in Web of Science")</f>
        <v>View Full Record in Web of Science</v>
      </c>
    </row>
    <row r="25" spans="1:72" x14ac:dyDescent="0.2">
      <c r="A25" t="s">
        <v>72</v>
      </c>
      <c r="B25" t="s">
        <v>1097</v>
      </c>
      <c r="C25" t="s">
        <v>74</v>
      </c>
      <c r="D25" t="s">
        <v>74</v>
      </c>
      <c r="E25" t="s">
        <v>74</v>
      </c>
      <c r="F25" t="s">
        <v>1098</v>
      </c>
      <c r="G25" t="s">
        <v>74</v>
      </c>
      <c r="H25" t="s">
        <v>74</v>
      </c>
      <c r="I25" t="s">
        <v>1099</v>
      </c>
      <c r="J25" t="s">
        <v>1100</v>
      </c>
      <c r="K25" t="s">
        <v>74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74</v>
      </c>
      <c r="AA25" t="s">
        <v>74</v>
      </c>
      <c r="AB25" t="s">
        <v>74</v>
      </c>
      <c r="AC25" t="s">
        <v>74</v>
      </c>
      <c r="AD25" t="s">
        <v>74</v>
      </c>
      <c r="AE25" t="s">
        <v>74</v>
      </c>
      <c r="AF25" t="s">
        <v>74</v>
      </c>
      <c r="AG25" t="s">
        <v>74</v>
      </c>
      <c r="AH25" t="s">
        <v>74</v>
      </c>
      <c r="AI25" t="s">
        <v>74</v>
      </c>
      <c r="AJ25" t="s">
        <v>74</v>
      </c>
      <c r="AK25" t="s">
        <v>74</v>
      </c>
      <c r="AL25" t="s">
        <v>74</v>
      </c>
      <c r="AM25" t="s">
        <v>74</v>
      </c>
      <c r="AN25" t="s">
        <v>74</v>
      </c>
      <c r="AO25" t="s">
        <v>74</v>
      </c>
      <c r="AP25" t="s">
        <v>1101</v>
      </c>
      <c r="AQ25" t="s">
        <v>74</v>
      </c>
      <c r="AR25" t="s">
        <v>74</v>
      </c>
      <c r="AS25" t="s">
        <v>74</v>
      </c>
      <c r="AT25" t="s">
        <v>1102</v>
      </c>
      <c r="AU25">
        <v>2022</v>
      </c>
      <c r="AV25">
        <v>10</v>
      </c>
      <c r="AW25" t="s">
        <v>74</v>
      </c>
      <c r="AX25" t="s">
        <v>74</v>
      </c>
      <c r="AY25" t="s">
        <v>74</v>
      </c>
      <c r="AZ25" t="s">
        <v>74</v>
      </c>
      <c r="BA25" t="s">
        <v>74</v>
      </c>
      <c r="BB25" t="s">
        <v>74</v>
      </c>
      <c r="BC25" t="s">
        <v>74</v>
      </c>
      <c r="BD25">
        <v>899571</v>
      </c>
      <c r="BE25" t="s">
        <v>1103</v>
      </c>
      <c r="BF25" t="str">
        <f>HYPERLINK("http://dx.doi.org/10.3389/fenvs.2022.899571","http://dx.doi.org/10.3389/fenvs.2022.899571")</f>
        <v>http://dx.doi.org/10.3389/fenvs.2022.899571</v>
      </c>
      <c r="BG25" t="s">
        <v>74</v>
      </c>
      <c r="BH25" t="s">
        <v>74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">
        <v>1104</v>
      </c>
      <c r="BT25" t="str">
        <f>HYPERLINK("https%3A%2F%2Fwww.webofscience.com%2Fwos%2Fwoscc%2Ffull-record%2FWOS:000836936700001","View Full Record in Web of Science")</f>
        <v>View Full Record in Web of Science</v>
      </c>
    </row>
    <row r="26" spans="1:72" x14ac:dyDescent="0.2">
      <c r="A26" t="s">
        <v>72</v>
      </c>
      <c r="B26" t="s">
        <v>1255</v>
      </c>
      <c r="C26" t="s">
        <v>74</v>
      </c>
      <c r="D26" t="s">
        <v>74</v>
      </c>
      <c r="E26" t="s">
        <v>74</v>
      </c>
      <c r="F26" t="s">
        <v>1256</v>
      </c>
      <c r="G26" t="s">
        <v>74</v>
      </c>
      <c r="H26" t="s">
        <v>74</v>
      </c>
      <c r="I26" t="s">
        <v>1257</v>
      </c>
      <c r="J26" t="s">
        <v>124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  <c r="Z26" t="s">
        <v>74</v>
      </c>
      <c r="AA26" t="s">
        <v>1258</v>
      </c>
      <c r="AB26" t="s">
        <v>6837</v>
      </c>
      <c r="AC26" t="s">
        <v>74</v>
      </c>
      <c r="AD26" t="s">
        <v>74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127</v>
      </c>
      <c r="AP26" t="s">
        <v>128</v>
      </c>
      <c r="AQ26" t="s">
        <v>74</v>
      </c>
      <c r="AR26" t="s">
        <v>74</v>
      </c>
      <c r="AS26" t="s">
        <v>74</v>
      </c>
      <c r="AT26" t="s">
        <v>624</v>
      </c>
      <c r="AU26">
        <v>2022</v>
      </c>
      <c r="AV26">
        <v>849</v>
      </c>
      <c r="AW26">
        <v>12</v>
      </c>
      <c r="AX26" t="s">
        <v>74</v>
      </c>
      <c r="AY26" t="s">
        <v>74</v>
      </c>
      <c r="AZ26" t="s">
        <v>74</v>
      </c>
      <c r="BA26" t="s">
        <v>74</v>
      </c>
      <c r="BB26">
        <v>2683</v>
      </c>
      <c r="BC26">
        <v>2703</v>
      </c>
      <c r="BD26" t="s">
        <v>74</v>
      </c>
      <c r="BE26" t="s">
        <v>1259</v>
      </c>
      <c r="BF26" t="str">
        <f>HYPERLINK("http://dx.doi.org/10.1007/s10750-022-04885-x","http://dx.doi.org/10.1007/s10750-022-04885-x")</f>
        <v>http://dx.doi.org/10.1007/s10750-022-04885-x</v>
      </c>
      <c r="BG26" t="s">
        <v>74</v>
      </c>
      <c r="BH26" t="s">
        <v>1260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 t="s">
        <v>1261</v>
      </c>
      <c r="BT26" t="str">
        <f>HYPERLINK("https%3A%2F%2Fwww.webofscience.com%2Fwos%2Fwoscc%2Ffull-record%2FWOS:000799644000001","View Full Record in Web of Science")</f>
        <v>View Full Record in Web of Science</v>
      </c>
    </row>
    <row r="27" spans="1:72" x14ac:dyDescent="0.2">
      <c r="A27" t="s">
        <v>72</v>
      </c>
      <c r="B27" t="s">
        <v>1274</v>
      </c>
      <c r="C27" t="s">
        <v>74</v>
      </c>
      <c r="D27" t="s">
        <v>74</v>
      </c>
      <c r="E27" t="s">
        <v>74</v>
      </c>
      <c r="F27" t="s">
        <v>1275</v>
      </c>
      <c r="G27" t="s">
        <v>74</v>
      </c>
      <c r="H27" t="s">
        <v>74</v>
      </c>
      <c r="I27" t="s">
        <v>1276</v>
      </c>
      <c r="J27" t="s">
        <v>124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74</v>
      </c>
      <c r="Y27" t="s">
        <v>74</v>
      </c>
      <c r="Z27" t="s">
        <v>74</v>
      </c>
      <c r="AA27" t="s">
        <v>1277</v>
      </c>
      <c r="AB27" t="s">
        <v>1278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127</v>
      </c>
      <c r="AP27" t="s">
        <v>128</v>
      </c>
      <c r="AQ27" t="s">
        <v>74</v>
      </c>
      <c r="AR27" t="s">
        <v>74</v>
      </c>
      <c r="AS27" t="s">
        <v>74</v>
      </c>
      <c r="AT27" t="s">
        <v>335</v>
      </c>
      <c r="AU27">
        <v>2023</v>
      </c>
      <c r="AV27">
        <v>850</v>
      </c>
      <c r="AW27">
        <v>20</v>
      </c>
      <c r="AX27" t="s">
        <v>74</v>
      </c>
      <c r="AY27" t="s">
        <v>74</v>
      </c>
      <c r="AZ27" t="s">
        <v>632</v>
      </c>
      <c r="BA27" t="s">
        <v>74</v>
      </c>
      <c r="BB27">
        <v>4351</v>
      </c>
      <c r="BC27">
        <v>4383</v>
      </c>
      <c r="BD27" t="s">
        <v>74</v>
      </c>
      <c r="BE27" t="s">
        <v>1279</v>
      </c>
      <c r="BF27" t="str">
        <f>HYPERLINK("http://dx.doi.org/10.1007/s10750-022-04851-7","http://dx.doi.org/10.1007/s10750-022-04851-7")</f>
        <v>http://dx.doi.org/10.1007/s10750-022-04851-7</v>
      </c>
      <c r="BG27" t="s">
        <v>74</v>
      </c>
      <c r="BH27" t="s">
        <v>1260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 t="s">
        <v>74</v>
      </c>
      <c r="BR27" t="s">
        <v>74</v>
      </c>
      <c r="BS27" t="s">
        <v>1280</v>
      </c>
      <c r="BT27" t="str">
        <f>HYPERLINK("https%3A%2F%2Fwww.webofscience.com%2Fwos%2Fwoscc%2Ffull-record%2FWOS:000791081300002","View Full Record in Web of Science")</f>
        <v>View Full Record in Web of Science</v>
      </c>
    </row>
    <row r="28" spans="1:72" x14ac:dyDescent="0.2">
      <c r="A28" t="s">
        <v>72</v>
      </c>
      <c r="B28" t="s">
        <v>1296</v>
      </c>
      <c r="C28" t="s">
        <v>74</v>
      </c>
      <c r="D28" t="s">
        <v>74</v>
      </c>
      <c r="E28" t="s">
        <v>74</v>
      </c>
      <c r="F28" t="s">
        <v>1297</v>
      </c>
      <c r="G28" t="s">
        <v>74</v>
      </c>
      <c r="H28" t="s">
        <v>74</v>
      </c>
      <c r="I28" t="s">
        <v>1298</v>
      </c>
      <c r="J28" t="s">
        <v>1299</v>
      </c>
      <c r="K28" t="s">
        <v>74</v>
      </c>
      <c r="L28" t="s">
        <v>74</v>
      </c>
      <c r="M28" t="s">
        <v>74</v>
      </c>
      <c r="N28" t="s">
        <v>74</v>
      </c>
      <c r="O28" t="s">
        <v>74</v>
      </c>
      <c r="P28" t="s">
        <v>74</v>
      </c>
      <c r="Q28" t="s">
        <v>74</v>
      </c>
      <c r="R28" t="s">
        <v>74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74</v>
      </c>
      <c r="Y28" t="s">
        <v>74</v>
      </c>
      <c r="Z28" t="s">
        <v>74</v>
      </c>
      <c r="AA28" t="s">
        <v>1300</v>
      </c>
      <c r="AB28" t="s">
        <v>1301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1302</v>
      </c>
      <c r="AP28" t="s">
        <v>1303</v>
      </c>
      <c r="AQ28" t="s">
        <v>74</v>
      </c>
      <c r="AR28" t="s">
        <v>74</v>
      </c>
      <c r="AS28" t="s">
        <v>74</v>
      </c>
      <c r="AT28" t="s">
        <v>575</v>
      </c>
      <c r="AU28">
        <v>2022</v>
      </c>
      <c r="AV28">
        <v>199</v>
      </c>
      <c r="AW28">
        <v>1</v>
      </c>
      <c r="AX28" t="s">
        <v>74</v>
      </c>
      <c r="AY28" t="s">
        <v>74</v>
      </c>
      <c r="AZ28" t="s">
        <v>74</v>
      </c>
      <c r="BA28" t="s">
        <v>74</v>
      </c>
      <c r="BB28">
        <v>139</v>
      </c>
      <c r="BC28">
        <v>152</v>
      </c>
      <c r="BD28" t="s">
        <v>74</v>
      </c>
      <c r="BE28" t="s">
        <v>1304</v>
      </c>
      <c r="BF28" t="str">
        <f>HYPERLINK("http://dx.doi.org/10.1007/s00442-022-05165-0","http://dx.doi.org/10.1007/s00442-022-05165-0")</f>
        <v>http://dx.doi.org/10.1007/s00442-022-05165-0</v>
      </c>
      <c r="BG28" t="s">
        <v>74</v>
      </c>
      <c r="BH28" t="s">
        <v>1294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>
        <v>35471618</v>
      </c>
      <c r="BO28" t="s">
        <v>74</v>
      </c>
      <c r="BP28" t="s">
        <v>74</v>
      </c>
      <c r="BQ28" t="s">
        <v>74</v>
      </c>
      <c r="BR28" t="s">
        <v>74</v>
      </c>
      <c r="BS28" t="s">
        <v>1305</v>
      </c>
      <c r="BT28" t="str">
        <f>HYPERLINK("https%3A%2F%2Fwww.webofscience.com%2Fwos%2Fwoscc%2Ffull-record%2FWOS:000787660600002","View Full Record in Web of Science")</f>
        <v>View Full Record in Web of Science</v>
      </c>
    </row>
    <row r="29" spans="1:72" x14ac:dyDescent="0.2">
      <c r="A29" t="s">
        <v>72</v>
      </c>
      <c r="B29" t="s">
        <v>1306</v>
      </c>
      <c r="C29" t="s">
        <v>74</v>
      </c>
      <c r="D29" t="s">
        <v>74</v>
      </c>
      <c r="E29" t="s">
        <v>74</v>
      </c>
      <c r="F29" t="s">
        <v>1307</v>
      </c>
      <c r="G29" t="s">
        <v>74</v>
      </c>
      <c r="H29" t="s">
        <v>74</v>
      </c>
      <c r="I29" t="s">
        <v>1308</v>
      </c>
      <c r="J29" t="s">
        <v>381</v>
      </c>
      <c r="K29" t="s">
        <v>74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74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74</v>
      </c>
      <c r="Y29" t="s">
        <v>74</v>
      </c>
      <c r="Z29" t="s">
        <v>74</v>
      </c>
      <c r="AA29" t="s">
        <v>6842</v>
      </c>
      <c r="AB29" t="s">
        <v>1309</v>
      </c>
      <c r="AC29" t="s">
        <v>74</v>
      </c>
      <c r="AD29" t="s">
        <v>74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383</v>
      </c>
      <c r="AP29" t="s">
        <v>384</v>
      </c>
      <c r="AQ29" t="s">
        <v>74</v>
      </c>
      <c r="AR29" t="s">
        <v>74</v>
      </c>
      <c r="AS29" t="s">
        <v>74</v>
      </c>
      <c r="AT29" t="s">
        <v>1310</v>
      </c>
      <c r="AU29">
        <v>2022</v>
      </c>
      <c r="AV29">
        <v>305</v>
      </c>
      <c r="AW29" t="s">
        <v>74</v>
      </c>
      <c r="AX29" t="s">
        <v>74</v>
      </c>
      <c r="AY29" t="s">
        <v>74</v>
      </c>
      <c r="AZ29" t="s">
        <v>74</v>
      </c>
      <c r="BA29" t="s">
        <v>74</v>
      </c>
      <c r="BB29" t="s">
        <v>74</v>
      </c>
      <c r="BC29" t="s">
        <v>74</v>
      </c>
      <c r="BD29">
        <v>119304</v>
      </c>
      <c r="BE29" t="s">
        <v>1311</v>
      </c>
      <c r="BF29" t="str">
        <f>HYPERLINK("http://dx.doi.org/10.1016/j.envpol.2022.119304","http://dx.doi.org/10.1016/j.envpol.2022.119304")</f>
        <v>http://dx.doi.org/10.1016/j.envpol.2022.119304</v>
      </c>
      <c r="BG29" t="s">
        <v>74</v>
      </c>
      <c r="BH29" t="s">
        <v>1294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>
        <v>35430311</v>
      </c>
      <c r="BO29" t="s">
        <v>74</v>
      </c>
      <c r="BP29" t="s">
        <v>74</v>
      </c>
      <c r="BQ29" t="s">
        <v>74</v>
      </c>
      <c r="BR29" t="s">
        <v>74</v>
      </c>
      <c r="BS29" t="s">
        <v>1312</v>
      </c>
      <c r="BT29" t="str">
        <f>HYPERLINK("https%3A%2F%2Fwww.webofscience.com%2Fwos%2Fwoscc%2Ffull-record%2FWOS:000797073400008","View Full Record in Web of Science")</f>
        <v>View Full Record in Web of Science</v>
      </c>
    </row>
    <row r="30" spans="1:72" x14ac:dyDescent="0.2">
      <c r="A30" t="s">
        <v>72</v>
      </c>
      <c r="B30" t="s">
        <v>1339</v>
      </c>
      <c r="C30" t="s">
        <v>74</v>
      </c>
      <c r="D30" t="s">
        <v>74</v>
      </c>
      <c r="E30" t="s">
        <v>74</v>
      </c>
      <c r="F30" t="s">
        <v>1340</v>
      </c>
      <c r="G30" t="s">
        <v>74</v>
      </c>
      <c r="H30" t="s">
        <v>74</v>
      </c>
      <c r="I30" t="s">
        <v>1341</v>
      </c>
      <c r="J30" t="s">
        <v>124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74</v>
      </c>
      <c r="T30" t="s">
        <v>74</v>
      </c>
      <c r="U30" t="s">
        <v>74</v>
      </c>
      <c r="V30" t="s">
        <v>74</v>
      </c>
      <c r="W30" t="s">
        <v>74</v>
      </c>
      <c r="X30" t="s">
        <v>74</v>
      </c>
      <c r="Y30" t="s">
        <v>74</v>
      </c>
      <c r="Z30" t="s">
        <v>74</v>
      </c>
      <c r="AA30" t="s">
        <v>6844</v>
      </c>
      <c r="AB30" t="s">
        <v>6845</v>
      </c>
      <c r="AC30" t="s">
        <v>74</v>
      </c>
      <c r="AD30" t="s">
        <v>74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127</v>
      </c>
      <c r="AP30" t="s">
        <v>128</v>
      </c>
      <c r="AQ30" t="s">
        <v>74</v>
      </c>
      <c r="AR30" t="s">
        <v>74</v>
      </c>
      <c r="AS30" t="s">
        <v>74</v>
      </c>
      <c r="AT30" t="s">
        <v>575</v>
      </c>
      <c r="AU30">
        <v>2022</v>
      </c>
      <c r="AV30">
        <v>849</v>
      </c>
      <c r="AW30">
        <v>9</v>
      </c>
      <c r="AX30" t="s">
        <v>74</v>
      </c>
      <c r="AY30" t="s">
        <v>74</v>
      </c>
      <c r="AZ30" t="s">
        <v>74</v>
      </c>
      <c r="BA30" t="s">
        <v>74</v>
      </c>
      <c r="BB30">
        <v>2091</v>
      </c>
      <c r="BC30">
        <v>2108</v>
      </c>
      <c r="BD30" t="s">
        <v>74</v>
      </c>
      <c r="BE30" t="s">
        <v>1342</v>
      </c>
      <c r="BF30" t="str">
        <f>HYPERLINK("http://dx.doi.org/10.1007/s10750-022-04846-4","http://dx.doi.org/10.1007/s10750-022-04846-4")</f>
        <v>http://dx.doi.org/10.1007/s10750-022-04846-4</v>
      </c>
      <c r="BG30" t="s">
        <v>74</v>
      </c>
      <c r="BH30" t="s">
        <v>1343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 t="s">
        <v>1344</v>
      </c>
      <c r="BT30" t="str">
        <f>HYPERLINK("https%3A%2F%2Fwww.webofscience.com%2Fwos%2Fwoscc%2Ffull-record%2FWOS:000774611400002","View Full Record in Web of Science")</f>
        <v>View Full Record in Web of Science</v>
      </c>
    </row>
    <row r="31" spans="1:72" x14ac:dyDescent="0.2">
      <c r="A31" t="s">
        <v>72</v>
      </c>
      <c r="B31" t="s">
        <v>1351</v>
      </c>
      <c r="C31" t="s">
        <v>74</v>
      </c>
      <c r="D31" t="s">
        <v>74</v>
      </c>
      <c r="E31" t="s">
        <v>74</v>
      </c>
      <c r="F31" t="s">
        <v>1352</v>
      </c>
      <c r="G31" t="s">
        <v>74</v>
      </c>
      <c r="H31" t="s">
        <v>74</v>
      </c>
      <c r="I31" t="s">
        <v>1353</v>
      </c>
      <c r="J31" t="s">
        <v>733</v>
      </c>
      <c r="K31" t="s">
        <v>74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74</v>
      </c>
      <c r="U31" t="s">
        <v>74</v>
      </c>
      <c r="V31" t="s">
        <v>74</v>
      </c>
      <c r="W31" t="s">
        <v>74</v>
      </c>
      <c r="X31" t="s">
        <v>74</v>
      </c>
      <c r="Y31" t="s">
        <v>74</v>
      </c>
      <c r="Z31" t="s">
        <v>74</v>
      </c>
      <c r="AA31" t="s">
        <v>6846</v>
      </c>
      <c r="AB31" t="s">
        <v>6847</v>
      </c>
      <c r="AC31" t="s">
        <v>74</v>
      </c>
      <c r="AD31" t="s">
        <v>74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734</v>
      </c>
      <c r="AP31" t="s">
        <v>74</v>
      </c>
      <c r="AQ31" t="s">
        <v>74</v>
      </c>
      <c r="AR31" t="s">
        <v>74</v>
      </c>
      <c r="AS31" t="s">
        <v>74</v>
      </c>
      <c r="AT31" t="s">
        <v>1354</v>
      </c>
      <c r="AU31">
        <v>2022</v>
      </c>
      <c r="AV31">
        <v>10</v>
      </c>
      <c r="AW31" t="s">
        <v>74</v>
      </c>
      <c r="AX31" t="s">
        <v>74</v>
      </c>
      <c r="AY31" t="s">
        <v>74</v>
      </c>
      <c r="AZ31" t="s">
        <v>74</v>
      </c>
      <c r="BA31" t="s">
        <v>74</v>
      </c>
      <c r="BB31" t="s">
        <v>74</v>
      </c>
      <c r="BC31" t="s">
        <v>74</v>
      </c>
      <c r="BD31">
        <v>804521</v>
      </c>
      <c r="BE31" t="s">
        <v>1355</v>
      </c>
      <c r="BF31" t="str">
        <f>HYPERLINK("http://dx.doi.org/10.3389/fevo.2022.804521","http://dx.doi.org/10.3389/fevo.2022.804521")</f>
        <v>http://dx.doi.org/10.3389/fevo.2022.804521</v>
      </c>
      <c r="BG31" t="s">
        <v>74</v>
      </c>
      <c r="BH31" t="s">
        <v>74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 t="s">
        <v>1356</v>
      </c>
      <c r="BT31" t="str">
        <f>HYPERLINK("https%3A%2F%2Fwww.webofscience.com%2Fwos%2Fwoscc%2Ffull-record%2FWOS:000797929000001","View Full Record in Web of Science")</f>
        <v>View Full Record in Web of Science</v>
      </c>
    </row>
    <row r="32" spans="1:72" x14ac:dyDescent="0.2">
      <c r="A32" t="s">
        <v>72</v>
      </c>
      <c r="B32" t="s">
        <v>1357</v>
      </c>
      <c r="C32" t="s">
        <v>74</v>
      </c>
      <c r="D32" t="s">
        <v>74</v>
      </c>
      <c r="E32" t="s">
        <v>74</v>
      </c>
      <c r="F32" t="s">
        <v>1358</v>
      </c>
      <c r="G32" t="s">
        <v>74</v>
      </c>
      <c r="H32" t="s">
        <v>74</v>
      </c>
      <c r="I32" t="s">
        <v>1359</v>
      </c>
      <c r="J32" t="s">
        <v>1360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74</v>
      </c>
      <c r="V32" t="s">
        <v>74</v>
      </c>
      <c r="W32" t="s">
        <v>74</v>
      </c>
      <c r="X32" t="s">
        <v>74</v>
      </c>
      <c r="Y32" t="s">
        <v>74</v>
      </c>
      <c r="Z32" t="s">
        <v>74</v>
      </c>
      <c r="AA32" t="s">
        <v>74</v>
      </c>
      <c r="AB32" t="s">
        <v>1361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74</v>
      </c>
      <c r="AP32" t="s">
        <v>1362</v>
      </c>
      <c r="AQ32" t="s">
        <v>74</v>
      </c>
      <c r="AR32" t="s">
        <v>74</v>
      </c>
      <c r="AS32" t="s">
        <v>74</v>
      </c>
      <c r="AT32" t="s">
        <v>157</v>
      </c>
      <c r="AU32">
        <v>2022</v>
      </c>
      <c r="AV32">
        <v>12</v>
      </c>
      <c r="AW32">
        <v>3</v>
      </c>
      <c r="AX32" t="s">
        <v>74</v>
      </c>
      <c r="AY32" t="s">
        <v>74</v>
      </c>
      <c r="AZ32" t="s">
        <v>74</v>
      </c>
      <c r="BA32" t="s">
        <v>74</v>
      </c>
      <c r="BB32" t="s">
        <v>74</v>
      </c>
      <c r="BC32" t="s">
        <v>74</v>
      </c>
      <c r="BD32">
        <v>429</v>
      </c>
      <c r="BE32" t="s">
        <v>1363</v>
      </c>
      <c r="BF32" t="str">
        <f>HYPERLINK("http://dx.doi.org/10.3390/life12030429","http://dx.doi.org/10.3390/life12030429")</f>
        <v>http://dx.doi.org/10.3390/life12030429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>
        <v>35330180</v>
      </c>
      <c r="BO32" t="s">
        <v>74</v>
      </c>
      <c r="BP32" t="s">
        <v>74</v>
      </c>
      <c r="BQ32" t="s">
        <v>74</v>
      </c>
      <c r="BR32" t="s">
        <v>74</v>
      </c>
      <c r="BS32" t="s">
        <v>1364</v>
      </c>
      <c r="BT32" t="str">
        <f>HYPERLINK("https%3A%2F%2Fwww.webofscience.com%2Fwos%2Fwoscc%2Ffull-record%2FWOS:000774975300001","View Full Record in Web of Science")</f>
        <v>View Full Record in Web of Science</v>
      </c>
    </row>
    <row r="33" spans="1:72" x14ac:dyDescent="0.2">
      <c r="A33" t="s">
        <v>72</v>
      </c>
      <c r="B33" t="s">
        <v>1420</v>
      </c>
      <c r="C33" t="s">
        <v>74</v>
      </c>
      <c r="D33" t="s">
        <v>74</v>
      </c>
      <c r="E33" t="s">
        <v>74</v>
      </c>
      <c r="F33" t="s">
        <v>1421</v>
      </c>
      <c r="G33" t="s">
        <v>74</v>
      </c>
      <c r="H33" t="s">
        <v>74</v>
      </c>
      <c r="I33" t="s">
        <v>1422</v>
      </c>
      <c r="J33" t="s">
        <v>1423</v>
      </c>
      <c r="K33" t="s">
        <v>74</v>
      </c>
      <c r="L33" t="s">
        <v>74</v>
      </c>
      <c r="M33" t="s">
        <v>74</v>
      </c>
      <c r="N33" t="s">
        <v>74</v>
      </c>
      <c r="O33" t="s">
        <v>74</v>
      </c>
      <c r="P33" t="s">
        <v>74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74</v>
      </c>
      <c r="Y33" t="s">
        <v>74</v>
      </c>
      <c r="Z33" t="s">
        <v>74</v>
      </c>
      <c r="AA33" t="s">
        <v>74</v>
      </c>
      <c r="AB33" t="s">
        <v>74</v>
      </c>
      <c r="AC33" t="s">
        <v>74</v>
      </c>
      <c r="AD33" t="s">
        <v>74</v>
      </c>
      <c r="AE33" t="s">
        <v>74</v>
      </c>
      <c r="AF33" t="s">
        <v>74</v>
      </c>
      <c r="AG33" t="s">
        <v>74</v>
      </c>
      <c r="AH33" t="s">
        <v>74</v>
      </c>
      <c r="AI33" t="s">
        <v>74</v>
      </c>
      <c r="AJ33" t="s">
        <v>74</v>
      </c>
      <c r="AK33" t="s">
        <v>74</v>
      </c>
      <c r="AL33" t="s">
        <v>74</v>
      </c>
      <c r="AM33" t="s">
        <v>74</v>
      </c>
      <c r="AN33" t="s">
        <v>74</v>
      </c>
      <c r="AO33" t="s">
        <v>74</v>
      </c>
      <c r="AP33" t="s">
        <v>1424</v>
      </c>
      <c r="AQ33" t="s">
        <v>74</v>
      </c>
      <c r="AR33" t="s">
        <v>74</v>
      </c>
      <c r="AS33" t="s">
        <v>74</v>
      </c>
      <c r="AT33" t="s">
        <v>416</v>
      </c>
      <c r="AU33">
        <v>2022</v>
      </c>
      <c r="AV33">
        <v>1</v>
      </c>
      <c r="AW33">
        <v>1</v>
      </c>
      <c r="AX33" t="s">
        <v>74</v>
      </c>
      <c r="AY33" t="s">
        <v>74</v>
      </c>
      <c r="AZ33" t="s">
        <v>74</v>
      </c>
      <c r="BA33" t="s">
        <v>74</v>
      </c>
      <c r="BB33" t="s">
        <v>74</v>
      </c>
      <c r="BC33" t="s">
        <v>74</v>
      </c>
      <c r="BD33">
        <v>100010</v>
      </c>
      <c r="BE33" t="s">
        <v>1425</v>
      </c>
      <c r="BF33" t="str">
        <f>HYPERLINK("http://dx.doi.org/10.1016/j.watbs.2022.100010","http://dx.doi.org/10.1016/j.watbs.2022.100010")</f>
        <v>http://dx.doi.org/10.1016/j.watbs.2022.100010</v>
      </c>
      <c r="BG33" t="s">
        <v>74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">
        <v>1426</v>
      </c>
      <c r="BT33" t="str">
        <f>HYPERLINK("https%3A%2F%2Fwww.webofscience.com%2Fwos%2Fwoscc%2Ffull-record%2FWOS:001129880800001","View Full Record in Web of Science")</f>
        <v>View Full Record in Web of Science</v>
      </c>
    </row>
    <row r="34" spans="1:72" x14ac:dyDescent="0.2">
      <c r="A34" t="s">
        <v>72</v>
      </c>
      <c r="B34" t="s">
        <v>1435</v>
      </c>
      <c r="C34" t="s">
        <v>74</v>
      </c>
      <c r="D34" t="s">
        <v>74</v>
      </c>
      <c r="E34" t="s">
        <v>74</v>
      </c>
      <c r="F34" t="s">
        <v>1436</v>
      </c>
      <c r="G34" t="s">
        <v>74</v>
      </c>
      <c r="H34" t="s">
        <v>74</v>
      </c>
      <c r="I34" t="s">
        <v>1437</v>
      </c>
      <c r="J34" t="s">
        <v>115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6852</v>
      </c>
      <c r="AB34" t="s">
        <v>382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116</v>
      </c>
      <c r="AP34" t="s">
        <v>117</v>
      </c>
      <c r="AQ34" t="s">
        <v>74</v>
      </c>
      <c r="AR34" t="s">
        <v>74</v>
      </c>
      <c r="AS34" t="s">
        <v>74</v>
      </c>
      <c r="AT34" t="s">
        <v>1438</v>
      </c>
      <c r="AU34">
        <v>2022</v>
      </c>
      <c r="AV34">
        <v>56</v>
      </c>
      <c r="AW34">
        <v>3</v>
      </c>
      <c r="AX34" t="s">
        <v>74</v>
      </c>
      <c r="AY34" t="s">
        <v>74</v>
      </c>
      <c r="AZ34" t="s">
        <v>74</v>
      </c>
      <c r="BA34" t="s">
        <v>74</v>
      </c>
      <c r="BB34">
        <v>1702</v>
      </c>
      <c r="BC34">
        <v>1712</v>
      </c>
      <c r="BD34" t="s">
        <v>74</v>
      </c>
      <c r="BE34" t="s">
        <v>1439</v>
      </c>
      <c r="BF34" t="str">
        <f>HYPERLINK("http://dx.doi.org/10.1021/acs.est.1c06286","http://dx.doi.org/10.1021/acs.est.1c06286")</f>
        <v>http://dx.doi.org/10.1021/acs.est.1c06286</v>
      </c>
      <c r="BG34" t="s">
        <v>74</v>
      </c>
      <c r="BH34" t="s">
        <v>1433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>
        <v>35014268</v>
      </c>
      <c r="BO34" t="s">
        <v>74</v>
      </c>
      <c r="BP34" t="s">
        <v>74</v>
      </c>
      <c r="BQ34" t="s">
        <v>74</v>
      </c>
      <c r="BR34" t="s">
        <v>74</v>
      </c>
      <c r="BS34" t="s">
        <v>1440</v>
      </c>
      <c r="BT34" t="str">
        <f>HYPERLINK("https%3A%2F%2Fwww.webofscience.com%2Fwos%2Fwoscc%2Ffull-record%2FWOS:000743203600001","View Full Record in Web of Science")</f>
        <v>View Full Record in Web of Science</v>
      </c>
    </row>
    <row r="35" spans="1:72" x14ac:dyDescent="0.2">
      <c r="A35" t="s">
        <v>72</v>
      </c>
      <c r="B35" t="s">
        <v>1452</v>
      </c>
      <c r="C35" t="s">
        <v>74</v>
      </c>
      <c r="D35" t="s">
        <v>74</v>
      </c>
      <c r="E35" t="s">
        <v>74</v>
      </c>
      <c r="F35" t="s">
        <v>1453</v>
      </c>
      <c r="G35" t="s">
        <v>74</v>
      </c>
      <c r="H35" t="s">
        <v>74</v>
      </c>
      <c r="I35" t="s">
        <v>1454</v>
      </c>
      <c r="J35" t="s">
        <v>1455</v>
      </c>
      <c r="K35" t="s">
        <v>74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74</v>
      </c>
      <c r="T35" t="s">
        <v>74</v>
      </c>
      <c r="U35" t="s">
        <v>74</v>
      </c>
      <c r="V35" t="s">
        <v>74</v>
      </c>
      <c r="W35" t="s">
        <v>74</v>
      </c>
      <c r="X35" t="s">
        <v>74</v>
      </c>
      <c r="Y35" t="s">
        <v>74</v>
      </c>
      <c r="Z35" t="s">
        <v>74</v>
      </c>
      <c r="AA35" t="s">
        <v>495</v>
      </c>
      <c r="AB35" t="s">
        <v>1456</v>
      </c>
      <c r="AC35" t="s">
        <v>74</v>
      </c>
      <c r="AD35" t="s">
        <v>74</v>
      </c>
      <c r="AE35" t="s">
        <v>74</v>
      </c>
      <c r="AF35" t="s">
        <v>74</v>
      </c>
      <c r="AG35" t="s">
        <v>74</v>
      </c>
      <c r="AH35" t="s">
        <v>74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74</v>
      </c>
      <c r="AP35" t="s">
        <v>1457</v>
      </c>
      <c r="AQ35" t="s">
        <v>74</v>
      </c>
      <c r="AR35" t="s">
        <v>74</v>
      </c>
      <c r="AS35" t="s">
        <v>74</v>
      </c>
      <c r="AT35" t="s">
        <v>315</v>
      </c>
      <c r="AU35">
        <v>2022</v>
      </c>
      <c r="AV35">
        <v>10</v>
      </c>
      <c r="AW35">
        <v>1</v>
      </c>
      <c r="AX35" t="s">
        <v>74</v>
      </c>
      <c r="AY35" t="s">
        <v>74</v>
      </c>
      <c r="AZ35" t="s">
        <v>74</v>
      </c>
      <c r="BA35" t="s">
        <v>74</v>
      </c>
      <c r="BB35" t="s">
        <v>74</v>
      </c>
      <c r="BC35" t="s">
        <v>74</v>
      </c>
      <c r="BD35">
        <v>182</v>
      </c>
      <c r="BE35" t="s">
        <v>1458</v>
      </c>
      <c r="BF35" t="str">
        <f>HYPERLINK("http://dx.doi.org/10.3390/microorganisms10010182","http://dx.doi.org/10.3390/microorganisms10010182")</f>
        <v>http://dx.doi.org/10.3390/microorganisms10010182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>
        <v>35056631</v>
      </c>
      <c r="BO35" t="s">
        <v>74</v>
      </c>
      <c r="BP35" t="s">
        <v>74</v>
      </c>
      <c r="BQ35" t="s">
        <v>74</v>
      </c>
      <c r="BR35" t="s">
        <v>74</v>
      </c>
      <c r="BS35" t="s">
        <v>1459</v>
      </c>
      <c r="BT35" t="str">
        <f>HYPERLINK("https%3A%2F%2Fwww.webofscience.com%2Fwos%2Fwoscc%2Ffull-record%2FWOS:000746245200001","View Full Record in Web of Science")</f>
        <v>View Full Record in Web of Science</v>
      </c>
    </row>
    <row r="36" spans="1:72" x14ac:dyDescent="0.2">
      <c r="A36" t="s">
        <v>72</v>
      </c>
      <c r="B36" t="s">
        <v>1509</v>
      </c>
      <c r="C36" t="s">
        <v>74</v>
      </c>
      <c r="D36" t="s">
        <v>74</v>
      </c>
      <c r="E36" t="s">
        <v>74</v>
      </c>
      <c r="F36" t="s">
        <v>1510</v>
      </c>
      <c r="G36" t="s">
        <v>74</v>
      </c>
      <c r="H36" t="s">
        <v>74</v>
      </c>
      <c r="I36" t="s">
        <v>1511</v>
      </c>
      <c r="J36" t="s">
        <v>350</v>
      </c>
      <c r="K36" t="s">
        <v>74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6859</v>
      </c>
      <c r="AB36" t="s">
        <v>6860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 t="s">
        <v>74</v>
      </c>
      <c r="AK36" t="s">
        <v>74</v>
      </c>
      <c r="AL36" t="s">
        <v>74</v>
      </c>
      <c r="AM36" t="s">
        <v>74</v>
      </c>
      <c r="AN36" t="s">
        <v>74</v>
      </c>
      <c r="AO36" t="s">
        <v>352</v>
      </c>
      <c r="AP36" t="s">
        <v>353</v>
      </c>
      <c r="AQ36" t="s">
        <v>74</v>
      </c>
      <c r="AR36" t="s">
        <v>74</v>
      </c>
      <c r="AS36" t="s">
        <v>74</v>
      </c>
      <c r="AT36" t="s">
        <v>157</v>
      </c>
      <c r="AU36">
        <v>2022</v>
      </c>
      <c r="AV36">
        <v>29</v>
      </c>
      <c r="AW36">
        <v>13</v>
      </c>
      <c r="AX36" t="s">
        <v>74</v>
      </c>
      <c r="AY36" t="s">
        <v>74</v>
      </c>
      <c r="AZ36" t="s">
        <v>74</v>
      </c>
      <c r="BA36" t="s">
        <v>74</v>
      </c>
      <c r="BB36">
        <v>18653</v>
      </c>
      <c r="BC36">
        <v>18664</v>
      </c>
      <c r="BD36" t="s">
        <v>74</v>
      </c>
      <c r="BE36" t="s">
        <v>1512</v>
      </c>
      <c r="BF36" t="str">
        <f>HYPERLINK("http://dx.doi.org/10.1007/s11356-021-16994-6","http://dx.doi.org/10.1007/s11356-021-16994-6")</f>
        <v>http://dx.doi.org/10.1007/s11356-021-16994-6</v>
      </c>
      <c r="BG36" t="s">
        <v>74</v>
      </c>
      <c r="BH36" t="s">
        <v>1513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>
        <v>34697712</v>
      </c>
      <c r="BO36" t="s">
        <v>74</v>
      </c>
      <c r="BP36" t="s">
        <v>74</v>
      </c>
      <c r="BQ36" t="s">
        <v>74</v>
      </c>
      <c r="BR36" t="s">
        <v>74</v>
      </c>
      <c r="BS36" t="s">
        <v>1514</v>
      </c>
      <c r="BT36" t="str">
        <f>HYPERLINK("https%3A%2F%2Fwww.webofscience.com%2Fwos%2Fwoscc%2Ffull-record%2FWOS:000710859800009","View Full Record in Web of Science")</f>
        <v>View Full Record in Web of Science</v>
      </c>
    </row>
    <row r="37" spans="1:72" x14ac:dyDescent="0.2">
      <c r="A37" t="s">
        <v>72</v>
      </c>
      <c r="B37" t="s">
        <v>1529</v>
      </c>
      <c r="C37" t="s">
        <v>74</v>
      </c>
      <c r="D37" t="s">
        <v>74</v>
      </c>
      <c r="E37" t="s">
        <v>74</v>
      </c>
      <c r="F37" t="s">
        <v>1530</v>
      </c>
      <c r="G37" t="s">
        <v>74</v>
      </c>
      <c r="H37" t="s">
        <v>74</v>
      </c>
      <c r="I37" t="s">
        <v>1531</v>
      </c>
      <c r="J37" t="s">
        <v>1532</v>
      </c>
      <c r="K37" t="s">
        <v>74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74</v>
      </c>
      <c r="V37" t="s">
        <v>74</v>
      </c>
      <c r="W37" t="s">
        <v>74</v>
      </c>
      <c r="X37" t="s">
        <v>74</v>
      </c>
      <c r="Y37" t="s">
        <v>74</v>
      </c>
      <c r="Z37" t="s">
        <v>74</v>
      </c>
      <c r="AA37" t="s">
        <v>1533</v>
      </c>
      <c r="AB37" t="s">
        <v>1534</v>
      </c>
      <c r="AC37" t="s">
        <v>74</v>
      </c>
      <c r="AD37" t="s">
        <v>74</v>
      </c>
      <c r="AE37" t="s">
        <v>74</v>
      </c>
      <c r="AF37" t="s">
        <v>74</v>
      </c>
      <c r="AG37" t="s">
        <v>74</v>
      </c>
      <c r="AH37" t="s">
        <v>74</v>
      </c>
      <c r="AI37" t="s">
        <v>74</v>
      </c>
      <c r="AJ37" t="s">
        <v>74</v>
      </c>
      <c r="AK37" t="s">
        <v>74</v>
      </c>
      <c r="AL37" t="s">
        <v>74</v>
      </c>
      <c r="AM37" t="s">
        <v>74</v>
      </c>
      <c r="AN37" t="s">
        <v>74</v>
      </c>
      <c r="AO37" t="s">
        <v>1535</v>
      </c>
      <c r="AP37" t="s">
        <v>1536</v>
      </c>
      <c r="AQ37" t="s">
        <v>74</v>
      </c>
      <c r="AR37" t="s">
        <v>74</v>
      </c>
      <c r="AS37" t="s">
        <v>74</v>
      </c>
      <c r="AT37" t="s">
        <v>335</v>
      </c>
      <c r="AU37">
        <v>2021</v>
      </c>
      <c r="AV37">
        <v>106</v>
      </c>
      <c r="AW37" t="s">
        <v>1537</v>
      </c>
      <c r="AX37" t="s">
        <v>74</v>
      </c>
      <c r="AY37" t="s">
        <v>74</v>
      </c>
      <c r="AZ37" t="s">
        <v>74</v>
      </c>
      <c r="BA37" t="s">
        <v>74</v>
      </c>
      <c r="BB37">
        <v>226</v>
      </c>
      <c r="BC37">
        <v>238</v>
      </c>
      <c r="BD37" t="s">
        <v>74</v>
      </c>
      <c r="BE37" t="s">
        <v>1538</v>
      </c>
      <c r="BF37" t="str">
        <f>HYPERLINK("http://dx.doi.org/10.1002/iroh.202102105","http://dx.doi.org/10.1002/iroh.202102105")</f>
        <v>http://dx.doi.org/10.1002/iroh.202102105</v>
      </c>
      <c r="BG37" t="s">
        <v>74</v>
      </c>
      <c r="BH37" t="s">
        <v>1513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 t="s">
        <v>74</v>
      </c>
      <c r="BR37" t="s">
        <v>74</v>
      </c>
      <c r="BS37" t="s">
        <v>1539</v>
      </c>
      <c r="BT37" t="str">
        <f>HYPERLINK("https%3A%2F%2Fwww.webofscience.com%2Fwos%2Fwoscc%2Ffull-record%2FWOS:000703186600001","View Full Record in Web of Science")</f>
        <v>View Full Record in Web of Science</v>
      </c>
    </row>
    <row r="38" spans="1:72" x14ac:dyDescent="0.2">
      <c r="A38" t="s">
        <v>72</v>
      </c>
      <c r="B38" t="s">
        <v>1551</v>
      </c>
      <c r="C38" t="s">
        <v>74</v>
      </c>
      <c r="D38" t="s">
        <v>74</v>
      </c>
      <c r="E38" t="s">
        <v>74</v>
      </c>
      <c r="F38" t="s">
        <v>1552</v>
      </c>
      <c r="G38" t="s">
        <v>74</v>
      </c>
      <c r="H38" t="s">
        <v>74</v>
      </c>
      <c r="I38" t="s">
        <v>1553</v>
      </c>
      <c r="J38" t="s">
        <v>1554</v>
      </c>
      <c r="K38" t="s">
        <v>74</v>
      </c>
      <c r="L38" t="s">
        <v>74</v>
      </c>
      <c r="M38" t="s">
        <v>74</v>
      </c>
      <c r="N38" t="s">
        <v>74</v>
      </c>
      <c r="O38" t="s">
        <v>74</v>
      </c>
      <c r="P38" t="s">
        <v>74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74</v>
      </c>
      <c r="Y38" t="s">
        <v>74</v>
      </c>
      <c r="Z38" t="s">
        <v>74</v>
      </c>
      <c r="AA38" t="s">
        <v>6863</v>
      </c>
      <c r="AB38" t="s">
        <v>6864</v>
      </c>
      <c r="AC38" t="s">
        <v>74</v>
      </c>
      <c r="AD38" t="s">
        <v>74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1555</v>
      </c>
      <c r="AP38" t="s">
        <v>1556</v>
      </c>
      <c r="AQ38" t="s">
        <v>74</v>
      </c>
      <c r="AR38" t="s">
        <v>74</v>
      </c>
      <c r="AS38" t="s">
        <v>74</v>
      </c>
      <c r="AT38" t="s">
        <v>203</v>
      </c>
      <c r="AU38">
        <v>2022</v>
      </c>
      <c r="AV38">
        <v>47</v>
      </c>
      <c r="AW38">
        <v>2</v>
      </c>
      <c r="AX38" t="s">
        <v>74</v>
      </c>
      <c r="AY38" t="s">
        <v>74</v>
      </c>
      <c r="AZ38" t="s">
        <v>74</v>
      </c>
      <c r="BA38" t="s">
        <v>74</v>
      </c>
      <c r="BB38">
        <v>291</v>
      </c>
      <c r="BC38">
        <v>305</v>
      </c>
      <c r="BD38" t="s">
        <v>74</v>
      </c>
      <c r="BE38" t="s">
        <v>1557</v>
      </c>
      <c r="BF38" t="str">
        <f>HYPERLINK("http://dx.doi.org/10.1111/aec.13110","http://dx.doi.org/10.1111/aec.13110")</f>
        <v>http://dx.doi.org/10.1111/aec.13110</v>
      </c>
      <c r="BG38" t="s">
        <v>74</v>
      </c>
      <c r="BH38" t="s">
        <v>1549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R38" t="s">
        <v>74</v>
      </c>
      <c r="BS38" t="s">
        <v>1558</v>
      </c>
      <c r="BT38" t="str">
        <f>HYPERLINK("https%3A%2F%2Fwww.webofscience.com%2Fwos%2Fwoscc%2Ffull-record%2FWOS:000695558200001","View Full Record in Web of Science")</f>
        <v>View Full Record in Web of Science</v>
      </c>
    </row>
    <row r="39" spans="1:72" x14ac:dyDescent="0.2">
      <c r="A39" t="s">
        <v>72</v>
      </c>
      <c r="B39" t="s">
        <v>1599</v>
      </c>
      <c r="C39" t="s">
        <v>74</v>
      </c>
      <c r="D39" t="s">
        <v>74</v>
      </c>
      <c r="E39" t="s">
        <v>74</v>
      </c>
      <c r="F39" t="s">
        <v>1600</v>
      </c>
      <c r="G39" t="s">
        <v>74</v>
      </c>
      <c r="H39" t="s">
        <v>74</v>
      </c>
      <c r="I39" t="s">
        <v>1601</v>
      </c>
      <c r="J39" t="s">
        <v>350</v>
      </c>
      <c r="K39" t="s">
        <v>74</v>
      </c>
      <c r="L39" t="s">
        <v>74</v>
      </c>
      <c r="M39" t="s">
        <v>74</v>
      </c>
      <c r="N39" t="s">
        <v>74</v>
      </c>
      <c r="O39" t="s">
        <v>74</v>
      </c>
      <c r="P39" t="s">
        <v>74</v>
      </c>
      <c r="Q39" t="s">
        <v>74</v>
      </c>
      <c r="R39" t="s">
        <v>74</v>
      </c>
      <c r="S39" t="s">
        <v>74</v>
      </c>
      <c r="T39" t="s">
        <v>74</v>
      </c>
      <c r="U39" t="s">
        <v>74</v>
      </c>
      <c r="V39" t="s">
        <v>74</v>
      </c>
      <c r="W39" t="s">
        <v>74</v>
      </c>
      <c r="X39" t="s">
        <v>74</v>
      </c>
      <c r="Y39" t="s">
        <v>74</v>
      </c>
      <c r="Z39" t="s">
        <v>74</v>
      </c>
      <c r="AA39" t="s">
        <v>1602</v>
      </c>
      <c r="AB39" t="s">
        <v>74</v>
      </c>
      <c r="AC39" t="s">
        <v>74</v>
      </c>
      <c r="AD39" t="s">
        <v>74</v>
      </c>
      <c r="AE39" t="s">
        <v>74</v>
      </c>
      <c r="AF39" t="s">
        <v>74</v>
      </c>
      <c r="AG39" t="s">
        <v>74</v>
      </c>
      <c r="AH39" t="s">
        <v>74</v>
      </c>
      <c r="AI39" t="s">
        <v>74</v>
      </c>
      <c r="AJ39" t="s">
        <v>74</v>
      </c>
      <c r="AK39" t="s">
        <v>74</v>
      </c>
      <c r="AL39" t="s">
        <v>74</v>
      </c>
      <c r="AM39" t="s">
        <v>74</v>
      </c>
      <c r="AN39" t="s">
        <v>74</v>
      </c>
      <c r="AO39" t="s">
        <v>352</v>
      </c>
      <c r="AP39" t="s">
        <v>353</v>
      </c>
      <c r="AQ39" t="s">
        <v>74</v>
      </c>
      <c r="AR39" t="s">
        <v>74</v>
      </c>
      <c r="AS39" t="s">
        <v>74</v>
      </c>
      <c r="AT39" t="s">
        <v>315</v>
      </c>
      <c r="AU39">
        <v>2022</v>
      </c>
      <c r="AV39">
        <v>29</v>
      </c>
      <c r="AW39">
        <v>2</v>
      </c>
      <c r="AX39" t="s">
        <v>74</v>
      </c>
      <c r="AY39" t="s">
        <v>74</v>
      </c>
      <c r="AZ39" t="s">
        <v>74</v>
      </c>
      <c r="BA39" t="s">
        <v>74</v>
      </c>
      <c r="BB39">
        <v>2783</v>
      </c>
      <c r="BC39">
        <v>2791</v>
      </c>
      <c r="BD39" t="s">
        <v>74</v>
      </c>
      <c r="BE39" t="s">
        <v>1603</v>
      </c>
      <c r="BF39" t="str">
        <f>HYPERLINK("http://dx.doi.org/10.1007/s11356-021-15802-5","http://dx.doi.org/10.1007/s11356-021-15802-5")</f>
        <v>http://dx.doi.org/10.1007/s11356-021-15802-5</v>
      </c>
      <c r="BG39" t="s">
        <v>74</v>
      </c>
      <c r="BH39" t="s">
        <v>1590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>
        <v>34378129</v>
      </c>
      <c r="BO39" t="s">
        <v>74</v>
      </c>
      <c r="BP39" t="s">
        <v>74</v>
      </c>
      <c r="BQ39" t="s">
        <v>74</v>
      </c>
      <c r="BR39" t="s">
        <v>74</v>
      </c>
      <c r="BS39" t="s">
        <v>1604</v>
      </c>
      <c r="BT39" t="str">
        <f>HYPERLINK("https%3A%2F%2Fwww.webofscience.com%2Fwos%2Fwoscc%2Ffull-record%2FWOS:000683692400011","View Full Record in Web of Science")</f>
        <v>View Full Record in Web of Science</v>
      </c>
    </row>
    <row r="40" spans="1:72" x14ac:dyDescent="0.2">
      <c r="A40" t="s">
        <v>72</v>
      </c>
      <c r="B40" t="s">
        <v>1605</v>
      </c>
      <c r="C40" t="s">
        <v>74</v>
      </c>
      <c r="D40" t="s">
        <v>74</v>
      </c>
      <c r="E40" t="s">
        <v>74</v>
      </c>
      <c r="F40" t="s">
        <v>1606</v>
      </c>
      <c r="G40" t="s">
        <v>74</v>
      </c>
      <c r="H40" t="s">
        <v>74</v>
      </c>
      <c r="I40" t="s">
        <v>1607</v>
      </c>
      <c r="J40" t="s">
        <v>218</v>
      </c>
      <c r="K40" t="s">
        <v>74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74</v>
      </c>
      <c r="V40" t="s">
        <v>74</v>
      </c>
      <c r="W40" t="s">
        <v>74</v>
      </c>
      <c r="X40" t="s">
        <v>74</v>
      </c>
      <c r="Y40" t="s">
        <v>74</v>
      </c>
      <c r="Z40" t="s">
        <v>74</v>
      </c>
      <c r="AA40" t="s">
        <v>6865</v>
      </c>
      <c r="AB40" t="s">
        <v>1608</v>
      </c>
      <c r="AC40" t="s">
        <v>74</v>
      </c>
      <c r="AD40" t="s">
        <v>74</v>
      </c>
      <c r="AE40" t="s">
        <v>74</v>
      </c>
      <c r="AF40" t="s">
        <v>74</v>
      </c>
      <c r="AG40" t="s">
        <v>74</v>
      </c>
      <c r="AH40" t="s">
        <v>74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220</v>
      </c>
      <c r="AP40" t="s">
        <v>74</v>
      </c>
      <c r="AQ40" t="s">
        <v>74</v>
      </c>
      <c r="AR40" t="s">
        <v>74</v>
      </c>
      <c r="AS40" t="s">
        <v>74</v>
      </c>
      <c r="AT40" t="s">
        <v>1609</v>
      </c>
      <c r="AU40">
        <v>2021</v>
      </c>
      <c r="AV40">
        <v>11</v>
      </c>
      <c r="AW40">
        <v>1</v>
      </c>
      <c r="AX40" t="s">
        <v>74</v>
      </c>
      <c r="AY40" t="s">
        <v>74</v>
      </c>
      <c r="AZ40" t="s">
        <v>74</v>
      </c>
      <c r="BA40" t="s">
        <v>74</v>
      </c>
      <c r="BB40" t="s">
        <v>74</v>
      </c>
      <c r="BC40" t="s">
        <v>74</v>
      </c>
      <c r="BD40">
        <v>16130</v>
      </c>
      <c r="BE40" t="s">
        <v>1610</v>
      </c>
      <c r="BF40" t="str">
        <f>HYPERLINK("http://dx.doi.org/10.1038/s41598-021-95223-z","http://dx.doi.org/10.1038/s41598-021-95223-z")</f>
        <v>http://dx.doi.org/10.1038/s41598-021-95223-z</v>
      </c>
      <c r="BG40" t="s">
        <v>74</v>
      </c>
      <c r="BH40" t="s">
        <v>74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>
        <v>34373491</v>
      </c>
      <c r="BO40" t="s">
        <v>74</v>
      </c>
      <c r="BP40" t="s">
        <v>74</v>
      </c>
      <c r="BQ40" t="s">
        <v>74</v>
      </c>
      <c r="BR40" t="s">
        <v>74</v>
      </c>
      <c r="BS40" t="s">
        <v>1611</v>
      </c>
      <c r="BT40" t="str">
        <f>HYPERLINK("https%3A%2F%2Fwww.webofscience.com%2Fwos%2Fwoscc%2Ffull-record%2FWOS:000683506200040","View Full Record in Web of Science")</f>
        <v>View Full Record in Web of Science</v>
      </c>
    </row>
    <row r="41" spans="1:72" x14ac:dyDescent="0.2">
      <c r="A41" t="s">
        <v>72</v>
      </c>
      <c r="B41" t="s">
        <v>1664</v>
      </c>
      <c r="C41" t="s">
        <v>74</v>
      </c>
      <c r="D41" t="s">
        <v>74</v>
      </c>
      <c r="E41" t="s">
        <v>74</v>
      </c>
      <c r="F41" t="s">
        <v>1665</v>
      </c>
      <c r="G41" t="s">
        <v>74</v>
      </c>
      <c r="H41" t="s">
        <v>74</v>
      </c>
      <c r="I41" t="s">
        <v>1666</v>
      </c>
      <c r="J41" t="s">
        <v>227</v>
      </c>
      <c r="K41" t="s">
        <v>74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  <c r="T41" t="s">
        <v>74</v>
      </c>
      <c r="U41" t="s">
        <v>74</v>
      </c>
      <c r="V41" t="s">
        <v>74</v>
      </c>
      <c r="W41" t="s">
        <v>74</v>
      </c>
      <c r="X41" t="s">
        <v>74</v>
      </c>
      <c r="Y41" t="s">
        <v>74</v>
      </c>
      <c r="Z41" t="s">
        <v>74</v>
      </c>
      <c r="AA41" t="s">
        <v>6868</v>
      </c>
      <c r="AB41" t="s">
        <v>382</v>
      </c>
      <c r="AC41" t="s">
        <v>74</v>
      </c>
      <c r="AD41" t="s">
        <v>74</v>
      </c>
      <c r="AE41" t="s">
        <v>74</v>
      </c>
      <c r="AF41" t="s">
        <v>74</v>
      </c>
      <c r="AG41" t="s">
        <v>74</v>
      </c>
      <c r="AH41" t="s">
        <v>74</v>
      </c>
      <c r="AI41" t="s">
        <v>74</v>
      </c>
      <c r="AJ41" t="s">
        <v>74</v>
      </c>
      <c r="AK41" t="s">
        <v>74</v>
      </c>
      <c r="AL41" t="s">
        <v>74</v>
      </c>
      <c r="AM41" t="s">
        <v>74</v>
      </c>
      <c r="AN41" t="s">
        <v>74</v>
      </c>
      <c r="AO41" t="s">
        <v>230</v>
      </c>
      <c r="AP41" t="s">
        <v>231</v>
      </c>
      <c r="AQ41" t="s">
        <v>74</v>
      </c>
      <c r="AR41" t="s">
        <v>74</v>
      </c>
      <c r="AS41" t="s">
        <v>74</v>
      </c>
      <c r="AT41" t="s">
        <v>520</v>
      </c>
      <c r="AU41">
        <v>2021</v>
      </c>
      <c r="AV41">
        <v>66</v>
      </c>
      <c r="AW41">
        <v>8</v>
      </c>
      <c r="AX41" t="s">
        <v>74</v>
      </c>
      <c r="AY41" t="s">
        <v>74</v>
      </c>
      <c r="AZ41" t="s">
        <v>74</v>
      </c>
      <c r="BA41" t="s">
        <v>74</v>
      </c>
      <c r="BB41">
        <v>3237</v>
      </c>
      <c r="BC41">
        <v>3252</v>
      </c>
      <c r="BD41" t="s">
        <v>74</v>
      </c>
      <c r="BE41" t="s">
        <v>1667</v>
      </c>
      <c r="BF41" t="str">
        <f>HYPERLINK("http://dx.doi.org/10.1002/lno.11876","http://dx.doi.org/10.1002/lno.11876")</f>
        <v>http://dx.doi.org/10.1002/lno.11876</v>
      </c>
      <c r="BG41" t="s">
        <v>74</v>
      </c>
      <c r="BH41" t="s">
        <v>1650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 t="s">
        <v>74</v>
      </c>
      <c r="BR41" t="s">
        <v>74</v>
      </c>
      <c r="BS41" t="s">
        <v>1668</v>
      </c>
      <c r="BT41" t="str">
        <f>HYPERLINK("https%3A%2F%2Fwww.webofscience.com%2Fwos%2Fwoscc%2Ffull-record%2FWOS:000662728000001","View Full Record in Web of Science")</f>
        <v>View Full Record in Web of Science</v>
      </c>
    </row>
    <row r="42" spans="1:72" x14ac:dyDescent="0.2">
      <c r="A42" t="s">
        <v>72</v>
      </c>
      <c r="B42" t="s">
        <v>1669</v>
      </c>
      <c r="C42" t="s">
        <v>74</v>
      </c>
      <c r="D42" t="s">
        <v>74</v>
      </c>
      <c r="E42" t="s">
        <v>74</v>
      </c>
      <c r="F42" t="s">
        <v>1670</v>
      </c>
      <c r="G42" t="s">
        <v>74</v>
      </c>
      <c r="H42" t="s">
        <v>74</v>
      </c>
      <c r="I42" t="s">
        <v>1671</v>
      </c>
      <c r="J42" t="s">
        <v>502</v>
      </c>
      <c r="K42" t="s">
        <v>74</v>
      </c>
      <c r="L42" t="s">
        <v>74</v>
      </c>
      <c r="M42" t="s">
        <v>74</v>
      </c>
      <c r="N42" t="s">
        <v>74</v>
      </c>
      <c r="O42" t="s">
        <v>74</v>
      </c>
      <c r="P42" t="s">
        <v>74</v>
      </c>
      <c r="Q42" t="s">
        <v>74</v>
      </c>
      <c r="R42" t="s">
        <v>74</v>
      </c>
      <c r="S42" t="s">
        <v>74</v>
      </c>
      <c r="T42" t="s">
        <v>74</v>
      </c>
      <c r="U42" t="s">
        <v>74</v>
      </c>
      <c r="V42" t="s">
        <v>74</v>
      </c>
      <c r="W42" t="s">
        <v>74</v>
      </c>
      <c r="X42" t="s">
        <v>74</v>
      </c>
      <c r="Y42" t="s">
        <v>74</v>
      </c>
      <c r="Z42" t="s">
        <v>74</v>
      </c>
      <c r="AA42" t="s">
        <v>6869</v>
      </c>
      <c r="AB42" t="s">
        <v>6870</v>
      </c>
      <c r="AC42" t="s">
        <v>74</v>
      </c>
      <c r="AD42" t="s">
        <v>74</v>
      </c>
      <c r="AE42" t="s">
        <v>74</v>
      </c>
      <c r="AF42" t="s">
        <v>74</v>
      </c>
      <c r="AG42" t="s">
        <v>74</v>
      </c>
      <c r="AH42" t="s">
        <v>74</v>
      </c>
      <c r="AI42" t="s">
        <v>74</v>
      </c>
      <c r="AJ42" t="s">
        <v>74</v>
      </c>
      <c r="AK42" t="s">
        <v>74</v>
      </c>
      <c r="AL42" t="s">
        <v>74</v>
      </c>
      <c r="AM42" t="s">
        <v>74</v>
      </c>
      <c r="AN42" t="s">
        <v>74</v>
      </c>
      <c r="AO42" t="s">
        <v>503</v>
      </c>
      <c r="AP42" t="s">
        <v>504</v>
      </c>
      <c r="AQ42" t="s">
        <v>74</v>
      </c>
      <c r="AR42" t="s">
        <v>74</v>
      </c>
      <c r="AS42" t="s">
        <v>74</v>
      </c>
      <c r="AT42" t="s">
        <v>406</v>
      </c>
      <c r="AU42">
        <v>2021</v>
      </c>
      <c r="AV42">
        <v>129</v>
      </c>
      <c r="AW42" t="s">
        <v>74</v>
      </c>
      <c r="AX42" t="s">
        <v>74</v>
      </c>
      <c r="AY42" t="s">
        <v>74</v>
      </c>
      <c r="AZ42" t="s">
        <v>74</v>
      </c>
      <c r="BA42" t="s">
        <v>74</v>
      </c>
      <c r="BB42" t="s">
        <v>74</v>
      </c>
      <c r="BC42" t="s">
        <v>74</v>
      </c>
      <c r="BD42">
        <v>107891</v>
      </c>
      <c r="BE42" t="s">
        <v>1672</v>
      </c>
      <c r="BF42" t="str">
        <f>HYPERLINK("http://dx.doi.org/10.1016/j.ecolind.2021.107891","http://dx.doi.org/10.1016/j.ecolind.2021.107891")</f>
        <v>http://dx.doi.org/10.1016/j.ecolind.2021.107891</v>
      </c>
      <c r="BG42" t="s">
        <v>74</v>
      </c>
      <c r="BH42" t="s">
        <v>1650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 t="s">
        <v>1673</v>
      </c>
      <c r="BT42" t="str">
        <f>HYPERLINK("https%3A%2F%2Fwww.webofscience.com%2Fwos%2Fwoscc%2Ffull-record%2FWOS:000685000000004","View Full Record in Web of Science")</f>
        <v>View Full Record in Web of Science</v>
      </c>
    </row>
    <row r="43" spans="1:72" x14ac:dyDescent="0.2">
      <c r="A43" t="s">
        <v>72</v>
      </c>
      <c r="B43" t="s">
        <v>1696</v>
      </c>
      <c r="C43" t="s">
        <v>74</v>
      </c>
      <c r="D43" t="s">
        <v>74</v>
      </c>
      <c r="E43" t="s">
        <v>74</v>
      </c>
      <c r="F43" t="s">
        <v>1697</v>
      </c>
      <c r="G43" t="s">
        <v>74</v>
      </c>
      <c r="H43" t="s">
        <v>74</v>
      </c>
      <c r="I43" t="s">
        <v>1698</v>
      </c>
      <c r="J43" t="s">
        <v>331</v>
      </c>
      <c r="K43" t="s">
        <v>74</v>
      </c>
      <c r="L43" t="s">
        <v>74</v>
      </c>
      <c r="M43" t="s">
        <v>74</v>
      </c>
      <c r="N43" t="s">
        <v>74</v>
      </c>
      <c r="O43" t="s">
        <v>74</v>
      </c>
      <c r="P43" t="s">
        <v>74</v>
      </c>
      <c r="Q43" t="s">
        <v>74</v>
      </c>
      <c r="R43" t="s">
        <v>74</v>
      </c>
      <c r="S43" t="s">
        <v>74</v>
      </c>
      <c r="T43" t="s">
        <v>74</v>
      </c>
      <c r="U43" t="s">
        <v>74</v>
      </c>
      <c r="V43" t="s">
        <v>74</v>
      </c>
      <c r="W43" t="s">
        <v>74</v>
      </c>
      <c r="X43" t="s">
        <v>74</v>
      </c>
      <c r="Y43" t="s">
        <v>74</v>
      </c>
      <c r="Z43" t="s">
        <v>74</v>
      </c>
      <c r="AA43" t="s">
        <v>74</v>
      </c>
      <c r="AB43" t="s">
        <v>74</v>
      </c>
      <c r="AC43" t="s">
        <v>74</v>
      </c>
      <c r="AD43" t="s">
        <v>74</v>
      </c>
      <c r="AE43" t="s">
        <v>74</v>
      </c>
      <c r="AF43" t="s">
        <v>74</v>
      </c>
      <c r="AG43" t="s">
        <v>74</v>
      </c>
      <c r="AH43" t="s">
        <v>74</v>
      </c>
      <c r="AI43" t="s">
        <v>74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74</v>
      </c>
      <c r="AP43" t="s">
        <v>334</v>
      </c>
      <c r="AQ43" t="s">
        <v>74</v>
      </c>
      <c r="AR43" t="s">
        <v>74</v>
      </c>
      <c r="AS43" t="s">
        <v>74</v>
      </c>
      <c r="AT43" t="s">
        <v>569</v>
      </c>
      <c r="AU43">
        <v>2021</v>
      </c>
      <c r="AV43">
        <v>13</v>
      </c>
      <c r="AW43">
        <v>11</v>
      </c>
      <c r="AX43" t="s">
        <v>74</v>
      </c>
      <c r="AY43" t="s">
        <v>74</v>
      </c>
      <c r="AZ43" t="s">
        <v>74</v>
      </c>
      <c r="BA43" t="s">
        <v>74</v>
      </c>
      <c r="BB43" t="s">
        <v>74</v>
      </c>
      <c r="BC43" t="s">
        <v>74</v>
      </c>
      <c r="BD43">
        <v>1442</v>
      </c>
      <c r="BE43" t="s">
        <v>1699</v>
      </c>
      <c r="BF43" t="str">
        <f>HYPERLINK("http://dx.doi.org/10.3390/w13111442","http://dx.doi.org/10.3390/w13111442")</f>
        <v>http://dx.doi.org/10.3390/w13111442</v>
      </c>
      <c r="BG43" t="s">
        <v>74</v>
      </c>
      <c r="BH43" t="s">
        <v>74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 t="s">
        <v>74</v>
      </c>
      <c r="BR43" t="s">
        <v>74</v>
      </c>
      <c r="BS43" t="s">
        <v>1700</v>
      </c>
      <c r="BT43" t="str">
        <f>HYPERLINK("https%3A%2F%2Fwww.webofscience.com%2Fwos%2Fwoscc%2Ffull-record%2FWOS:000660840900001","View Full Record in Web of Science")</f>
        <v>View Full Record in Web of Science</v>
      </c>
    </row>
    <row r="44" spans="1:72" x14ac:dyDescent="0.2">
      <c r="A44" t="s">
        <v>72</v>
      </c>
      <c r="B44" t="s">
        <v>1773</v>
      </c>
      <c r="C44" t="s">
        <v>74</v>
      </c>
      <c r="D44" t="s">
        <v>74</v>
      </c>
      <c r="E44" t="s">
        <v>74</v>
      </c>
      <c r="F44" t="s">
        <v>1774</v>
      </c>
      <c r="G44" t="s">
        <v>74</v>
      </c>
      <c r="H44" t="s">
        <v>74</v>
      </c>
      <c r="I44" t="s">
        <v>1775</v>
      </c>
      <c r="J44" t="s">
        <v>1323</v>
      </c>
      <c r="K44" t="s">
        <v>74</v>
      </c>
      <c r="L44" t="s">
        <v>74</v>
      </c>
      <c r="M44" t="s">
        <v>74</v>
      </c>
      <c r="N44" t="s">
        <v>74</v>
      </c>
      <c r="O44" t="s">
        <v>74</v>
      </c>
      <c r="P44" t="s">
        <v>74</v>
      </c>
      <c r="Q44" t="s">
        <v>74</v>
      </c>
      <c r="R44" t="s">
        <v>74</v>
      </c>
      <c r="S44" t="s">
        <v>74</v>
      </c>
      <c r="T44" t="s">
        <v>74</v>
      </c>
      <c r="U44" t="s">
        <v>74</v>
      </c>
      <c r="V44" t="s">
        <v>74</v>
      </c>
      <c r="W44" t="s">
        <v>74</v>
      </c>
      <c r="X44" t="s">
        <v>74</v>
      </c>
      <c r="Y44" t="s">
        <v>74</v>
      </c>
      <c r="Z44" t="s">
        <v>74</v>
      </c>
      <c r="AA44" t="s">
        <v>74</v>
      </c>
      <c r="AB44" t="s">
        <v>6882</v>
      </c>
      <c r="AC44" t="s">
        <v>74</v>
      </c>
      <c r="AD44" t="s">
        <v>74</v>
      </c>
      <c r="AE44" t="s">
        <v>74</v>
      </c>
      <c r="AF44" t="s">
        <v>74</v>
      </c>
      <c r="AG44" t="s">
        <v>74</v>
      </c>
      <c r="AH44" t="s">
        <v>74</v>
      </c>
      <c r="AI44" t="s">
        <v>74</v>
      </c>
      <c r="AJ44" t="s">
        <v>74</v>
      </c>
      <c r="AK44" t="s">
        <v>74</v>
      </c>
      <c r="AL44" t="s">
        <v>74</v>
      </c>
      <c r="AM44" t="s">
        <v>74</v>
      </c>
      <c r="AN44" t="s">
        <v>74</v>
      </c>
      <c r="AO44" t="s">
        <v>1326</v>
      </c>
      <c r="AP44" t="s">
        <v>1327</v>
      </c>
      <c r="AQ44" t="s">
        <v>74</v>
      </c>
      <c r="AR44" t="s">
        <v>74</v>
      </c>
      <c r="AS44" t="s">
        <v>74</v>
      </c>
      <c r="AT44" t="s">
        <v>203</v>
      </c>
      <c r="AU44">
        <v>2021</v>
      </c>
      <c r="AV44">
        <v>83</v>
      </c>
      <c r="AW44">
        <v>2</v>
      </c>
      <c r="AX44" t="s">
        <v>74</v>
      </c>
      <c r="AY44" t="s">
        <v>74</v>
      </c>
      <c r="AZ44" t="s">
        <v>74</v>
      </c>
      <c r="BA44" t="s">
        <v>74</v>
      </c>
      <c r="BB44" t="s">
        <v>74</v>
      </c>
      <c r="BC44" t="s">
        <v>74</v>
      </c>
      <c r="BD44">
        <v>28</v>
      </c>
      <c r="BE44" t="s">
        <v>1776</v>
      </c>
      <c r="BF44" t="str">
        <f>HYPERLINK("http://dx.doi.org/10.1007/s00027-021-00783-x","http://dx.doi.org/10.1007/s00027-021-00783-x")</f>
        <v>http://dx.doi.org/10.1007/s00027-021-00783-x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 t="s">
        <v>74</v>
      </c>
      <c r="BR44" t="s">
        <v>74</v>
      </c>
      <c r="BS44" t="s">
        <v>1777</v>
      </c>
      <c r="BT44" t="str">
        <f>HYPERLINK("https%3A%2F%2Fwww.webofscience.com%2Fwos%2Fwoscc%2Ffull-record%2FWOS:000619816400001","View Full Record in Web of Science")</f>
        <v>View Full Record in Web of Science</v>
      </c>
    </row>
    <row r="45" spans="1:72" x14ac:dyDescent="0.2">
      <c r="A45" t="s">
        <v>72</v>
      </c>
      <c r="B45" t="s">
        <v>1778</v>
      </c>
      <c r="C45" t="s">
        <v>74</v>
      </c>
      <c r="D45" t="s">
        <v>74</v>
      </c>
      <c r="E45" t="s">
        <v>74</v>
      </c>
      <c r="F45" t="s">
        <v>1779</v>
      </c>
      <c r="G45" t="s">
        <v>74</v>
      </c>
      <c r="H45" t="s">
        <v>74</v>
      </c>
      <c r="I45" t="s">
        <v>1780</v>
      </c>
      <c r="J45" t="s">
        <v>350</v>
      </c>
      <c r="K45" t="s">
        <v>74</v>
      </c>
      <c r="L45" t="s">
        <v>74</v>
      </c>
      <c r="M45" t="s">
        <v>74</v>
      </c>
      <c r="N45" t="s">
        <v>74</v>
      </c>
      <c r="O45" t="s">
        <v>74</v>
      </c>
      <c r="P45" t="s">
        <v>74</v>
      </c>
      <c r="Q45" t="s">
        <v>74</v>
      </c>
      <c r="R45" t="s">
        <v>74</v>
      </c>
      <c r="S45" t="s">
        <v>74</v>
      </c>
      <c r="T45" t="s">
        <v>74</v>
      </c>
      <c r="U45" t="s">
        <v>74</v>
      </c>
      <c r="V45" t="s">
        <v>74</v>
      </c>
      <c r="W45" t="s">
        <v>74</v>
      </c>
      <c r="X45" t="s">
        <v>74</v>
      </c>
      <c r="Y45" t="s">
        <v>74</v>
      </c>
      <c r="Z45" t="s">
        <v>74</v>
      </c>
      <c r="AA45" t="s">
        <v>1781</v>
      </c>
      <c r="AB45" t="s">
        <v>1782</v>
      </c>
      <c r="AC45" t="s">
        <v>74</v>
      </c>
      <c r="AD45" t="s">
        <v>74</v>
      </c>
      <c r="AE45" t="s">
        <v>74</v>
      </c>
      <c r="AF45" t="s">
        <v>74</v>
      </c>
      <c r="AG45" t="s">
        <v>74</v>
      </c>
      <c r="AH45" t="s">
        <v>74</v>
      </c>
      <c r="AI45" t="s">
        <v>74</v>
      </c>
      <c r="AJ45" t="s">
        <v>74</v>
      </c>
      <c r="AK45" t="s">
        <v>74</v>
      </c>
      <c r="AL45" t="s">
        <v>74</v>
      </c>
      <c r="AM45" t="s">
        <v>74</v>
      </c>
      <c r="AN45" t="s">
        <v>74</v>
      </c>
      <c r="AO45" t="s">
        <v>352</v>
      </c>
      <c r="AP45" t="s">
        <v>353</v>
      </c>
      <c r="AQ45" t="s">
        <v>74</v>
      </c>
      <c r="AR45" t="s">
        <v>74</v>
      </c>
      <c r="AS45" t="s">
        <v>74</v>
      </c>
      <c r="AT45" t="s">
        <v>624</v>
      </c>
      <c r="AU45">
        <v>2021</v>
      </c>
      <c r="AV45">
        <v>28</v>
      </c>
      <c r="AW45">
        <v>28</v>
      </c>
      <c r="AX45" t="s">
        <v>74</v>
      </c>
      <c r="AY45" t="s">
        <v>74</v>
      </c>
      <c r="AZ45" t="s">
        <v>74</v>
      </c>
      <c r="BA45" t="s">
        <v>74</v>
      </c>
      <c r="BB45">
        <v>38094</v>
      </c>
      <c r="BC45">
        <v>38105</v>
      </c>
      <c r="BD45" t="s">
        <v>74</v>
      </c>
      <c r="BE45" t="s">
        <v>1783</v>
      </c>
      <c r="BF45" t="str">
        <f>HYPERLINK("http://dx.doi.org/10.1007/s11356-021-13259-0","http://dx.doi.org/10.1007/s11356-021-13259-0")</f>
        <v>http://dx.doi.org/10.1007/s11356-021-13259-0</v>
      </c>
      <c r="BG45" t="s">
        <v>74</v>
      </c>
      <c r="BH45" t="s">
        <v>1784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>
        <v>33725304</v>
      </c>
      <c r="BO45" t="s">
        <v>74</v>
      </c>
      <c r="BP45" t="s">
        <v>74</v>
      </c>
      <c r="BQ45" t="s">
        <v>74</v>
      </c>
      <c r="BR45" t="s">
        <v>74</v>
      </c>
      <c r="BS45" t="s">
        <v>1785</v>
      </c>
      <c r="BT45" t="str">
        <f>HYPERLINK("https%3A%2F%2Fwww.webofscience.com%2Fwos%2Fwoscc%2Ffull-record%2FWOS:000629549300012","View Full Record in Web of Science")</f>
        <v>View Full Record in Web of Science</v>
      </c>
    </row>
    <row r="46" spans="1:72" x14ac:dyDescent="0.2">
      <c r="A46" t="s">
        <v>72</v>
      </c>
      <c r="B46" t="s">
        <v>1786</v>
      </c>
      <c r="C46" t="s">
        <v>74</v>
      </c>
      <c r="D46" t="s">
        <v>74</v>
      </c>
      <c r="E46" t="s">
        <v>74</v>
      </c>
      <c r="F46" t="s">
        <v>1787</v>
      </c>
      <c r="G46" t="s">
        <v>74</v>
      </c>
      <c r="H46" t="s">
        <v>74</v>
      </c>
      <c r="I46" t="s">
        <v>1788</v>
      </c>
      <c r="J46" t="s">
        <v>1789</v>
      </c>
      <c r="K46" t="s">
        <v>74</v>
      </c>
      <c r="L46" t="s">
        <v>74</v>
      </c>
      <c r="M46" t="s">
        <v>74</v>
      </c>
      <c r="N46" t="s">
        <v>74</v>
      </c>
      <c r="O46" t="s">
        <v>74</v>
      </c>
      <c r="P46" t="s">
        <v>74</v>
      </c>
      <c r="Q46" t="s">
        <v>74</v>
      </c>
      <c r="R46" t="s">
        <v>74</v>
      </c>
      <c r="S46" t="s">
        <v>74</v>
      </c>
      <c r="T46" t="s">
        <v>74</v>
      </c>
      <c r="U46" t="s">
        <v>74</v>
      </c>
      <c r="V46" t="s">
        <v>74</v>
      </c>
      <c r="W46" t="s">
        <v>74</v>
      </c>
      <c r="X46" t="s">
        <v>74</v>
      </c>
      <c r="Y46" t="s">
        <v>74</v>
      </c>
      <c r="Z46" t="s">
        <v>74</v>
      </c>
      <c r="AA46" t="s">
        <v>6883</v>
      </c>
      <c r="AB46" t="s">
        <v>6884</v>
      </c>
      <c r="AC46" t="s">
        <v>74</v>
      </c>
      <c r="AD46" t="s">
        <v>74</v>
      </c>
      <c r="AE46" t="s">
        <v>74</v>
      </c>
      <c r="AF46" t="s">
        <v>74</v>
      </c>
      <c r="AG46" t="s">
        <v>74</v>
      </c>
      <c r="AH46" t="s">
        <v>74</v>
      </c>
      <c r="AI46" t="s">
        <v>74</v>
      </c>
      <c r="AJ46" t="s">
        <v>74</v>
      </c>
      <c r="AK46" t="s">
        <v>74</v>
      </c>
      <c r="AL46" t="s">
        <v>74</v>
      </c>
      <c r="AM46" t="s">
        <v>74</v>
      </c>
      <c r="AN46" t="s">
        <v>74</v>
      </c>
      <c r="AO46" t="s">
        <v>1791</v>
      </c>
      <c r="AP46" t="s">
        <v>1792</v>
      </c>
      <c r="AQ46" t="s">
        <v>74</v>
      </c>
      <c r="AR46" t="s">
        <v>74</v>
      </c>
      <c r="AS46" t="s">
        <v>74</v>
      </c>
      <c r="AT46" t="s">
        <v>575</v>
      </c>
      <c r="AU46">
        <v>2021</v>
      </c>
      <c r="AV46">
        <v>36</v>
      </c>
      <c r="AW46">
        <v>3</v>
      </c>
      <c r="AX46" t="s">
        <v>74</v>
      </c>
      <c r="AY46" t="s">
        <v>74</v>
      </c>
      <c r="AZ46" t="s">
        <v>74</v>
      </c>
      <c r="BA46" t="s">
        <v>74</v>
      </c>
      <c r="BB46">
        <v>533</v>
      </c>
      <c r="BC46">
        <v>544</v>
      </c>
      <c r="BD46" t="s">
        <v>74</v>
      </c>
      <c r="BE46" t="s">
        <v>1793</v>
      </c>
      <c r="BF46" t="str">
        <f>HYPERLINK("http://dx.doi.org/10.1111/1440-1703.12216","http://dx.doi.org/10.1111/1440-1703.12216")</f>
        <v>http://dx.doi.org/10.1111/1440-1703.12216</v>
      </c>
      <c r="BG46" t="s">
        <v>74</v>
      </c>
      <c r="BH46" t="s">
        <v>1784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 t="s">
        <v>74</v>
      </c>
      <c r="BR46" t="s">
        <v>74</v>
      </c>
      <c r="BS46" t="s">
        <v>1794</v>
      </c>
      <c r="BT46" t="str">
        <f>HYPERLINK("https%3A%2F%2Fwww.webofscience.com%2Fwos%2Fwoscc%2Ffull-record%2FWOS:000625468900001","View Full Record in Web of Science")</f>
        <v>View Full Record in Web of Science</v>
      </c>
    </row>
    <row r="47" spans="1:72" x14ac:dyDescent="0.2">
      <c r="A47" t="s">
        <v>72</v>
      </c>
      <c r="B47" t="s">
        <v>1829</v>
      </c>
      <c r="C47" t="s">
        <v>74</v>
      </c>
      <c r="D47" t="s">
        <v>74</v>
      </c>
      <c r="E47" t="s">
        <v>74</v>
      </c>
      <c r="F47" t="s">
        <v>1830</v>
      </c>
      <c r="G47" t="s">
        <v>74</v>
      </c>
      <c r="H47" t="s">
        <v>74</v>
      </c>
      <c r="I47" t="s">
        <v>1831</v>
      </c>
      <c r="J47" t="s">
        <v>1832</v>
      </c>
      <c r="K47" t="s">
        <v>74</v>
      </c>
      <c r="L47" t="s">
        <v>74</v>
      </c>
      <c r="M47" t="s">
        <v>74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74</v>
      </c>
      <c r="T47" t="s">
        <v>74</v>
      </c>
      <c r="U47" t="s">
        <v>74</v>
      </c>
      <c r="V47" t="s">
        <v>74</v>
      </c>
      <c r="W47" t="s">
        <v>74</v>
      </c>
      <c r="X47" t="s">
        <v>74</v>
      </c>
      <c r="Y47" t="s">
        <v>74</v>
      </c>
      <c r="Z47" t="s">
        <v>74</v>
      </c>
      <c r="AA47" t="s">
        <v>74</v>
      </c>
      <c r="AB47" t="s">
        <v>1833</v>
      </c>
      <c r="AC47" t="s">
        <v>74</v>
      </c>
      <c r="AD47" t="s">
        <v>74</v>
      </c>
      <c r="AE47" t="s">
        <v>74</v>
      </c>
      <c r="AF47" t="s">
        <v>74</v>
      </c>
      <c r="AG47" t="s">
        <v>74</v>
      </c>
      <c r="AH47" t="s">
        <v>74</v>
      </c>
      <c r="AI47" t="s">
        <v>74</v>
      </c>
      <c r="AJ47" t="s">
        <v>74</v>
      </c>
      <c r="AK47" t="s">
        <v>74</v>
      </c>
      <c r="AL47" t="s">
        <v>74</v>
      </c>
      <c r="AM47" t="s">
        <v>74</v>
      </c>
      <c r="AN47" t="s">
        <v>74</v>
      </c>
      <c r="AO47" t="s">
        <v>1834</v>
      </c>
      <c r="AP47" t="s">
        <v>1835</v>
      </c>
      <c r="AQ47" t="s">
        <v>74</v>
      </c>
      <c r="AR47" t="s">
        <v>74</v>
      </c>
      <c r="AS47" t="s">
        <v>74</v>
      </c>
      <c r="AT47" t="s">
        <v>335</v>
      </c>
      <c r="AU47">
        <v>2021</v>
      </c>
      <c r="AV47">
        <v>44</v>
      </c>
      <c r="AW47">
        <v>7</v>
      </c>
      <c r="AX47" t="s">
        <v>74</v>
      </c>
      <c r="AY47" t="s">
        <v>74</v>
      </c>
      <c r="AZ47" t="s">
        <v>74</v>
      </c>
      <c r="BA47" t="s">
        <v>74</v>
      </c>
      <c r="BB47">
        <v>1752</v>
      </c>
      <c r="BC47">
        <v>1764</v>
      </c>
      <c r="BD47" t="s">
        <v>74</v>
      </c>
      <c r="BE47" t="s">
        <v>1836</v>
      </c>
      <c r="BF47" t="str">
        <f>HYPERLINK("http://dx.doi.org/10.1007/s12237-021-00904-7","http://dx.doi.org/10.1007/s12237-021-00904-7")</f>
        <v>http://dx.doi.org/10.1007/s12237-021-00904-7</v>
      </c>
      <c r="BG47" t="s">
        <v>74</v>
      </c>
      <c r="BH47" t="s">
        <v>1819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 t="s">
        <v>74</v>
      </c>
      <c r="BR47" t="s">
        <v>74</v>
      </c>
      <c r="BS47" t="s">
        <v>1837</v>
      </c>
      <c r="BT47" t="str">
        <f>HYPERLINK("https%3A%2F%2Fwww.webofscience.com%2Fwos%2Fwoscc%2Ffull-record%2FWOS:000616453200001","View Full Record in Web of Science")</f>
        <v>View Full Record in Web of Science</v>
      </c>
    </row>
    <row r="48" spans="1:72" x14ac:dyDescent="0.2">
      <c r="A48" t="s">
        <v>72</v>
      </c>
      <c r="B48" t="s">
        <v>1864</v>
      </c>
      <c r="C48" t="s">
        <v>74</v>
      </c>
      <c r="D48" t="s">
        <v>74</v>
      </c>
      <c r="E48" t="s">
        <v>74</v>
      </c>
      <c r="F48" t="s">
        <v>1865</v>
      </c>
      <c r="G48" t="s">
        <v>74</v>
      </c>
      <c r="H48" t="s">
        <v>74</v>
      </c>
      <c r="I48" t="s">
        <v>1866</v>
      </c>
      <c r="J48" t="s">
        <v>124</v>
      </c>
      <c r="K48" t="s">
        <v>74</v>
      </c>
      <c r="L48" t="s">
        <v>74</v>
      </c>
      <c r="M48" t="s">
        <v>74</v>
      </c>
      <c r="N48" t="s">
        <v>74</v>
      </c>
      <c r="O48" t="s">
        <v>74</v>
      </c>
      <c r="P48" t="s">
        <v>74</v>
      </c>
      <c r="Q48" t="s">
        <v>74</v>
      </c>
      <c r="R48" t="s">
        <v>74</v>
      </c>
      <c r="S48" t="s">
        <v>74</v>
      </c>
      <c r="T48" t="s">
        <v>74</v>
      </c>
      <c r="U48" t="s">
        <v>74</v>
      </c>
      <c r="V48" t="s">
        <v>74</v>
      </c>
      <c r="W48" t="s">
        <v>74</v>
      </c>
      <c r="X48" t="s">
        <v>74</v>
      </c>
      <c r="Y48" t="s">
        <v>74</v>
      </c>
      <c r="Z48" t="s">
        <v>74</v>
      </c>
      <c r="AA48" t="s">
        <v>1867</v>
      </c>
      <c r="AB48" t="s">
        <v>1868</v>
      </c>
      <c r="AC48" t="s">
        <v>74</v>
      </c>
      <c r="AD48" t="s">
        <v>74</v>
      </c>
      <c r="AE48" t="s">
        <v>74</v>
      </c>
      <c r="AF48" t="s">
        <v>74</v>
      </c>
      <c r="AG48" t="s">
        <v>74</v>
      </c>
      <c r="AH48" t="s">
        <v>74</v>
      </c>
      <c r="AI48" t="s">
        <v>74</v>
      </c>
      <c r="AJ48" t="s">
        <v>74</v>
      </c>
      <c r="AK48" t="s">
        <v>74</v>
      </c>
      <c r="AL48" t="s">
        <v>74</v>
      </c>
      <c r="AM48" t="s">
        <v>74</v>
      </c>
      <c r="AN48" t="s">
        <v>74</v>
      </c>
      <c r="AO48" t="s">
        <v>127</v>
      </c>
      <c r="AP48" t="s">
        <v>128</v>
      </c>
      <c r="AQ48" t="s">
        <v>74</v>
      </c>
      <c r="AR48" t="s">
        <v>74</v>
      </c>
      <c r="AS48" t="s">
        <v>74</v>
      </c>
      <c r="AT48" t="s">
        <v>416</v>
      </c>
      <c r="AU48">
        <v>2021</v>
      </c>
      <c r="AV48">
        <v>848</v>
      </c>
      <c r="AW48">
        <v>4</v>
      </c>
      <c r="AX48" t="s">
        <v>74</v>
      </c>
      <c r="AY48" t="s">
        <v>74</v>
      </c>
      <c r="AZ48" t="s">
        <v>74</v>
      </c>
      <c r="BA48" t="s">
        <v>74</v>
      </c>
      <c r="BB48">
        <v>753</v>
      </c>
      <c r="BC48">
        <v>771</v>
      </c>
      <c r="BD48" t="s">
        <v>74</v>
      </c>
      <c r="BE48" t="s">
        <v>1869</v>
      </c>
      <c r="BF48" t="str">
        <f>HYPERLINK("http://dx.doi.org/10.1007/s10750-020-04466-w","http://dx.doi.org/10.1007/s10750-020-04466-w")</f>
        <v>http://dx.doi.org/10.1007/s10750-020-04466-w</v>
      </c>
      <c r="BG48" t="s">
        <v>74</v>
      </c>
      <c r="BH48" t="s">
        <v>1848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 t="s">
        <v>74</v>
      </c>
      <c r="BR48" t="s">
        <v>74</v>
      </c>
      <c r="BS48" t="s">
        <v>1870</v>
      </c>
      <c r="BT48" t="str">
        <f>HYPERLINK("https%3A%2F%2Fwww.webofscience.com%2Fwos%2Fwoscc%2Ffull-record%2FWOS:000604160800002","View Full Record in Web of Science")</f>
        <v>View Full Record in Web of Science</v>
      </c>
    </row>
    <row r="49" spans="1:72" x14ac:dyDescent="0.2">
      <c r="A49" t="s">
        <v>72</v>
      </c>
      <c r="B49" t="s">
        <v>1945</v>
      </c>
      <c r="C49" t="s">
        <v>74</v>
      </c>
      <c r="D49" t="s">
        <v>74</v>
      </c>
      <c r="E49" t="s">
        <v>74</v>
      </c>
      <c r="F49" t="s">
        <v>1946</v>
      </c>
      <c r="G49" t="s">
        <v>74</v>
      </c>
      <c r="H49" t="s">
        <v>74</v>
      </c>
      <c r="I49" t="s">
        <v>1947</v>
      </c>
      <c r="J49" t="s">
        <v>423</v>
      </c>
      <c r="K49" t="s">
        <v>74</v>
      </c>
      <c r="L49" t="s">
        <v>74</v>
      </c>
      <c r="M49" t="s">
        <v>74</v>
      </c>
      <c r="N49" t="s">
        <v>74</v>
      </c>
      <c r="O49" t="s">
        <v>74</v>
      </c>
      <c r="P49" t="s">
        <v>74</v>
      </c>
      <c r="Q49" t="s">
        <v>74</v>
      </c>
      <c r="R49" t="s">
        <v>74</v>
      </c>
      <c r="S49" t="s">
        <v>74</v>
      </c>
      <c r="T49" t="s">
        <v>74</v>
      </c>
      <c r="U49" t="s">
        <v>74</v>
      </c>
      <c r="V49" t="s">
        <v>74</v>
      </c>
      <c r="W49" t="s">
        <v>74</v>
      </c>
      <c r="X49" t="s">
        <v>74</v>
      </c>
      <c r="Y49" t="s">
        <v>74</v>
      </c>
      <c r="Z49" t="s">
        <v>74</v>
      </c>
      <c r="AA49" t="s">
        <v>1948</v>
      </c>
      <c r="AB49" t="s">
        <v>1949</v>
      </c>
      <c r="AC49" t="s">
        <v>74</v>
      </c>
      <c r="AD49" t="s">
        <v>74</v>
      </c>
      <c r="AE49" t="s">
        <v>74</v>
      </c>
      <c r="AF49" t="s">
        <v>74</v>
      </c>
      <c r="AG49" t="s">
        <v>74</v>
      </c>
      <c r="AH49" t="s">
        <v>74</v>
      </c>
      <c r="AI49" t="s">
        <v>74</v>
      </c>
      <c r="AJ49" t="s">
        <v>74</v>
      </c>
      <c r="AK49" t="s">
        <v>74</v>
      </c>
      <c r="AL49" t="s">
        <v>74</v>
      </c>
      <c r="AM49" t="s">
        <v>74</v>
      </c>
      <c r="AN49" t="s">
        <v>74</v>
      </c>
      <c r="AO49" t="s">
        <v>425</v>
      </c>
      <c r="AP49" t="s">
        <v>426</v>
      </c>
      <c r="AQ49" t="s">
        <v>74</v>
      </c>
      <c r="AR49" t="s">
        <v>74</v>
      </c>
      <c r="AS49" t="s">
        <v>74</v>
      </c>
      <c r="AT49" t="s">
        <v>203</v>
      </c>
      <c r="AU49">
        <v>2021</v>
      </c>
      <c r="AV49">
        <v>66</v>
      </c>
      <c r="AW49">
        <v>4</v>
      </c>
      <c r="AX49" t="s">
        <v>74</v>
      </c>
      <c r="AY49" t="s">
        <v>74</v>
      </c>
      <c r="AZ49" t="s">
        <v>74</v>
      </c>
      <c r="BA49" t="s">
        <v>74</v>
      </c>
      <c r="BB49">
        <v>640</v>
      </c>
      <c r="BC49">
        <v>655</v>
      </c>
      <c r="BD49" t="s">
        <v>74</v>
      </c>
      <c r="BE49" t="s">
        <v>1950</v>
      </c>
      <c r="BF49" t="str">
        <f>HYPERLINK("http://dx.doi.org/10.1111/fwb.13667","http://dx.doi.org/10.1111/fwb.13667")</f>
        <v>http://dx.doi.org/10.1111/fwb.13667</v>
      </c>
      <c r="BG49" t="s">
        <v>74</v>
      </c>
      <c r="BH49" t="s">
        <v>1924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 t="s">
        <v>74</v>
      </c>
      <c r="BR49" t="s">
        <v>74</v>
      </c>
      <c r="BS49" t="s">
        <v>1951</v>
      </c>
      <c r="BT49" t="str">
        <f>HYPERLINK("https%3A%2F%2Fwww.webofscience.com%2Fwos%2Fwoscc%2Ffull-record%2FWOS:000598289200001","View Full Record in Web of Science")</f>
        <v>View Full Record in Web of Science</v>
      </c>
    </row>
    <row r="50" spans="1:72" x14ac:dyDescent="0.2">
      <c r="A50" t="s">
        <v>72</v>
      </c>
      <c r="B50" t="s">
        <v>1972</v>
      </c>
      <c r="C50" t="s">
        <v>74</v>
      </c>
      <c r="D50" t="s">
        <v>74</v>
      </c>
      <c r="E50" t="s">
        <v>74</v>
      </c>
      <c r="F50" t="s">
        <v>1973</v>
      </c>
      <c r="G50" t="s">
        <v>74</v>
      </c>
      <c r="H50" t="s">
        <v>74</v>
      </c>
      <c r="I50" t="s">
        <v>1974</v>
      </c>
      <c r="J50" t="s">
        <v>331</v>
      </c>
      <c r="K50" t="s">
        <v>74</v>
      </c>
      <c r="L50" t="s">
        <v>74</v>
      </c>
      <c r="M50" t="s">
        <v>74</v>
      </c>
      <c r="N50" t="s">
        <v>74</v>
      </c>
      <c r="O50" t="s">
        <v>74</v>
      </c>
      <c r="P50" t="s">
        <v>74</v>
      </c>
      <c r="Q50" t="s">
        <v>74</v>
      </c>
      <c r="R50" t="s">
        <v>74</v>
      </c>
      <c r="S50" t="s">
        <v>74</v>
      </c>
      <c r="T50" t="s">
        <v>74</v>
      </c>
      <c r="U50" t="s">
        <v>74</v>
      </c>
      <c r="V50" t="s">
        <v>74</v>
      </c>
      <c r="W50" t="s">
        <v>74</v>
      </c>
      <c r="X50" t="s">
        <v>74</v>
      </c>
      <c r="Y50" t="s">
        <v>74</v>
      </c>
      <c r="Z50" t="s">
        <v>74</v>
      </c>
      <c r="AA50" t="s">
        <v>6910</v>
      </c>
      <c r="AB50" t="s">
        <v>6911</v>
      </c>
      <c r="AC50" t="s">
        <v>74</v>
      </c>
      <c r="AD50" t="s">
        <v>74</v>
      </c>
      <c r="AE50" t="s">
        <v>74</v>
      </c>
      <c r="AF50" t="s">
        <v>74</v>
      </c>
      <c r="AG50" t="s">
        <v>74</v>
      </c>
      <c r="AH50" t="s">
        <v>74</v>
      </c>
      <c r="AI50" t="s">
        <v>74</v>
      </c>
      <c r="AJ50" t="s">
        <v>74</v>
      </c>
      <c r="AK50" t="s">
        <v>74</v>
      </c>
      <c r="AL50" t="s">
        <v>74</v>
      </c>
      <c r="AM50" t="s">
        <v>74</v>
      </c>
      <c r="AN50" t="s">
        <v>74</v>
      </c>
      <c r="AO50" t="s">
        <v>74</v>
      </c>
      <c r="AP50" t="s">
        <v>334</v>
      </c>
      <c r="AQ50" t="s">
        <v>74</v>
      </c>
      <c r="AR50" t="s">
        <v>74</v>
      </c>
      <c r="AS50" t="s">
        <v>74</v>
      </c>
      <c r="AT50" t="s">
        <v>82</v>
      </c>
      <c r="AU50">
        <v>2020</v>
      </c>
      <c r="AV50">
        <v>12</v>
      </c>
      <c r="AW50">
        <v>12</v>
      </c>
      <c r="AX50" t="s">
        <v>74</v>
      </c>
      <c r="AY50" t="s">
        <v>74</v>
      </c>
      <c r="AZ50" t="s">
        <v>74</v>
      </c>
      <c r="BA50" t="s">
        <v>74</v>
      </c>
      <c r="BB50" t="s">
        <v>74</v>
      </c>
      <c r="BC50" t="s">
        <v>74</v>
      </c>
      <c r="BD50">
        <v>3416</v>
      </c>
      <c r="BE50" t="s">
        <v>1975</v>
      </c>
      <c r="BF50" t="str">
        <f>HYPERLINK("http://dx.doi.org/10.3390/w12123416","http://dx.doi.org/10.3390/w12123416")</f>
        <v>http://dx.doi.org/10.3390/w12123416</v>
      </c>
      <c r="BG50" t="s">
        <v>74</v>
      </c>
      <c r="BH50" t="s">
        <v>74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 t="s">
        <v>1976</v>
      </c>
      <c r="BT50" t="str">
        <f>HYPERLINK("https%3A%2F%2Fwww.webofscience.com%2Fwos%2Fwoscc%2Ffull-record%2FWOS:000603019000001","View Full Record in Web of Science")</f>
        <v>View Full Record in Web of Science</v>
      </c>
    </row>
    <row r="51" spans="1:72" x14ac:dyDescent="0.2">
      <c r="A51" t="s">
        <v>72</v>
      </c>
      <c r="B51" t="s">
        <v>1977</v>
      </c>
      <c r="C51" t="s">
        <v>74</v>
      </c>
      <c r="D51" t="s">
        <v>74</v>
      </c>
      <c r="E51" t="s">
        <v>74</v>
      </c>
      <c r="F51" t="s">
        <v>1978</v>
      </c>
      <c r="G51" t="s">
        <v>74</v>
      </c>
      <c r="H51" t="s">
        <v>74</v>
      </c>
      <c r="I51" t="s">
        <v>1979</v>
      </c>
      <c r="J51" t="s">
        <v>1063</v>
      </c>
      <c r="K51" t="s">
        <v>74</v>
      </c>
      <c r="L51" t="s">
        <v>74</v>
      </c>
      <c r="M51" t="s">
        <v>74</v>
      </c>
      <c r="N51" t="s">
        <v>74</v>
      </c>
      <c r="O51" t="s">
        <v>74</v>
      </c>
      <c r="P51" t="s">
        <v>74</v>
      </c>
      <c r="Q51" t="s">
        <v>74</v>
      </c>
      <c r="R51" t="s">
        <v>74</v>
      </c>
      <c r="S51" t="s">
        <v>74</v>
      </c>
      <c r="T51" t="s">
        <v>74</v>
      </c>
      <c r="U51" t="s">
        <v>74</v>
      </c>
      <c r="V51" t="s">
        <v>74</v>
      </c>
      <c r="W51" t="s">
        <v>74</v>
      </c>
      <c r="X51" t="s">
        <v>74</v>
      </c>
      <c r="Y51" t="s">
        <v>74</v>
      </c>
      <c r="Z51" t="s">
        <v>74</v>
      </c>
      <c r="AA51" t="s">
        <v>1980</v>
      </c>
      <c r="AB51" t="s">
        <v>74</v>
      </c>
      <c r="AC51" t="s">
        <v>74</v>
      </c>
      <c r="AD51" t="s">
        <v>74</v>
      </c>
      <c r="AE51" t="s">
        <v>74</v>
      </c>
      <c r="AF51" t="s">
        <v>74</v>
      </c>
      <c r="AG51" t="s">
        <v>74</v>
      </c>
      <c r="AH51" t="s">
        <v>74</v>
      </c>
      <c r="AI51" t="s">
        <v>74</v>
      </c>
      <c r="AJ51" t="s">
        <v>74</v>
      </c>
      <c r="AK51" t="s">
        <v>74</v>
      </c>
      <c r="AL51" t="s">
        <v>74</v>
      </c>
      <c r="AM51" t="s">
        <v>74</v>
      </c>
      <c r="AN51" t="s">
        <v>74</v>
      </c>
      <c r="AO51" t="s">
        <v>1065</v>
      </c>
      <c r="AP51" t="s">
        <v>1066</v>
      </c>
      <c r="AQ51" t="s">
        <v>74</v>
      </c>
      <c r="AR51" t="s">
        <v>74</v>
      </c>
      <c r="AS51" t="s">
        <v>74</v>
      </c>
      <c r="AT51" t="s">
        <v>82</v>
      </c>
      <c r="AU51">
        <v>2020</v>
      </c>
      <c r="AV51">
        <v>260</v>
      </c>
      <c r="AW51" t="s">
        <v>74</v>
      </c>
      <c r="AX51" t="s">
        <v>74</v>
      </c>
      <c r="AY51" t="s">
        <v>74</v>
      </c>
      <c r="AZ51" t="s">
        <v>74</v>
      </c>
      <c r="BA51" t="s">
        <v>74</v>
      </c>
      <c r="BB51" t="s">
        <v>74</v>
      </c>
      <c r="BC51" t="s">
        <v>74</v>
      </c>
      <c r="BD51">
        <v>127594</v>
      </c>
      <c r="BE51" t="s">
        <v>1981</v>
      </c>
      <c r="BF51" t="str">
        <f>HYPERLINK("http://dx.doi.org/10.1016/j.chemosphere.2020.127594","http://dx.doi.org/10.1016/j.chemosphere.2020.127594")</f>
        <v>http://dx.doi.org/10.1016/j.chemosphere.2020.127594</v>
      </c>
      <c r="BG51" t="s">
        <v>74</v>
      </c>
      <c r="BH51" t="s">
        <v>74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>
        <v>32673874</v>
      </c>
      <c r="BO51" t="s">
        <v>74</v>
      </c>
      <c r="BP51" t="s">
        <v>74</v>
      </c>
      <c r="BQ51" t="s">
        <v>74</v>
      </c>
      <c r="BR51" t="s">
        <v>74</v>
      </c>
      <c r="BS51" t="s">
        <v>1982</v>
      </c>
      <c r="BT51" t="str">
        <f>HYPERLINK("https%3A%2F%2Fwww.webofscience.com%2Fwos%2Fwoscc%2Ffull-record%2FWOS:000575197000072","View Full Record in Web of Science")</f>
        <v>View Full Record in Web of Science</v>
      </c>
    </row>
    <row r="52" spans="1:72" x14ac:dyDescent="0.2">
      <c r="A52" t="s">
        <v>72</v>
      </c>
      <c r="B52" t="s">
        <v>2039</v>
      </c>
      <c r="C52" t="s">
        <v>74</v>
      </c>
      <c r="D52" t="s">
        <v>74</v>
      </c>
      <c r="E52" t="s">
        <v>74</v>
      </c>
      <c r="F52" t="s">
        <v>2040</v>
      </c>
      <c r="G52" t="s">
        <v>74</v>
      </c>
      <c r="H52" t="s">
        <v>74</v>
      </c>
      <c r="I52" t="s">
        <v>2041</v>
      </c>
      <c r="J52" t="s">
        <v>423</v>
      </c>
      <c r="K52" t="s">
        <v>74</v>
      </c>
      <c r="L52" t="s">
        <v>74</v>
      </c>
      <c r="M52" t="s">
        <v>74</v>
      </c>
      <c r="N52" t="s">
        <v>74</v>
      </c>
      <c r="O52" t="s">
        <v>74</v>
      </c>
      <c r="P52" t="s">
        <v>74</v>
      </c>
      <c r="Q52" t="s">
        <v>74</v>
      </c>
      <c r="R52" t="s">
        <v>74</v>
      </c>
      <c r="S52" t="s">
        <v>74</v>
      </c>
      <c r="T52" t="s">
        <v>74</v>
      </c>
      <c r="U52" t="s">
        <v>74</v>
      </c>
      <c r="V52" t="s">
        <v>74</v>
      </c>
      <c r="W52" t="s">
        <v>74</v>
      </c>
      <c r="X52" t="s">
        <v>74</v>
      </c>
      <c r="Y52" t="s">
        <v>74</v>
      </c>
      <c r="Z52" t="s">
        <v>74</v>
      </c>
      <c r="AA52" t="s">
        <v>6918</v>
      </c>
      <c r="AB52" t="s">
        <v>6919</v>
      </c>
      <c r="AC52" t="s">
        <v>74</v>
      </c>
      <c r="AD52" t="s">
        <v>74</v>
      </c>
      <c r="AE52" t="s">
        <v>74</v>
      </c>
      <c r="AF52" t="s">
        <v>74</v>
      </c>
      <c r="AG52" t="s">
        <v>74</v>
      </c>
      <c r="AH52" t="s">
        <v>74</v>
      </c>
      <c r="AI52" t="s">
        <v>74</v>
      </c>
      <c r="AJ52" t="s">
        <v>74</v>
      </c>
      <c r="AK52" t="s">
        <v>74</v>
      </c>
      <c r="AL52" t="s">
        <v>74</v>
      </c>
      <c r="AM52" t="s">
        <v>74</v>
      </c>
      <c r="AN52" t="s">
        <v>74</v>
      </c>
      <c r="AO52" t="s">
        <v>425</v>
      </c>
      <c r="AP52" t="s">
        <v>426</v>
      </c>
      <c r="AQ52" t="s">
        <v>74</v>
      </c>
      <c r="AR52" t="s">
        <v>74</v>
      </c>
      <c r="AS52" t="s">
        <v>74</v>
      </c>
      <c r="AT52" t="s">
        <v>315</v>
      </c>
      <c r="AU52">
        <v>2021</v>
      </c>
      <c r="AV52">
        <v>66</v>
      </c>
      <c r="AW52">
        <v>1</v>
      </c>
      <c r="AX52" t="s">
        <v>74</v>
      </c>
      <c r="AY52" t="s">
        <v>74</v>
      </c>
      <c r="AZ52" t="s">
        <v>74</v>
      </c>
      <c r="BA52" t="s">
        <v>74</v>
      </c>
      <c r="BB52">
        <v>130</v>
      </c>
      <c r="BC52">
        <v>141</v>
      </c>
      <c r="BD52" t="s">
        <v>74</v>
      </c>
      <c r="BE52" t="s">
        <v>2042</v>
      </c>
      <c r="BF52" t="str">
        <f>HYPERLINK("http://dx.doi.org/10.1111/fwb.13623","http://dx.doi.org/10.1111/fwb.13623")</f>
        <v>http://dx.doi.org/10.1111/fwb.13623</v>
      </c>
      <c r="BG52" t="s">
        <v>74</v>
      </c>
      <c r="BH52" t="s">
        <v>2043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 t="s">
        <v>74</v>
      </c>
      <c r="BO52" t="s">
        <v>74</v>
      </c>
      <c r="BP52" t="s">
        <v>74</v>
      </c>
      <c r="BQ52" t="s">
        <v>74</v>
      </c>
      <c r="BR52" t="s">
        <v>74</v>
      </c>
      <c r="BS52" t="s">
        <v>2044</v>
      </c>
      <c r="BT52" t="str">
        <f>HYPERLINK("https%3A%2F%2Fwww.webofscience.com%2Fwos%2Fwoscc%2Ffull-record%2FWOS:000573518300001","View Full Record in Web of Science")</f>
        <v>View Full Record in Web of Science</v>
      </c>
    </row>
    <row r="53" spans="1:72" x14ac:dyDescent="0.2">
      <c r="A53" t="s">
        <v>72</v>
      </c>
      <c r="B53" t="s">
        <v>2083</v>
      </c>
      <c r="C53" t="s">
        <v>74</v>
      </c>
      <c r="D53" t="s">
        <v>74</v>
      </c>
      <c r="E53" t="s">
        <v>74</v>
      </c>
      <c r="F53" t="s">
        <v>2084</v>
      </c>
      <c r="G53" t="s">
        <v>74</v>
      </c>
      <c r="H53" t="s">
        <v>74</v>
      </c>
      <c r="I53" t="s">
        <v>2085</v>
      </c>
      <c r="J53" t="s">
        <v>2086</v>
      </c>
      <c r="K53" t="s">
        <v>74</v>
      </c>
      <c r="L53" t="s">
        <v>74</v>
      </c>
      <c r="M53" t="s">
        <v>74</v>
      </c>
      <c r="N53" t="s">
        <v>74</v>
      </c>
      <c r="O53" t="s">
        <v>74</v>
      </c>
      <c r="P53" t="s">
        <v>74</v>
      </c>
      <c r="Q53" t="s">
        <v>74</v>
      </c>
      <c r="R53" t="s">
        <v>74</v>
      </c>
      <c r="S53" t="s">
        <v>74</v>
      </c>
      <c r="T53" t="s">
        <v>74</v>
      </c>
      <c r="U53" t="s">
        <v>74</v>
      </c>
      <c r="V53" t="s">
        <v>74</v>
      </c>
      <c r="W53" t="s">
        <v>74</v>
      </c>
      <c r="X53" t="s">
        <v>74</v>
      </c>
      <c r="Y53" t="s">
        <v>74</v>
      </c>
      <c r="Z53" t="s">
        <v>74</v>
      </c>
      <c r="AA53" t="s">
        <v>2087</v>
      </c>
      <c r="AB53" t="s">
        <v>2088</v>
      </c>
      <c r="AC53" t="s">
        <v>74</v>
      </c>
      <c r="AD53" t="s">
        <v>74</v>
      </c>
      <c r="AE53" t="s">
        <v>74</v>
      </c>
      <c r="AF53" t="s">
        <v>74</v>
      </c>
      <c r="AG53" t="s">
        <v>74</v>
      </c>
      <c r="AH53" t="s">
        <v>74</v>
      </c>
      <c r="AI53" t="s">
        <v>74</v>
      </c>
      <c r="AJ53" t="s">
        <v>74</v>
      </c>
      <c r="AK53" t="s">
        <v>74</v>
      </c>
      <c r="AL53" t="s">
        <v>74</v>
      </c>
      <c r="AM53" t="s">
        <v>74</v>
      </c>
      <c r="AN53" t="s">
        <v>74</v>
      </c>
      <c r="AO53" t="s">
        <v>2089</v>
      </c>
      <c r="AP53" t="s">
        <v>2090</v>
      </c>
      <c r="AQ53" t="s">
        <v>74</v>
      </c>
      <c r="AR53" t="s">
        <v>74</v>
      </c>
      <c r="AS53" t="s">
        <v>74</v>
      </c>
      <c r="AT53" t="s">
        <v>489</v>
      </c>
      <c r="AU53">
        <v>2020</v>
      </c>
      <c r="AV53">
        <v>552</v>
      </c>
      <c r="AW53" t="s">
        <v>74</v>
      </c>
      <c r="AX53" t="s">
        <v>74</v>
      </c>
      <c r="AY53" t="s">
        <v>74</v>
      </c>
      <c r="AZ53" t="s">
        <v>74</v>
      </c>
      <c r="BA53" t="s">
        <v>74</v>
      </c>
      <c r="BB53" t="s">
        <v>74</v>
      </c>
      <c r="BC53" t="s">
        <v>74</v>
      </c>
      <c r="BD53">
        <v>109734</v>
      </c>
      <c r="BE53" t="s">
        <v>2091</v>
      </c>
      <c r="BF53" t="str">
        <f>HYPERLINK("http://dx.doi.org/10.1016/j.palaeo.2020.109734","http://dx.doi.org/10.1016/j.palaeo.2020.109734")</f>
        <v>http://dx.doi.org/10.1016/j.palaeo.2020.109734</v>
      </c>
      <c r="BG53" t="s">
        <v>74</v>
      </c>
      <c r="BH53" t="s">
        <v>74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 t="s">
        <v>74</v>
      </c>
      <c r="BR53" t="s">
        <v>74</v>
      </c>
      <c r="BS53" t="s">
        <v>2092</v>
      </c>
      <c r="BT53" t="str">
        <f>HYPERLINK("https%3A%2F%2Fwww.webofscience.com%2Fwos%2Fwoscc%2Ffull-record%2FWOS:000538140400003","View Full Record in Web of Science")</f>
        <v>View Full Record in Web of Science</v>
      </c>
    </row>
    <row r="54" spans="1:72" x14ac:dyDescent="0.2">
      <c r="A54" t="s">
        <v>72</v>
      </c>
      <c r="B54" t="s">
        <v>2093</v>
      </c>
      <c r="C54" t="s">
        <v>74</v>
      </c>
      <c r="D54" t="s">
        <v>74</v>
      </c>
      <c r="E54" t="s">
        <v>74</v>
      </c>
      <c r="F54" t="s">
        <v>2094</v>
      </c>
      <c r="G54" t="s">
        <v>74</v>
      </c>
      <c r="H54" t="s">
        <v>74</v>
      </c>
      <c r="I54" t="s">
        <v>2095</v>
      </c>
      <c r="J54" t="s">
        <v>2096</v>
      </c>
      <c r="K54" t="s">
        <v>74</v>
      </c>
      <c r="L54" t="s">
        <v>74</v>
      </c>
      <c r="M54" t="s">
        <v>74</v>
      </c>
      <c r="N54" t="s">
        <v>74</v>
      </c>
      <c r="O54" t="s">
        <v>74</v>
      </c>
      <c r="P54" t="s">
        <v>74</v>
      </c>
      <c r="Q54" t="s">
        <v>74</v>
      </c>
      <c r="R54" t="s">
        <v>74</v>
      </c>
      <c r="S54" t="s">
        <v>74</v>
      </c>
      <c r="T54" t="s">
        <v>74</v>
      </c>
      <c r="U54" t="s">
        <v>74</v>
      </c>
      <c r="V54" t="s">
        <v>74</v>
      </c>
      <c r="W54" t="s">
        <v>74</v>
      </c>
      <c r="X54" t="s">
        <v>74</v>
      </c>
      <c r="Y54" t="s">
        <v>74</v>
      </c>
      <c r="Z54" t="s">
        <v>74</v>
      </c>
      <c r="AA54" t="s">
        <v>74</v>
      </c>
      <c r="AB54" t="s">
        <v>6924</v>
      </c>
      <c r="AC54" t="s">
        <v>74</v>
      </c>
      <c r="AD54" t="s">
        <v>74</v>
      </c>
      <c r="AE54" t="s">
        <v>74</v>
      </c>
      <c r="AF54" t="s">
        <v>74</v>
      </c>
      <c r="AG54" t="s">
        <v>74</v>
      </c>
      <c r="AH54" t="s">
        <v>74</v>
      </c>
      <c r="AI54" t="s">
        <v>74</v>
      </c>
      <c r="AJ54" t="s">
        <v>74</v>
      </c>
      <c r="AK54" t="s">
        <v>74</v>
      </c>
      <c r="AL54" t="s">
        <v>74</v>
      </c>
      <c r="AM54" t="s">
        <v>74</v>
      </c>
      <c r="AN54" t="s">
        <v>74</v>
      </c>
      <c r="AO54" t="s">
        <v>2097</v>
      </c>
      <c r="AP54" t="s">
        <v>2098</v>
      </c>
      <c r="AQ54" t="s">
        <v>74</v>
      </c>
      <c r="AR54" t="s">
        <v>74</v>
      </c>
      <c r="AS54" t="s">
        <v>74</v>
      </c>
      <c r="AT54" t="s">
        <v>520</v>
      </c>
      <c r="AU54">
        <v>2020</v>
      </c>
      <c r="AV54">
        <v>175</v>
      </c>
      <c r="AW54" t="s">
        <v>74</v>
      </c>
      <c r="AX54" t="s">
        <v>74</v>
      </c>
      <c r="AY54" t="s">
        <v>74</v>
      </c>
      <c r="AZ54" t="s">
        <v>74</v>
      </c>
      <c r="BA54" t="s">
        <v>74</v>
      </c>
      <c r="BB54" t="s">
        <v>74</v>
      </c>
      <c r="BC54" t="s">
        <v>74</v>
      </c>
      <c r="BD54">
        <v>105971</v>
      </c>
      <c r="BE54" t="s">
        <v>2099</v>
      </c>
      <c r="BF54" t="str">
        <f>HYPERLINK("http://dx.doi.org/10.1016/j.mimet.2020.105971","http://dx.doi.org/10.1016/j.mimet.2020.105971")</f>
        <v>http://dx.doi.org/10.1016/j.mimet.2020.105971</v>
      </c>
      <c r="BG54" t="s">
        <v>74</v>
      </c>
      <c r="BH54" t="s">
        <v>74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>
        <v>32544485</v>
      </c>
      <c r="BO54" t="s">
        <v>74</v>
      </c>
      <c r="BP54" t="s">
        <v>74</v>
      </c>
      <c r="BQ54" t="s">
        <v>74</v>
      </c>
      <c r="BR54" t="s">
        <v>74</v>
      </c>
      <c r="BS54" t="s">
        <v>2100</v>
      </c>
      <c r="BT54" t="str">
        <f>HYPERLINK("https%3A%2F%2Fwww.webofscience.com%2Fwos%2Fwoscc%2Ffull-record%2FWOS:000555699100004","View Full Record in Web of Science")</f>
        <v>View Full Record in Web of Science</v>
      </c>
    </row>
    <row r="55" spans="1:72" x14ac:dyDescent="0.2">
      <c r="A55" t="s">
        <v>72</v>
      </c>
      <c r="B55" t="s">
        <v>2101</v>
      </c>
      <c r="C55" t="s">
        <v>74</v>
      </c>
      <c r="D55" t="s">
        <v>74</v>
      </c>
      <c r="E55" t="s">
        <v>74</v>
      </c>
      <c r="F55" t="s">
        <v>2102</v>
      </c>
      <c r="G55" t="s">
        <v>74</v>
      </c>
      <c r="H55" t="s">
        <v>74</v>
      </c>
      <c r="I55" t="s">
        <v>2103</v>
      </c>
      <c r="J55" t="s">
        <v>502</v>
      </c>
      <c r="K55" t="s">
        <v>74</v>
      </c>
      <c r="L55" t="s">
        <v>74</v>
      </c>
      <c r="M55" t="s">
        <v>74</v>
      </c>
      <c r="N55" t="s">
        <v>74</v>
      </c>
      <c r="O55" t="s">
        <v>74</v>
      </c>
      <c r="P55" t="s">
        <v>74</v>
      </c>
      <c r="Q55" t="s">
        <v>74</v>
      </c>
      <c r="R55" t="s">
        <v>74</v>
      </c>
      <c r="S55" t="s">
        <v>74</v>
      </c>
      <c r="T55" t="s">
        <v>74</v>
      </c>
      <c r="U55" t="s">
        <v>74</v>
      </c>
      <c r="V55" t="s">
        <v>74</v>
      </c>
      <c r="W55" t="s">
        <v>74</v>
      </c>
      <c r="X55" t="s">
        <v>74</v>
      </c>
      <c r="Y55" t="s">
        <v>74</v>
      </c>
      <c r="Z55" t="s">
        <v>74</v>
      </c>
      <c r="AA55" t="s">
        <v>4285</v>
      </c>
      <c r="AB55" t="s">
        <v>4286</v>
      </c>
      <c r="AC55" t="s">
        <v>74</v>
      </c>
      <c r="AD55" t="s">
        <v>74</v>
      </c>
      <c r="AE55" t="s">
        <v>74</v>
      </c>
      <c r="AF55" t="s">
        <v>74</v>
      </c>
      <c r="AG55" t="s">
        <v>74</v>
      </c>
      <c r="AH55" t="s">
        <v>74</v>
      </c>
      <c r="AI55" t="s">
        <v>74</v>
      </c>
      <c r="AJ55" t="s">
        <v>74</v>
      </c>
      <c r="AK55" t="s">
        <v>74</v>
      </c>
      <c r="AL55" t="s">
        <v>74</v>
      </c>
      <c r="AM55" t="s">
        <v>74</v>
      </c>
      <c r="AN55" t="s">
        <v>74</v>
      </c>
      <c r="AO55" t="s">
        <v>503</v>
      </c>
      <c r="AP55" t="s">
        <v>504</v>
      </c>
      <c r="AQ55" t="s">
        <v>74</v>
      </c>
      <c r="AR55" t="s">
        <v>74</v>
      </c>
      <c r="AS55" t="s">
        <v>74</v>
      </c>
      <c r="AT55" t="s">
        <v>520</v>
      </c>
      <c r="AU55">
        <v>2020</v>
      </c>
      <c r="AV55">
        <v>115</v>
      </c>
      <c r="AW55" t="s">
        <v>74</v>
      </c>
      <c r="AX55" t="s">
        <v>74</v>
      </c>
      <c r="AY55" t="s">
        <v>74</v>
      </c>
      <c r="AZ55" t="s">
        <v>74</v>
      </c>
      <c r="BA55" t="s">
        <v>74</v>
      </c>
      <c r="BB55" t="s">
        <v>74</v>
      </c>
      <c r="BC55" t="s">
        <v>74</v>
      </c>
      <c r="BD55">
        <v>106466</v>
      </c>
      <c r="BE55" t="s">
        <v>2104</v>
      </c>
      <c r="BF55" t="str">
        <f>HYPERLINK("http://dx.doi.org/10.1016/j.ecolind.2020.106466","http://dx.doi.org/10.1016/j.ecolind.2020.106466")</f>
        <v>http://dx.doi.org/10.1016/j.ecolind.2020.106466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 t="s">
        <v>2105</v>
      </c>
      <c r="BT55" t="str">
        <f>HYPERLINK("https%3A%2F%2Fwww.webofscience.com%2Fwos%2Fwoscc%2Ffull-record%2FWOS:000561438700037","View Full Record in Web of Science")</f>
        <v>View Full Record in Web of Science</v>
      </c>
    </row>
    <row r="56" spans="1:72" x14ac:dyDescent="0.2">
      <c r="A56" t="s">
        <v>72</v>
      </c>
      <c r="B56" t="s">
        <v>2122</v>
      </c>
      <c r="C56" t="s">
        <v>74</v>
      </c>
      <c r="D56" t="s">
        <v>74</v>
      </c>
      <c r="E56" t="s">
        <v>74</v>
      </c>
      <c r="F56" t="s">
        <v>2123</v>
      </c>
      <c r="G56" t="s">
        <v>74</v>
      </c>
      <c r="H56" t="s">
        <v>74</v>
      </c>
      <c r="I56" t="s">
        <v>2124</v>
      </c>
      <c r="J56" t="s">
        <v>2125</v>
      </c>
      <c r="K56" t="s">
        <v>74</v>
      </c>
      <c r="L56" t="s">
        <v>74</v>
      </c>
      <c r="M56" t="s">
        <v>74</v>
      </c>
      <c r="N56" t="s">
        <v>74</v>
      </c>
      <c r="O56" t="s">
        <v>74</v>
      </c>
      <c r="P56" t="s">
        <v>74</v>
      </c>
      <c r="Q56" t="s">
        <v>74</v>
      </c>
      <c r="R56" t="s">
        <v>74</v>
      </c>
      <c r="S56" t="s">
        <v>74</v>
      </c>
      <c r="T56" t="s">
        <v>74</v>
      </c>
      <c r="U56" t="s">
        <v>74</v>
      </c>
      <c r="V56" t="s">
        <v>74</v>
      </c>
      <c r="W56" t="s">
        <v>74</v>
      </c>
      <c r="X56" t="s">
        <v>74</v>
      </c>
      <c r="Y56" t="s">
        <v>74</v>
      </c>
      <c r="Z56" t="s">
        <v>74</v>
      </c>
      <c r="AA56" t="s">
        <v>2126</v>
      </c>
      <c r="AB56" t="s">
        <v>74</v>
      </c>
      <c r="AC56" t="s">
        <v>74</v>
      </c>
      <c r="AD56" t="s">
        <v>74</v>
      </c>
      <c r="AE56" t="s">
        <v>74</v>
      </c>
      <c r="AF56" t="s">
        <v>74</v>
      </c>
      <c r="AG56" t="s">
        <v>74</v>
      </c>
      <c r="AH56" t="s">
        <v>74</v>
      </c>
      <c r="AI56" t="s">
        <v>74</v>
      </c>
      <c r="AJ56" t="s">
        <v>74</v>
      </c>
      <c r="AK56" t="s">
        <v>74</v>
      </c>
      <c r="AL56" t="s">
        <v>74</v>
      </c>
      <c r="AM56" t="s">
        <v>74</v>
      </c>
      <c r="AN56" t="s">
        <v>74</v>
      </c>
      <c r="AO56" t="s">
        <v>2127</v>
      </c>
      <c r="AP56" t="s">
        <v>2128</v>
      </c>
      <c r="AQ56" t="s">
        <v>74</v>
      </c>
      <c r="AR56" t="s">
        <v>74</v>
      </c>
      <c r="AS56" t="s">
        <v>74</v>
      </c>
      <c r="AT56" t="s">
        <v>624</v>
      </c>
      <c r="AU56">
        <v>2020</v>
      </c>
      <c r="AV56">
        <v>89</v>
      </c>
      <c r="AW56">
        <v>4</v>
      </c>
      <c r="AX56" t="s">
        <v>74</v>
      </c>
      <c r="AY56" t="s">
        <v>74</v>
      </c>
      <c r="AZ56" t="s">
        <v>74</v>
      </c>
      <c r="BA56" t="s">
        <v>74</v>
      </c>
      <c r="BB56">
        <v>450</v>
      </c>
      <c r="BC56">
        <v>470</v>
      </c>
      <c r="BD56" t="s">
        <v>74</v>
      </c>
      <c r="BE56" t="s">
        <v>2129</v>
      </c>
      <c r="BF56" t="str">
        <f>HYPERLINK("http://dx.doi.org/10.1163/18759866-bja10011","http://dx.doi.org/10.1163/18759866-bja10011")</f>
        <v>http://dx.doi.org/10.1163/18759866-bja10011</v>
      </c>
      <c r="BG56" t="s">
        <v>74</v>
      </c>
      <c r="BH56" t="s">
        <v>74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74</v>
      </c>
      <c r="BP56" t="s">
        <v>74</v>
      </c>
      <c r="BQ56" t="s">
        <v>74</v>
      </c>
      <c r="BR56" t="s">
        <v>74</v>
      </c>
      <c r="BS56" t="s">
        <v>2130</v>
      </c>
      <c r="BT56" t="str">
        <f>HYPERLINK("https%3A%2F%2Fwww.webofscience.com%2Fwos%2Fwoscc%2Ffull-record%2FWOS:000549773700006","View Full Record in Web of Science")</f>
        <v>View Full Record in Web of Science</v>
      </c>
    </row>
    <row r="57" spans="1:72" x14ac:dyDescent="0.2">
      <c r="A57" t="s">
        <v>72</v>
      </c>
      <c r="B57" t="s">
        <v>2131</v>
      </c>
      <c r="C57" t="s">
        <v>74</v>
      </c>
      <c r="D57" t="s">
        <v>74</v>
      </c>
      <c r="E57" t="s">
        <v>74</v>
      </c>
      <c r="F57" t="s">
        <v>2132</v>
      </c>
      <c r="G57" t="s">
        <v>74</v>
      </c>
      <c r="H57" t="s">
        <v>74</v>
      </c>
      <c r="I57" t="s">
        <v>2133</v>
      </c>
      <c r="J57" t="s">
        <v>596</v>
      </c>
      <c r="K57" t="s">
        <v>74</v>
      </c>
      <c r="L57" t="s">
        <v>74</v>
      </c>
      <c r="M57" t="s">
        <v>74</v>
      </c>
      <c r="N57" t="s">
        <v>74</v>
      </c>
      <c r="O57" t="s">
        <v>74</v>
      </c>
      <c r="P57" t="s">
        <v>74</v>
      </c>
      <c r="Q57" t="s">
        <v>74</v>
      </c>
      <c r="R57" t="s">
        <v>74</v>
      </c>
      <c r="S57" t="s">
        <v>74</v>
      </c>
      <c r="T57" t="s">
        <v>74</v>
      </c>
      <c r="U57" t="s">
        <v>74</v>
      </c>
      <c r="V57" t="s">
        <v>74</v>
      </c>
      <c r="W57" t="s">
        <v>74</v>
      </c>
      <c r="X57" t="s">
        <v>74</v>
      </c>
      <c r="Y57" t="s">
        <v>74</v>
      </c>
      <c r="Z57" t="s">
        <v>74</v>
      </c>
      <c r="AA57" t="s">
        <v>2134</v>
      </c>
      <c r="AB57" t="s">
        <v>2135</v>
      </c>
      <c r="AC57" t="s">
        <v>74</v>
      </c>
      <c r="AD57" t="s">
        <v>74</v>
      </c>
      <c r="AE57" t="s">
        <v>74</v>
      </c>
      <c r="AF57" t="s">
        <v>74</v>
      </c>
      <c r="AG57" t="s">
        <v>74</v>
      </c>
      <c r="AH57" t="s">
        <v>74</v>
      </c>
      <c r="AI57" t="s">
        <v>74</v>
      </c>
      <c r="AJ57" t="s">
        <v>74</v>
      </c>
      <c r="AK57" t="s">
        <v>74</v>
      </c>
      <c r="AL57" t="s">
        <v>74</v>
      </c>
      <c r="AM57" t="s">
        <v>74</v>
      </c>
      <c r="AN57" t="s">
        <v>74</v>
      </c>
      <c r="AO57" t="s">
        <v>597</v>
      </c>
      <c r="AP57" t="s">
        <v>74</v>
      </c>
      <c r="AQ57" t="s">
        <v>74</v>
      </c>
      <c r="AR57" t="s">
        <v>74</v>
      </c>
      <c r="AS57" t="s">
        <v>74</v>
      </c>
      <c r="AT57" t="s">
        <v>624</v>
      </c>
      <c r="AU57">
        <v>2020</v>
      </c>
      <c r="AV57">
        <v>11</v>
      </c>
      <c r="AW57">
        <v>7</v>
      </c>
      <c r="AX57" t="s">
        <v>74</v>
      </c>
      <c r="AY57" t="s">
        <v>74</v>
      </c>
      <c r="AZ57" t="s">
        <v>74</v>
      </c>
      <c r="BA57" t="s">
        <v>74</v>
      </c>
      <c r="BB57" t="s">
        <v>74</v>
      </c>
      <c r="BC57" t="s">
        <v>74</v>
      </c>
      <c r="BD57" t="s">
        <v>2136</v>
      </c>
      <c r="BE57" t="s">
        <v>2137</v>
      </c>
      <c r="BF57" t="str">
        <f>HYPERLINK("http://dx.doi.org/10.1002/ecs2.3192","http://dx.doi.org/10.1002/ecs2.3192")</f>
        <v>http://dx.doi.org/10.1002/ecs2.3192</v>
      </c>
      <c r="BG57" t="s">
        <v>74</v>
      </c>
      <c r="BH57" t="s">
        <v>74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 t="s">
        <v>74</v>
      </c>
      <c r="BR57" t="s">
        <v>74</v>
      </c>
      <c r="BS57" t="s">
        <v>2138</v>
      </c>
      <c r="BT57" t="str">
        <f>HYPERLINK("https%3A%2F%2Fwww.webofscience.com%2Fwos%2Fwoscc%2Ffull-record%2FWOS:000567408500023","View Full Record in Web of Science")</f>
        <v>View Full Record in Web of Science</v>
      </c>
    </row>
    <row r="58" spans="1:72" x14ac:dyDescent="0.2">
      <c r="A58" t="s">
        <v>72</v>
      </c>
      <c r="B58" t="s">
        <v>2146</v>
      </c>
      <c r="C58" t="s">
        <v>74</v>
      </c>
      <c r="D58" t="s">
        <v>74</v>
      </c>
      <c r="E58" t="s">
        <v>74</v>
      </c>
      <c r="F58" t="s">
        <v>2147</v>
      </c>
      <c r="G58" t="s">
        <v>74</v>
      </c>
      <c r="H58" t="s">
        <v>74</v>
      </c>
      <c r="I58" t="s">
        <v>2148</v>
      </c>
      <c r="J58" t="s">
        <v>673</v>
      </c>
      <c r="K58" t="s">
        <v>74</v>
      </c>
      <c r="L58" t="s">
        <v>74</v>
      </c>
      <c r="M58" t="s">
        <v>74</v>
      </c>
      <c r="N58" t="s">
        <v>74</v>
      </c>
      <c r="O58" t="s">
        <v>74</v>
      </c>
      <c r="P58" t="s">
        <v>74</v>
      </c>
      <c r="Q58" t="s">
        <v>74</v>
      </c>
      <c r="R58" t="s">
        <v>74</v>
      </c>
      <c r="S58" t="s">
        <v>74</v>
      </c>
      <c r="T58" t="s">
        <v>74</v>
      </c>
      <c r="U58" t="s">
        <v>74</v>
      </c>
      <c r="V58" t="s">
        <v>74</v>
      </c>
      <c r="W58" t="s">
        <v>74</v>
      </c>
      <c r="X58" t="s">
        <v>74</v>
      </c>
      <c r="Y58" t="s">
        <v>74</v>
      </c>
      <c r="Z58" t="s">
        <v>74</v>
      </c>
      <c r="AA58" t="s">
        <v>74</v>
      </c>
      <c r="AB58" t="s">
        <v>2149</v>
      </c>
      <c r="AC58" t="s">
        <v>74</v>
      </c>
      <c r="AD58" t="s">
        <v>74</v>
      </c>
      <c r="AE58" t="s">
        <v>74</v>
      </c>
      <c r="AF58" t="s">
        <v>74</v>
      </c>
      <c r="AG58" t="s">
        <v>74</v>
      </c>
      <c r="AH58" t="s">
        <v>74</v>
      </c>
      <c r="AI58" t="s">
        <v>74</v>
      </c>
      <c r="AJ58" t="s">
        <v>74</v>
      </c>
      <c r="AK58" t="s">
        <v>74</v>
      </c>
      <c r="AL58" t="s">
        <v>74</v>
      </c>
      <c r="AM58" t="s">
        <v>74</v>
      </c>
      <c r="AN58" t="s">
        <v>74</v>
      </c>
      <c r="AO58" t="s">
        <v>674</v>
      </c>
      <c r="AP58" t="s">
        <v>675</v>
      </c>
      <c r="AQ58" t="s">
        <v>74</v>
      </c>
      <c r="AR58" t="s">
        <v>74</v>
      </c>
      <c r="AS58" t="s">
        <v>74</v>
      </c>
      <c r="AT58" t="s">
        <v>1208</v>
      </c>
      <c r="AU58">
        <v>2020</v>
      </c>
      <c r="AV58">
        <v>196</v>
      </c>
      <c r="AW58" t="s">
        <v>74</v>
      </c>
      <c r="AX58" t="s">
        <v>74</v>
      </c>
      <c r="AY58" t="s">
        <v>74</v>
      </c>
      <c r="AZ58" t="s">
        <v>74</v>
      </c>
      <c r="BA58" t="s">
        <v>74</v>
      </c>
      <c r="BB58" t="s">
        <v>74</v>
      </c>
      <c r="BC58" t="s">
        <v>74</v>
      </c>
      <c r="BD58">
        <v>110501</v>
      </c>
      <c r="BE58" t="s">
        <v>2150</v>
      </c>
      <c r="BF58" t="str">
        <f>HYPERLINK("http://dx.doi.org/10.1016/j.ecoenv.2020.110501","http://dx.doi.org/10.1016/j.ecoenv.2020.110501")</f>
        <v>http://dx.doi.org/10.1016/j.ecoenv.2020.110501</v>
      </c>
      <c r="BG58" t="s">
        <v>74</v>
      </c>
      <c r="BH58" t="s">
        <v>74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>
        <v>32247958</v>
      </c>
      <c r="BO58" t="s">
        <v>74</v>
      </c>
      <c r="BP58" t="s">
        <v>74</v>
      </c>
      <c r="BQ58" t="s">
        <v>74</v>
      </c>
      <c r="BR58" t="s">
        <v>74</v>
      </c>
      <c r="BS58" t="s">
        <v>2151</v>
      </c>
      <c r="BT58" t="str">
        <f>HYPERLINK("https%3A%2F%2Fwww.webofscience.com%2Fwos%2Fwoscc%2Ffull-record%2FWOS:000525763800020","View Full Record in Web of Science")</f>
        <v>View Full Record in Web of Science</v>
      </c>
    </row>
    <row r="59" spans="1:72" x14ac:dyDescent="0.2">
      <c r="A59" t="s">
        <v>72</v>
      </c>
      <c r="B59" t="s">
        <v>2158</v>
      </c>
      <c r="C59" t="s">
        <v>74</v>
      </c>
      <c r="D59" t="s">
        <v>74</v>
      </c>
      <c r="E59" t="s">
        <v>74</v>
      </c>
      <c r="F59" t="s">
        <v>2159</v>
      </c>
      <c r="G59" t="s">
        <v>74</v>
      </c>
      <c r="H59" t="s">
        <v>74</v>
      </c>
      <c r="I59" t="s">
        <v>2160</v>
      </c>
      <c r="J59" t="s">
        <v>1063</v>
      </c>
      <c r="K59" t="s">
        <v>74</v>
      </c>
      <c r="L59" t="s">
        <v>74</v>
      </c>
      <c r="M59" t="s">
        <v>74</v>
      </c>
      <c r="N59" t="s">
        <v>74</v>
      </c>
      <c r="O59" t="s">
        <v>74</v>
      </c>
      <c r="P59" t="s">
        <v>74</v>
      </c>
      <c r="Q59" t="s">
        <v>74</v>
      </c>
      <c r="R59" t="s">
        <v>74</v>
      </c>
      <c r="S59" t="s">
        <v>74</v>
      </c>
      <c r="T59" t="s">
        <v>74</v>
      </c>
      <c r="U59" t="s">
        <v>74</v>
      </c>
      <c r="V59" t="s">
        <v>74</v>
      </c>
      <c r="W59" t="s">
        <v>74</v>
      </c>
      <c r="X59" t="s">
        <v>74</v>
      </c>
      <c r="Y59" t="s">
        <v>74</v>
      </c>
      <c r="Z59" t="s">
        <v>74</v>
      </c>
      <c r="AA59" t="s">
        <v>6932</v>
      </c>
      <c r="AB59" t="s">
        <v>2287</v>
      </c>
      <c r="AC59" t="s">
        <v>74</v>
      </c>
      <c r="AD59" t="s">
        <v>74</v>
      </c>
      <c r="AE59" t="s">
        <v>74</v>
      </c>
      <c r="AF59" t="s">
        <v>74</v>
      </c>
      <c r="AG59" t="s">
        <v>74</v>
      </c>
      <c r="AH59" t="s">
        <v>74</v>
      </c>
      <c r="AI59" t="s">
        <v>74</v>
      </c>
      <c r="AJ59" t="s">
        <v>74</v>
      </c>
      <c r="AK59" t="s">
        <v>74</v>
      </c>
      <c r="AL59" t="s">
        <v>74</v>
      </c>
      <c r="AM59" t="s">
        <v>74</v>
      </c>
      <c r="AN59" t="s">
        <v>74</v>
      </c>
      <c r="AO59" t="s">
        <v>1065</v>
      </c>
      <c r="AP59" t="s">
        <v>1066</v>
      </c>
      <c r="AQ59" t="s">
        <v>74</v>
      </c>
      <c r="AR59" t="s">
        <v>74</v>
      </c>
      <c r="AS59" t="s">
        <v>74</v>
      </c>
      <c r="AT59" t="s">
        <v>569</v>
      </c>
      <c r="AU59">
        <v>2020</v>
      </c>
      <c r="AV59">
        <v>248</v>
      </c>
      <c r="AW59" t="s">
        <v>74</v>
      </c>
      <c r="AX59" t="s">
        <v>74</v>
      </c>
      <c r="AY59" t="s">
        <v>74</v>
      </c>
      <c r="AZ59" t="s">
        <v>74</v>
      </c>
      <c r="BA59" t="s">
        <v>74</v>
      </c>
      <c r="BB59" t="s">
        <v>74</v>
      </c>
      <c r="BC59" t="s">
        <v>74</v>
      </c>
      <c r="BD59">
        <v>126101</v>
      </c>
      <c r="BE59" t="s">
        <v>2162</v>
      </c>
      <c r="BF59" t="str">
        <f>HYPERLINK("http://dx.doi.org/10.1016/j.chemosphere.2020.126101","http://dx.doi.org/10.1016/j.chemosphere.2020.126101")</f>
        <v>http://dx.doi.org/10.1016/j.chemosphere.2020.126101</v>
      </c>
      <c r="BG59" t="s">
        <v>74</v>
      </c>
      <c r="BH59" t="s">
        <v>74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>
        <v>32045977</v>
      </c>
      <c r="BO59" t="s">
        <v>74</v>
      </c>
      <c r="BP59" t="s">
        <v>74</v>
      </c>
      <c r="BQ59" t="s">
        <v>74</v>
      </c>
      <c r="BR59" t="s">
        <v>74</v>
      </c>
      <c r="BS59" t="s">
        <v>2163</v>
      </c>
      <c r="BT59" t="str">
        <f>HYPERLINK("https%3A%2F%2Fwww.webofscience.com%2Fwos%2Fwoscc%2Ffull-record%2FWOS:000527930600116","View Full Record in Web of Science")</f>
        <v>View Full Record in Web of Science</v>
      </c>
    </row>
    <row r="60" spans="1:72" x14ac:dyDescent="0.2">
      <c r="A60" t="s">
        <v>72</v>
      </c>
      <c r="B60" t="s">
        <v>2190</v>
      </c>
      <c r="C60" t="s">
        <v>74</v>
      </c>
      <c r="D60" t="s">
        <v>74</v>
      </c>
      <c r="E60" t="s">
        <v>74</v>
      </c>
      <c r="F60" t="s">
        <v>2191</v>
      </c>
      <c r="G60" t="s">
        <v>74</v>
      </c>
      <c r="H60" t="s">
        <v>74</v>
      </c>
      <c r="I60" t="s">
        <v>2192</v>
      </c>
      <c r="J60" t="s">
        <v>1323</v>
      </c>
      <c r="K60" t="s">
        <v>74</v>
      </c>
      <c r="L60" t="s">
        <v>74</v>
      </c>
      <c r="M60" t="s">
        <v>74</v>
      </c>
      <c r="N60" t="s">
        <v>74</v>
      </c>
      <c r="O60" t="s">
        <v>74</v>
      </c>
      <c r="P60" t="s">
        <v>74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74</v>
      </c>
      <c r="Y60" t="s">
        <v>74</v>
      </c>
      <c r="Z60" t="s">
        <v>74</v>
      </c>
      <c r="AA60" t="s">
        <v>6936</v>
      </c>
      <c r="AB60" t="s">
        <v>2003</v>
      </c>
      <c r="AC60" t="s">
        <v>74</v>
      </c>
      <c r="AD60" t="s">
        <v>74</v>
      </c>
      <c r="AE60" t="s">
        <v>74</v>
      </c>
      <c r="AF60" t="s">
        <v>74</v>
      </c>
      <c r="AG60" t="s">
        <v>74</v>
      </c>
      <c r="AH60" t="s">
        <v>74</v>
      </c>
      <c r="AI60" t="s">
        <v>74</v>
      </c>
      <c r="AJ60" t="s">
        <v>74</v>
      </c>
      <c r="AK60" t="s">
        <v>74</v>
      </c>
      <c r="AL60" t="s">
        <v>74</v>
      </c>
      <c r="AM60" t="s">
        <v>74</v>
      </c>
      <c r="AN60" t="s">
        <v>74</v>
      </c>
      <c r="AO60" t="s">
        <v>1326</v>
      </c>
      <c r="AP60" t="s">
        <v>1327</v>
      </c>
      <c r="AQ60" t="s">
        <v>74</v>
      </c>
      <c r="AR60" t="s">
        <v>74</v>
      </c>
      <c r="AS60" t="s">
        <v>74</v>
      </c>
      <c r="AT60" t="s">
        <v>2193</v>
      </c>
      <c r="AU60">
        <v>2020</v>
      </c>
      <c r="AV60">
        <v>82</v>
      </c>
      <c r="AW60">
        <v>3</v>
      </c>
      <c r="AX60" t="s">
        <v>74</v>
      </c>
      <c r="AY60" t="s">
        <v>74</v>
      </c>
      <c r="AZ60" t="s">
        <v>74</v>
      </c>
      <c r="BA60" t="s">
        <v>74</v>
      </c>
      <c r="BB60" t="s">
        <v>74</v>
      </c>
      <c r="BC60" t="s">
        <v>74</v>
      </c>
      <c r="BD60">
        <v>59</v>
      </c>
      <c r="BE60" t="s">
        <v>2194</v>
      </c>
      <c r="BF60" t="str">
        <f>HYPERLINK("http://dx.doi.org/10.1007/s00027-020-00733-z","http://dx.doi.org/10.1007/s00027-020-00733-z")</f>
        <v>http://dx.doi.org/10.1007/s00027-020-00733-z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 t="s">
        <v>74</v>
      </c>
      <c r="BR60" t="s">
        <v>74</v>
      </c>
      <c r="BS60" t="s">
        <v>2195</v>
      </c>
      <c r="BT60" t="str">
        <f>HYPERLINK("https%3A%2F%2Fwww.webofscience.com%2Fwos%2Fwoscc%2Ffull-record%2FWOS:000544099800001","View Full Record in Web of Science")</f>
        <v>View Full Record in Web of Science</v>
      </c>
    </row>
    <row r="61" spans="1:72" x14ac:dyDescent="0.2">
      <c r="A61" t="s">
        <v>72</v>
      </c>
      <c r="B61" t="s">
        <v>2196</v>
      </c>
      <c r="C61" t="s">
        <v>74</v>
      </c>
      <c r="D61" t="s">
        <v>74</v>
      </c>
      <c r="E61" t="s">
        <v>74</v>
      </c>
      <c r="F61" t="s">
        <v>2197</v>
      </c>
      <c r="G61" t="s">
        <v>74</v>
      </c>
      <c r="H61" t="s">
        <v>74</v>
      </c>
      <c r="I61" t="s">
        <v>2198</v>
      </c>
      <c r="J61" t="s">
        <v>2199</v>
      </c>
      <c r="K61" t="s">
        <v>74</v>
      </c>
      <c r="L61" t="s">
        <v>74</v>
      </c>
      <c r="M61" t="s">
        <v>74</v>
      </c>
      <c r="N61" t="s">
        <v>74</v>
      </c>
      <c r="O61" t="s">
        <v>74</v>
      </c>
      <c r="P61" t="s">
        <v>74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74</v>
      </c>
      <c r="Y61" t="s">
        <v>74</v>
      </c>
      <c r="Z61" t="s">
        <v>74</v>
      </c>
      <c r="AA61" t="s">
        <v>74</v>
      </c>
      <c r="AB61" t="s">
        <v>74</v>
      </c>
      <c r="AC61" t="s">
        <v>74</v>
      </c>
      <c r="AD61" t="s">
        <v>74</v>
      </c>
      <c r="AE61" t="s">
        <v>74</v>
      </c>
      <c r="AF61" t="s">
        <v>74</v>
      </c>
      <c r="AG61" t="s">
        <v>74</v>
      </c>
      <c r="AH61" t="s">
        <v>74</v>
      </c>
      <c r="AI61" t="s">
        <v>74</v>
      </c>
      <c r="AJ61" t="s">
        <v>74</v>
      </c>
      <c r="AK61" t="s">
        <v>74</v>
      </c>
      <c r="AL61" t="s">
        <v>74</v>
      </c>
      <c r="AM61" t="s">
        <v>74</v>
      </c>
      <c r="AN61" t="s">
        <v>74</v>
      </c>
      <c r="AO61" t="s">
        <v>2200</v>
      </c>
      <c r="AP61" t="s">
        <v>2201</v>
      </c>
      <c r="AQ61" t="s">
        <v>74</v>
      </c>
      <c r="AR61" t="s">
        <v>74</v>
      </c>
      <c r="AS61" t="s">
        <v>74</v>
      </c>
      <c r="AT61" t="s">
        <v>520</v>
      </c>
      <c r="AU61">
        <v>2020</v>
      </c>
      <c r="AV61">
        <v>29</v>
      </c>
      <c r="AW61">
        <v>6</v>
      </c>
      <c r="AX61" t="s">
        <v>74</v>
      </c>
      <c r="AY61" t="s">
        <v>74</v>
      </c>
      <c r="AZ61" t="s">
        <v>632</v>
      </c>
      <c r="BA61" t="s">
        <v>74</v>
      </c>
      <c r="BB61">
        <v>771</v>
      </c>
      <c r="BC61">
        <v>779</v>
      </c>
      <c r="BD61" t="s">
        <v>74</v>
      </c>
      <c r="BE61" t="s">
        <v>2202</v>
      </c>
      <c r="BF61" t="str">
        <f>HYPERLINK("http://dx.doi.org/10.1007/s10646-020-02220-5","http://dx.doi.org/10.1007/s10646-020-02220-5")</f>
        <v>http://dx.doi.org/10.1007/s10646-020-02220-5</v>
      </c>
      <c r="BG61" t="s">
        <v>74</v>
      </c>
      <c r="BH61" t="s">
        <v>2203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>
        <v>32385599</v>
      </c>
      <c r="BO61" t="s">
        <v>74</v>
      </c>
      <c r="BP61" t="s">
        <v>74</v>
      </c>
      <c r="BQ61" t="s">
        <v>74</v>
      </c>
      <c r="BR61" t="s">
        <v>74</v>
      </c>
      <c r="BS61" t="s">
        <v>2204</v>
      </c>
      <c r="BT61" t="str">
        <f>HYPERLINK("https%3A%2F%2Fwww.webofscience.com%2Fwos%2Fwoscc%2Ffull-record%2FWOS:000531129300001","View Full Record in Web of Science")</f>
        <v>View Full Record in Web of Science</v>
      </c>
    </row>
    <row r="62" spans="1:72" x14ac:dyDescent="0.2">
      <c r="A62" t="s">
        <v>72</v>
      </c>
      <c r="B62" t="s">
        <v>2221</v>
      </c>
      <c r="C62" t="s">
        <v>74</v>
      </c>
      <c r="D62" t="s">
        <v>74</v>
      </c>
      <c r="E62" t="s">
        <v>74</v>
      </c>
      <c r="F62" t="s">
        <v>2222</v>
      </c>
      <c r="G62" t="s">
        <v>74</v>
      </c>
      <c r="H62" t="s">
        <v>74</v>
      </c>
      <c r="I62" t="s">
        <v>2223</v>
      </c>
      <c r="J62" t="s">
        <v>1532</v>
      </c>
      <c r="K62" t="s">
        <v>74</v>
      </c>
      <c r="L62" t="s">
        <v>74</v>
      </c>
      <c r="M62" t="s">
        <v>74</v>
      </c>
      <c r="N62" t="s">
        <v>74</v>
      </c>
      <c r="O62" t="s">
        <v>74</v>
      </c>
      <c r="P62" t="s">
        <v>74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74</v>
      </c>
      <c r="Y62" t="s">
        <v>74</v>
      </c>
      <c r="Z62" t="s">
        <v>74</v>
      </c>
      <c r="AA62" t="s">
        <v>74</v>
      </c>
      <c r="AB62" t="s">
        <v>2224</v>
      </c>
      <c r="AC62" t="s">
        <v>74</v>
      </c>
      <c r="AD62" t="s">
        <v>74</v>
      </c>
      <c r="AE62" t="s">
        <v>74</v>
      </c>
      <c r="AF62" t="s">
        <v>74</v>
      </c>
      <c r="AG62" t="s">
        <v>74</v>
      </c>
      <c r="AH62" t="s">
        <v>74</v>
      </c>
      <c r="AI62" t="s">
        <v>74</v>
      </c>
      <c r="AJ62" t="s">
        <v>74</v>
      </c>
      <c r="AK62" t="s">
        <v>74</v>
      </c>
      <c r="AL62" t="s">
        <v>74</v>
      </c>
      <c r="AM62" t="s">
        <v>74</v>
      </c>
      <c r="AN62" t="s">
        <v>74</v>
      </c>
      <c r="AO62" t="s">
        <v>1535</v>
      </c>
      <c r="AP62" t="s">
        <v>1536</v>
      </c>
      <c r="AQ62" t="s">
        <v>74</v>
      </c>
      <c r="AR62" t="s">
        <v>74</v>
      </c>
      <c r="AS62" t="s">
        <v>74</v>
      </c>
      <c r="AT62" t="s">
        <v>569</v>
      </c>
      <c r="AU62">
        <v>2020</v>
      </c>
      <c r="AV62">
        <v>105</v>
      </c>
      <c r="AW62" t="s">
        <v>760</v>
      </c>
      <c r="AX62" t="s">
        <v>74</v>
      </c>
      <c r="AY62" t="s">
        <v>74</v>
      </c>
      <c r="AZ62" t="s">
        <v>74</v>
      </c>
      <c r="BA62" t="s">
        <v>74</v>
      </c>
      <c r="BB62">
        <v>106</v>
      </c>
      <c r="BC62">
        <v>114</v>
      </c>
      <c r="BD62" t="s">
        <v>74</v>
      </c>
      <c r="BE62" t="s">
        <v>2225</v>
      </c>
      <c r="BF62" t="str">
        <f>HYPERLINK("http://dx.doi.org/10.1002/iroh.201902033","http://dx.doi.org/10.1002/iroh.201902033")</f>
        <v>http://dx.doi.org/10.1002/iroh.201902033</v>
      </c>
      <c r="BG62" t="s">
        <v>74</v>
      </c>
      <c r="BH62" t="s">
        <v>2209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2226</v>
      </c>
      <c r="BT62" t="str">
        <f>HYPERLINK("https%3A%2F%2Fwww.webofscience.com%2Fwos%2Fwoscc%2Ffull-record%2FWOS:000527078900001","View Full Record in Web of Science")</f>
        <v>View Full Record in Web of Science</v>
      </c>
    </row>
    <row r="63" spans="1:72" x14ac:dyDescent="0.2">
      <c r="A63" t="s">
        <v>72</v>
      </c>
      <c r="B63" t="s">
        <v>2227</v>
      </c>
      <c r="C63" t="s">
        <v>74</v>
      </c>
      <c r="D63" t="s">
        <v>74</v>
      </c>
      <c r="E63" t="s">
        <v>74</v>
      </c>
      <c r="F63" t="s">
        <v>2228</v>
      </c>
      <c r="G63" t="s">
        <v>74</v>
      </c>
      <c r="H63" t="s">
        <v>74</v>
      </c>
      <c r="I63" t="s">
        <v>2229</v>
      </c>
      <c r="J63" t="s">
        <v>1299</v>
      </c>
      <c r="K63" t="s">
        <v>74</v>
      </c>
      <c r="L63" t="s">
        <v>74</v>
      </c>
      <c r="M63" t="s">
        <v>74</v>
      </c>
      <c r="N63" t="s">
        <v>74</v>
      </c>
      <c r="O63" t="s">
        <v>74</v>
      </c>
      <c r="P63" t="s">
        <v>74</v>
      </c>
      <c r="Q63" t="s">
        <v>74</v>
      </c>
      <c r="R63" t="s">
        <v>74</v>
      </c>
      <c r="S63" t="s">
        <v>74</v>
      </c>
      <c r="T63" t="s">
        <v>74</v>
      </c>
      <c r="U63" t="s">
        <v>74</v>
      </c>
      <c r="V63" t="s">
        <v>74</v>
      </c>
      <c r="W63" t="s">
        <v>74</v>
      </c>
      <c r="X63" t="s">
        <v>74</v>
      </c>
      <c r="Y63" t="s">
        <v>74</v>
      </c>
      <c r="Z63" t="s">
        <v>74</v>
      </c>
      <c r="AA63" t="s">
        <v>74</v>
      </c>
      <c r="AB63" t="s">
        <v>2230</v>
      </c>
      <c r="AC63" t="s">
        <v>74</v>
      </c>
      <c r="AD63" t="s">
        <v>74</v>
      </c>
      <c r="AE63" t="s">
        <v>74</v>
      </c>
      <c r="AF63" t="s">
        <v>74</v>
      </c>
      <c r="AG63" t="s">
        <v>74</v>
      </c>
      <c r="AH63" t="s">
        <v>74</v>
      </c>
      <c r="AI63" t="s">
        <v>74</v>
      </c>
      <c r="AJ63" t="s">
        <v>74</v>
      </c>
      <c r="AK63" t="s">
        <v>74</v>
      </c>
      <c r="AL63" t="s">
        <v>74</v>
      </c>
      <c r="AM63" t="s">
        <v>74</v>
      </c>
      <c r="AN63" t="s">
        <v>74</v>
      </c>
      <c r="AO63" t="s">
        <v>1302</v>
      </c>
      <c r="AP63" t="s">
        <v>1303</v>
      </c>
      <c r="AQ63" t="s">
        <v>74</v>
      </c>
      <c r="AR63" t="s">
        <v>74</v>
      </c>
      <c r="AS63" t="s">
        <v>74</v>
      </c>
      <c r="AT63" t="s">
        <v>575</v>
      </c>
      <c r="AU63">
        <v>2020</v>
      </c>
      <c r="AV63">
        <v>193</v>
      </c>
      <c r="AW63">
        <v>1</v>
      </c>
      <c r="AX63" t="s">
        <v>74</v>
      </c>
      <c r="AY63" t="s">
        <v>74</v>
      </c>
      <c r="AZ63" t="s">
        <v>74</v>
      </c>
      <c r="BA63" t="s">
        <v>74</v>
      </c>
      <c r="BB63">
        <v>135</v>
      </c>
      <c r="BC63">
        <v>142</v>
      </c>
      <c r="BD63" t="s">
        <v>74</v>
      </c>
      <c r="BE63" t="s">
        <v>2231</v>
      </c>
      <c r="BF63" t="str">
        <f>HYPERLINK("http://dx.doi.org/10.1007/s00442-020-04651-7","http://dx.doi.org/10.1007/s00442-020-04651-7")</f>
        <v>http://dx.doi.org/10.1007/s00442-020-04651-7</v>
      </c>
      <c r="BG63" t="s">
        <v>74</v>
      </c>
      <c r="BH63" t="s">
        <v>2209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>
        <v>32307672</v>
      </c>
      <c r="BO63" t="s">
        <v>74</v>
      </c>
      <c r="BP63" t="s">
        <v>74</v>
      </c>
      <c r="BQ63" t="s">
        <v>74</v>
      </c>
      <c r="BR63" t="s">
        <v>74</v>
      </c>
      <c r="BS63" t="s">
        <v>2232</v>
      </c>
      <c r="BT63" t="str">
        <f>HYPERLINK("https%3A%2F%2Fwww.webofscience.com%2Fwos%2Fwoscc%2Ffull-record%2FWOS:000527493100001","View Full Record in Web of Science")</f>
        <v>View Full Record in Web of Science</v>
      </c>
    </row>
    <row r="64" spans="1:72" x14ac:dyDescent="0.2">
      <c r="A64" t="s">
        <v>72</v>
      </c>
      <c r="B64" t="s">
        <v>2245</v>
      </c>
      <c r="C64" t="s">
        <v>74</v>
      </c>
      <c r="D64" t="s">
        <v>74</v>
      </c>
      <c r="E64" t="s">
        <v>74</v>
      </c>
      <c r="F64" t="s">
        <v>2246</v>
      </c>
      <c r="G64" t="s">
        <v>74</v>
      </c>
      <c r="H64" t="s">
        <v>74</v>
      </c>
      <c r="I64" t="s">
        <v>2247</v>
      </c>
      <c r="J64" t="s">
        <v>1543</v>
      </c>
      <c r="K64" t="s">
        <v>74</v>
      </c>
      <c r="L64" t="s">
        <v>74</v>
      </c>
      <c r="M64" t="s">
        <v>74</v>
      </c>
      <c r="N64" t="s">
        <v>74</v>
      </c>
      <c r="O64" t="s">
        <v>74</v>
      </c>
      <c r="P64" t="s">
        <v>74</v>
      </c>
      <c r="Q64" t="s">
        <v>74</v>
      </c>
      <c r="R64" t="s">
        <v>74</v>
      </c>
      <c r="S64" t="s">
        <v>74</v>
      </c>
      <c r="T64" t="s">
        <v>74</v>
      </c>
      <c r="U64" t="s">
        <v>74</v>
      </c>
      <c r="V64" t="s">
        <v>74</v>
      </c>
      <c r="W64" t="s">
        <v>74</v>
      </c>
      <c r="X64" t="s">
        <v>74</v>
      </c>
      <c r="Y64" t="s">
        <v>74</v>
      </c>
      <c r="Z64" t="s">
        <v>74</v>
      </c>
      <c r="AA64" t="s">
        <v>6939</v>
      </c>
      <c r="AB64" t="s">
        <v>6940</v>
      </c>
      <c r="AC64" t="s">
        <v>74</v>
      </c>
      <c r="AD64" t="s">
        <v>74</v>
      </c>
      <c r="AE64" t="s">
        <v>74</v>
      </c>
      <c r="AF64" t="s">
        <v>74</v>
      </c>
      <c r="AG64" t="s">
        <v>74</v>
      </c>
      <c r="AH64" t="s">
        <v>74</v>
      </c>
      <c r="AI64" t="s">
        <v>74</v>
      </c>
      <c r="AJ64" t="s">
        <v>74</v>
      </c>
      <c r="AK64" t="s">
        <v>74</v>
      </c>
      <c r="AL64" t="s">
        <v>74</v>
      </c>
      <c r="AM64" t="s">
        <v>74</v>
      </c>
      <c r="AN64" t="s">
        <v>74</v>
      </c>
      <c r="AO64" t="s">
        <v>1545</v>
      </c>
      <c r="AP64" t="s">
        <v>1546</v>
      </c>
      <c r="AQ64" t="s">
        <v>74</v>
      </c>
      <c r="AR64" t="s">
        <v>74</v>
      </c>
      <c r="AS64" t="s">
        <v>74</v>
      </c>
      <c r="AT64" t="s">
        <v>286</v>
      </c>
      <c r="AU64">
        <v>2020</v>
      </c>
      <c r="AV64">
        <v>10</v>
      </c>
      <c r="AW64">
        <v>2</v>
      </c>
      <c r="AX64" t="s">
        <v>74</v>
      </c>
      <c r="AY64" t="s">
        <v>74</v>
      </c>
      <c r="AZ64" t="s">
        <v>74</v>
      </c>
      <c r="BA64" t="s">
        <v>74</v>
      </c>
      <c r="BB64">
        <v>212</v>
      </c>
      <c r="BC64">
        <v>226</v>
      </c>
      <c r="BD64" t="s">
        <v>74</v>
      </c>
      <c r="BE64" t="s">
        <v>2248</v>
      </c>
      <c r="BF64" t="str">
        <f>HYPERLINK("http://dx.doi.org/10.1080/20442041.2020.1724047","http://dx.doi.org/10.1080/20442041.2020.1724047")</f>
        <v>http://dx.doi.org/10.1080/20442041.2020.1724047</v>
      </c>
      <c r="BG64" t="s">
        <v>74</v>
      </c>
      <c r="BH64" t="s">
        <v>2209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74</v>
      </c>
      <c r="BP64" t="s">
        <v>74</v>
      </c>
      <c r="BQ64" t="s">
        <v>74</v>
      </c>
      <c r="BR64" t="s">
        <v>74</v>
      </c>
      <c r="BS64" t="s">
        <v>2249</v>
      </c>
      <c r="BT64" t="str">
        <f>HYPERLINK("https%3A%2F%2Fwww.webofscience.com%2Fwos%2Fwoscc%2Ffull-record%2FWOS:000525133100001","View Full Record in Web of Science")</f>
        <v>View Full Record in Web of Science</v>
      </c>
    </row>
    <row r="65" spans="1:72" x14ac:dyDescent="0.2">
      <c r="A65" t="s">
        <v>72</v>
      </c>
      <c r="B65" t="s">
        <v>2250</v>
      </c>
      <c r="C65" t="s">
        <v>74</v>
      </c>
      <c r="D65" t="s">
        <v>74</v>
      </c>
      <c r="E65" t="s">
        <v>74</v>
      </c>
      <c r="F65" t="s">
        <v>2251</v>
      </c>
      <c r="G65" t="s">
        <v>74</v>
      </c>
      <c r="H65" t="s">
        <v>74</v>
      </c>
      <c r="I65" t="s">
        <v>2252</v>
      </c>
      <c r="J65" t="s">
        <v>124</v>
      </c>
      <c r="K65" t="s">
        <v>74</v>
      </c>
      <c r="L65" t="s">
        <v>74</v>
      </c>
      <c r="M65" t="s">
        <v>74</v>
      </c>
      <c r="N65" t="s">
        <v>74</v>
      </c>
      <c r="O65" t="s">
        <v>74</v>
      </c>
      <c r="P65" t="s">
        <v>74</v>
      </c>
      <c r="Q65" t="s">
        <v>74</v>
      </c>
      <c r="R65" t="s">
        <v>74</v>
      </c>
      <c r="S65" t="s">
        <v>74</v>
      </c>
      <c r="T65" t="s">
        <v>74</v>
      </c>
      <c r="U65" t="s">
        <v>74</v>
      </c>
      <c r="V65" t="s">
        <v>74</v>
      </c>
      <c r="W65" t="s">
        <v>74</v>
      </c>
      <c r="X65" t="s">
        <v>74</v>
      </c>
      <c r="Y65" t="s">
        <v>74</v>
      </c>
      <c r="Z65" t="s">
        <v>74</v>
      </c>
      <c r="AA65" t="s">
        <v>6941</v>
      </c>
      <c r="AB65" t="s">
        <v>6942</v>
      </c>
      <c r="AC65" t="s">
        <v>74</v>
      </c>
      <c r="AD65" t="s">
        <v>74</v>
      </c>
      <c r="AE65" t="s">
        <v>74</v>
      </c>
      <c r="AF65" t="s">
        <v>74</v>
      </c>
      <c r="AG65" t="s">
        <v>74</v>
      </c>
      <c r="AH65" t="s">
        <v>74</v>
      </c>
      <c r="AI65" t="s">
        <v>74</v>
      </c>
      <c r="AJ65" t="s">
        <v>74</v>
      </c>
      <c r="AK65" t="s">
        <v>74</v>
      </c>
      <c r="AL65" t="s">
        <v>74</v>
      </c>
      <c r="AM65" t="s">
        <v>74</v>
      </c>
      <c r="AN65" t="s">
        <v>74</v>
      </c>
      <c r="AO65" t="s">
        <v>127</v>
      </c>
      <c r="AP65" t="s">
        <v>128</v>
      </c>
      <c r="AQ65" t="s">
        <v>74</v>
      </c>
      <c r="AR65" t="s">
        <v>74</v>
      </c>
      <c r="AS65" t="s">
        <v>74</v>
      </c>
      <c r="AT65" t="s">
        <v>406</v>
      </c>
      <c r="AU65">
        <v>2020</v>
      </c>
      <c r="AV65">
        <v>847</v>
      </c>
      <c r="AW65">
        <v>18</v>
      </c>
      <c r="AX65" t="s">
        <v>74</v>
      </c>
      <c r="AY65" t="s">
        <v>74</v>
      </c>
      <c r="AZ65" t="s">
        <v>632</v>
      </c>
      <c r="BA65" t="s">
        <v>74</v>
      </c>
      <c r="BB65">
        <v>3845</v>
      </c>
      <c r="BC65">
        <v>3856</v>
      </c>
      <c r="BD65" t="s">
        <v>74</v>
      </c>
      <c r="BE65" t="s">
        <v>2253</v>
      </c>
      <c r="BF65" t="str">
        <f>HYPERLINK("http://dx.doi.org/10.1007/s10750-020-04234-w","http://dx.doi.org/10.1007/s10750-020-04234-w")</f>
        <v>http://dx.doi.org/10.1007/s10750-020-04234-w</v>
      </c>
      <c r="BG65" t="s">
        <v>74</v>
      </c>
      <c r="BH65" t="s">
        <v>2209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 t="s">
        <v>74</v>
      </c>
      <c r="BR65" t="s">
        <v>74</v>
      </c>
      <c r="BS65" t="s">
        <v>2254</v>
      </c>
      <c r="BT65" t="str">
        <f>HYPERLINK("https%3A%2F%2Fwww.webofscience.com%2Fwos%2Fwoscc%2Ffull-record%2FWOS:000523103900001","View Full Record in Web of Science")</f>
        <v>View Full Record in Web of Science</v>
      </c>
    </row>
    <row r="66" spans="1:72" x14ac:dyDescent="0.2">
      <c r="A66" t="s">
        <v>72</v>
      </c>
      <c r="B66" t="s">
        <v>2275</v>
      </c>
      <c r="C66" t="s">
        <v>74</v>
      </c>
      <c r="D66" t="s">
        <v>74</v>
      </c>
      <c r="E66" t="s">
        <v>74</v>
      </c>
      <c r="F66" t="s">
        <v>2276</v>
      </c>
      <c r="G66" t="s">
        <v>74</v>
      </c>
      <c r="H66" t="s">
        <v>74</v>
      </c>
      <c r="I66" t="s">
        <v>2277</v>
      </c>
      <c r="J66" t="s">
        <v>2278</v>
      </c>
      <c r="K66" t="s">
        <v>74</v>
      </c>
      <c r="L66" t="s">
        <v>74</v>
      </c>
      <c r="M66" t="s">
        <v>74</v>
      </c>
      <c r="N66" t="s">
        <v>74</v>
      </c>
      <c r="O66" t="s">
        <v>74</v>
      </c>
      <c r="P66" t="s">
        <v>74</v>
      </c>
      <c r="Q66" t="s">
        <v>74</v>
      </c>
      <c r="R66" t="s">
        <v>74</v>
      </c>
      <c r="S66" t="s">
        <v>74</v>
      </c>
      <c r="T66" t="s">
        <v>74</v>
      </c>
      <c r="U66" t="s">
        <v>74</v>
      </c>
      <c r="V66" t="s">
        <v>74</v>
      </c>
      <c r="W66" t="s">
        <v>74</v>
      </c>
      <c r="X66" t="s">
        <v>74</v>
      </c>
      <c r="Y66" t="s">
        <v>74</v>
      </c>
      <c r="Z66" t="s">
        <v>74</v>
      </c>
      <c r="AA66" t="s">
        <v>6949</v>
      </c>
      <c r="AB66" t="s">
        <v>6950</v>
      </c>
      <c r="AC66" t="s">
        <v>74</v>
      </c>
      <c r="AD66" t="s">
        <v>74</v>
      </c>
      <c r="AE66" t="s">
        <v>74</v>
      </c>
      <c r="AF66" t="s">
        <v>74</v>
      </c>
      <c r="AG66" t="s">
        <v>74</v>
      </c>
      <c r="AH66" t="s">
        <v>74</v>
      </c>
      <c r="AI66" t="s">
        <v>74</v>
      </c>
      <c r="AJ66" t="s">
        <v>74</v>
      </c>
      <c r="AK66" t="s">
        <v>74</v>
      </c>
      <c r="AL66" t="s">
        <v>74</v>
      </c>
      <c r="AM66" t="s">
        <v>74</v>
      </c>
      <c r="AN66" t="s">
        <v>74</v>
      </c>
      <c r="AO66" t="s">
        <v>2279</v>
      </c>
      <c r="AP66" t="s">
        <v>2280</v>
      </c>
      <c r="AQ66" t="s">
        <v>74</v>
      </c>
      <c r="AR66" t="s">
        <v>74</v>
      </c>
      <c r="AS66" t="s">
        <v>74</v>
      </c>
      <c r="AT66" t="s">
        <v>203</v>
      </c>
      <c r="AU66">
        <v>2020</v>
      </c>
      <c r="AV66">
        <v>223</v>
      </c>
      <c r="AW66">
        <v>7</v>
      </c>
      <c r="AX66" t="s">
        <v>74</v>
      </c>
      <c r="AY66" t="s">
        <v>74</v>
      </c>
      <c r="AZ66" t="s">
        <v>74</v>
      </c>
      <c r="BA66" t="s">
        <v>74</v>
      </c>
      <c r="BB66" t="s">
        <v>74</v>
      </c>
      <c r="BC66" t="s">
        <v>74</v>
      </c>
      <c r="BD66" t="s">
        <v>2281</v>
      </c>
      <c r="BE66" t="s">
        <v>2282</v>
      </c>
      <c r="BF66" t="str">
        <f>HYPERLINK("http://dx.doi.org/10.1242/jeb.209676","http://dx.doi.org/10.1242/jeb.209676")</f>
        <v>http://dx.doi.org/10.1242/jeb.209676</v>
      </c>
      <c r="BG66" t="s">
        <v>74</v>
      </c>
      <c r="BH66" t="s">
        <v>74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">
        <v>2283</v>
      </c>
      <c r="BT66" t="str">
        <f>HYPERLINK("https%3A%2F%2Fwww.webofscience.com%2Fwos%2Fwoscc%2Ffull-record%2FWOS:000541832400004","View Full Record in Web of Science")</f>
        <v>View Full Record in Web of Science</v>
      </c>
    </row>
    <row r="67" spans="1:72" x14ac:dyDescent="0.2">
      <c r="A67" t="s">
        <v>72</v>
      </c>
      <c r="B67" t="s">
        <v>2284</v>
      </c>
      <c r="C67" t="s">
        <v>74</v>
      </c>
      <c r="D67" t="s">
        <v>74</v>
      </c>
      <c r="E67" t="s">
        <v>74</v>
      </c>
      <c r="F67" t="s">
        <v>2285</v>
      </c>
      <c r="G67" t="s">
        <v>74</v>
      </c>
      <c r="H67" t="s">
        <v>74</v>
      </c>
      <c r="I67" t="s">
        <v>2286</v>
      </c>
      <c r="J67" t="s">
        <v>381</v>
      </c>
      <c r="K67" t="s">
        <v>74</v>
      </c>
      <c r="L67" t="s">
        <v>74</v>
      </c>
      <c r="M67" t="s">
        <v>74</v>
      </c>
      <c r="N67" t="s">
        <v>74</v>
      </c>
      <c r="O67" t="s">
        <v>74</v>
      </c>
      <c r="P67" t="s">
        <v>74</v>
      </c>
      <c r="Q67" t="s">
        <v>74</v>
      </c>
      <c r="R67" t="s">
        <v>74</v>
      </c>
      <c r="S67" t="s">
        <v>74</v>
      </c>
      <c r="T67" t="s">
        <v>74</v>
      </c>
      <c r="U67" t="s">
        <v>74</v>
      </c>
      <c r="V67" t="s">
        <v>74</v>
      </c>
      <c r="W67" t="s">
        <v>74</v>
      </c>
      <c r="X67" t="s">
        <v>74</v>
      </c>
      <c r="Y67" t="s">
        <v>74</v>
      </c>
      <c r="Z67" t="s">
        <v>74</v>
      </c>
      <c r="AA67" t="s">
        <v>6951</v>
      </c>
      <c r="AB67" t="s">
        <v>2161</v>
      </c>
      <c r="AC67" t="s">
        <v>74</v>
      </c>
      <c r="AD67" t="s">
        <v>74</v>
      </c>
      <c r="AE67" t="s">
        <v>74</v>
      </c>
      <c r="AF67" t="s">
        <v>74</v>
      </c>
      <c r="AG67" t="s">
        <v>74</v>
      </c>
      <c r="AH67" t="s">
        <v>74</v>
      </c>
      <c r="AI67" t="s">
        <v>74</v>
      </c>
      <c r="AJ67" t="s">
        <v>74</v>
      </c>
      <c r="AK67" t="s">
        <v>74</v>
      </c>
      <c r="AL67" t="s">
        <v>74</v>
      </c>
      <c r="AM67" t="s">
        <v>74</v>
      </c>
      <c r="AN67" t="s">
        <v>74</v>
      </c>
      <c r="AO67" t="s">
        <v>383</v>
      </c>
      <c r="AP67" t="s">
        <v>384</v>
      </c>
      <c r="AQ67" t="s">
        <v>74</v>
      </c>
      <c r="AR67" t="s">
        <v>74</v>
      </c>
      <c r="AS67" t="s">
        <v>74</v>
      </c>
      <c r="AT67" t="s">
        <v>203</v>
      </c>
      <c r="AU67">
        <v>2020</v>
      </c>
      <c r="AV67">
        <v>259</v>
      </c>
      <c r="AW67" t="s">
        <v>74</v>
      </c>
      <c r="AX67" t="s">
        <v>74</v>
      </c>
      <c r="AY67" t="s">
        <v>74</v>
      </c>
      <c r="AZ67" t="s">
        <v>74</v>
      </c>
      <c r="BA67" t="s">
        <v>74</v>
      </c>
      <c r="BB67" t="s">
        <v>74</v>
      </c>
      <c r="BC67" t="s">
        <v>74</v>
      </c>
      <c r="BD67">
        <v>113890</v>
      </c>
      <c r="BE67" t="s">
        <v>2288</v>
      </c>
      <c r="BF67" t="str">
        <f>HYPERLINK("http://dx.doi.org/10.1016/j.envpol.2019.113890","http://dx.doi.org/10.1016/j.envpol.2019.113890")</f>
        <v>http://dx.doi.org/10.1016/j.envpol.2019.113890</v>
      </c>
      <c r="BG67" t="s">
        <v>74</v>
      </c>
      <c r="BH67" t="s">
        <v>74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>
        <v>31918145</v>
      </c>
      <c r="BO67" t="s">
        <v>74</v>
      </c>
      <c r="BP67" t="s">
        <v>74</v>
      </c>
      <c r="BQ67" t="s">
        <v>74</v>
      </c>
      <c r="BR67" t="s">
        <v>74</v>
      </c>
      <c r="BS67" t="s">
        <v>2289</v>
      </c>
      <c r="BT67" t="str">
        <f>HYPERLINK("https%3A%2F%2Fwww.webofscience.com%2Fwos%2Fwoscc%2Ffull-record%2FWOS:000528534600050","View Full Record in Web of Science")</f>
        <v>View Full Record in Web of Science</v>
      </c>
    </row>
    <row r="68" spans="1:72" x14ac:dyDescent="0.2">
      <c r="A68" t="s">
        <v>72</v>
      </c>
      <c r="B68" t="s">
        <v>2306</v>
      </c>
      <c r="C68" t="s">
        <v>74</v>
      </c>
      <c r="D68" t="s">
        <v>74</v>
      </c>
      <c r="E68" t="s">
        <v>74</v>
      </c>
      <c r="F68" t="s">
        <v>2307</v>
      </c>
      <c r="G68" t="s">
        <v>74</v>
      </c>
      <c r="H68" t="s">
        <v>74</v>
      </c>
      <c r="I68" t="s">
        <v>2308</v>
      </c>
      <c r="J68" t="s">
        <v>2020</v>
      </c>
      <c r="K68" t="s">
        <v>74</v>
      </c>
      <c r="L68" t="s">
        <v>74</v>
      </c>
      <c r="M68" t="s">
        <v>74</v>
      </c>
      <c r="N68" t="s">
        <v>74</v>
      </c>
      <c r="O68" t="s">
        <v>74</v>
      </c>
      <c r="P68" t="s">
        <v>74</v>
      </c>
      <c r="Q68" t="s">
        <v>74</v>
      </c>
      <c r="R68" t="s">
        <v>74</v>
      </c>
      <c r="S68" t="s">
        <v>74</v>
      </c>
      <c r="T68" t="s">
        <v>74</v>
      </c>
      <c r="U68" t="s">
        <v>74</v>
      </c>
      <c r="V68" t="s">
        <v>74</v>
      </c>
      <c r="W68" t="s">
        <v>74</v>
      </c>
      <c r="X68" t="s">
        <v>74</v>
      </c>
      <c r="Y68" t="s">
        <v>74</v>
      </c>
      <c r="Z68" t="s">
        <v>74</v>
      </c>
      <c r="AA68" t="s">
        <v>2309</v>
      </c>
      <c r="AB68" t="s">
        <v>6952</v>
      </c>
      <c r="AC68" t="s">
        <v>74</v>
      </c>
      <c r="AD68" t="s">
        <v>74</v>
      </c>
      <c r="AE68" t="s">
        <v>74</v>
      </c>
      <c r="AF68" t="s">
        <v>74</v>
      </c>
      <c r="AG68" t="s">
        <v>74</v>
      </c>
      <c r="AH68" t="s">
        <v>74</v>
      </c>
      <c r="AI68" t="s">
        <v>74</v>
      </c>
      <c r="AJ68" t="s">
        <v>74</v>
      </c>
      <c r="AK68" t="s">
        <v>74</v>
      </c>
      <c r="AL68" t="s">
        <v>74</v>
      </c>
      <c r="AM68" t="s">
        <v>74</v>
      </c>
      <c r="AN68" t="s">
        <v>74</v>
      </c>
      <c r="AO68" t="s">
        <v>2022</v>
      </c>
      <c r="AP68" t="s">
        <v>2023</v>
      </c>
      <c r="AQ68" t="s">
        <v>74</v>
      </c>
      <c r="AR68" t="s">
        <v>74</v>
      </c>
      <c r="AS68" t="s">
        <v>74</v>
      </c>
      <c r="AT68" t="s">
        <v>1158</v>
      </c>
      <c r="AU68">
        <v>2020</v>
      </c>
      <c r="AV68">
        <v>35</v>
      </c>
      <c r="AW68">
        <v>1</v>
      </c>
      <c r="AX68" t="s">
        <v>74</v>
      </c>
      <c r="AY68" t="s">
        <v>74</v>
      </c>
      <c r="AZ68" t="s">
        <v>74</v>
      </c>
      <c r="BA68" t="s">
        <v>74</v>
      </c>
      <c r="BB68">
        <v>1</v>
      </c>
      <c r="BC68">
        <v>16</v>
      </c>
      <c r="BD68" t="s">
        <v>74</v>
      </c>
      <c r="BE68" t="s">
        <v>2310</v>
      </c>
      <c r="BF68" t="str">
        <f>HYPERLINK("http://dx.doi.org/10.1080/0269249X.2020.1722246","http://dx.doi.org/10.1080/0269249X.2020.1722246")</f>
        <v>http://dx.doi.org/10.1080/0269249X.2020.1722246</v>
      </c>
      <c r="BG68" t="s">
        <v>74</v>
      </c>
      <c r="BH68" t="s">
        <v>2296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 t="s">
        <v>74</v>
      </c>
      <c r="BR68" t="s">
        <v>74</v>
      </c>
      <c r="BS68" t="s">
        <v>2311</v>
      </c>
      <c r="BT68" t="str">
        <f>HYPERLINK("https%3A%2F%2Fwww.webofscience.com%2Fwos%2Fwoscc%2Ffull-record%2FWOS:000518525100001","View Full Record in Web of Science")</f>
        <v>View Full Record in Web of Science</v>
      </c>
    </row>
    <row r="69" spans="1:72" x14ac:dyDescent="0.2">
      <c r="A69" t="s">
        <v>72</v>
      </c>
      <c r="B69" t="s">
        <v>2324</v>
      </c>
      <c r="C69" t="s">
        <v>74</v>
      </c>
      <c r="D69" t="s">
        <v>74</v>
      </c>
      <c r="E69" t="s">
        <v>74</v>
      </c>
      <c r="F69" t="s">
        <v>2325</v>
      </c>
      <c r="G69" t="s">
        <v>74</v>
      </c>
      <c r="H69" t="s">
        <v>74</v>
      </c>
      <c r="I69" t="s">
        <v>2326</v>
      </c>
      <c r="J69" t="s">
        <v>331</v>
      </c>
      <c r="K69" t="s">
        <v>74</v>
      </c>
      <c r="L69" t="s">
        <v>74</v>
      </c>
      <c r="M69" t="s">
        <v>74</v>
      </c>
      <c r="N69" t="s">
        <v>74</v>
      </c>
      <c r="O69" t="s">
        <v>74</v>
      </c>
      <c r="P69" t="s">
        <v>74</v>
      </c>
      <c r="Q69" t="s">
        <v>74</v>
      </c>
      <c r="R69" t="s">
        <v>74</v>
      </c>
      <c r="S69" t="s">
        <v>74</v>
      </c>
      <c r="T69" t="s">
        <v>74</v>
      </c>
      <c r="U69" t="s">
        <v>74</v>
      </c>
      <c r="V69" t="s">
        <v>74</v>
      </c>
      <c r="W69" t="s">
        <v>74</v>
      </c>
      <c r="X69" t="s">
        <v>74</v>
      </c>
      <c r="Y69" t="s">
        <v>74</v>
      </c>
      <c r="Z69" t="s">
        <v>74</v>
      </c>
      <c r="AA69" t="s">
        <v>6739</v>
      </c>
      <c r="AB69" t="s">
        <v>6740</v>
      </c>
      <c r="AC69" t="s">
        <v>74</v>
      </c>
      <c r="AD69" t="s">
        <v>74</v>
      </c>
      <c r="AE69" t="s">
        <v>74</v>
      </c>
      <c r="AF69" t="s">
        <v>74</v>
      </c>
      <c r="AG69" t="s">
        <v>74</v>
      </c>
      <c r="AH69" t="s">
        <v>74</v>
      </c>
      <c r="AI69" t="s">
        <v>74</v>
      </c>
      <c r="AJ69" t="s">
        <v>74</v>
      </c>
      <c r="AK69" t="s">
        <v>74</v>
      </c>
      <c r="AL69" t="s">
        <v>74</v>
      </c>
      <c r="AM69" t="s">
        <v>74</v>
      </c>
      <c r="AN69" t="s">
        <v>74</v>
      </c>
      <c r="AO69" t="s">
        <v>74</v>
      </c>
      <c r="AP69" t="s">
        <v>334</v>
      </c>
      <c r="AQ69" t="s">
        <v>74</v>
      </c>
      <c r="AR69" t="s">
        <v>74</v>
      </c>
      <c r="AS69" t="s">
        <v>74</v>
      </c>
      <c r="AT69" t="s">
        <v>157</v>
      </c>
      <c r="AU69">
        <v>2020</v>
      </c>
      <c r="AV69">
        <v>12</v>
      </c>
      <c r="AW69">
        <v>3</v>
      </c>
      <c r="AX69" t="s">
        <v>74</v>
      </c>
      <c r="AY69" t="s">
        <v>74</v>
      </c>
      <c r="AZ69" t="s">
        <v>74</v>
      </c>
      <c r="BA69" t="s">
        <v>74</v>
      </c>
      <c r="BB69" t="s">
        <v>74</v>
      </c>
      <c r="BC69" t="s">
        <v>74</v>
      </c>
      <c r="BD69">
        <v>706</v>
      </c>
      <c r="BE69" t="s">
        <v>2327</v>
      </c>
      <c r="BF69" t="str">
        <f>HYPERLINK("http://dx.doi.org/10.3390/w12030706","http://dx.doi.org/10.3390/w12030706")</f>
        <v>http://dx.doi.org/10.3390/w12030706</v>
      </c>
      <c r="BG69" t="s">
        <v>74</v>
      </c>
      <c r="BH69" t="s">
        <v>74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 t="s">
        <v>74</v>
      </c>
      <c r="BR69" t="s">
        <v>74</v>
      </c>
      <c r="BS69" t="s">
        <v>2328</v>
      </c>
      <c r="BT69" t="str">
        <f>HYPERLINK("https%3A%2F%2Fwww.webofscience.com%2Fwos%2Fwoscc%2Ffull-record%2FWOS:000529249500091","View Full Record in Web of Science")</f>
        <v>View Full Record in Web of Science</v>
      </c>
    </row>
    <row r="70" spans="1:72" x14ac:dyDescent="0.2">
      <c r="A70" t="s">
        <v>72</v>
      </c>
      <c r="B70" t="s">
        <v>2329</v>
      </c>
      <c r="C70" t="s">
        <v>74</v>
      </c>
      <c r="D70" t="s">
        <v>74</v>
      </c>
      <c r="E70" t="s">
        <v>74</v>
      </c>
      <c r="F70" t="s">
        <v>2330</v>
      </c>
      <c r="G70" t="s">
        <v>74</v>
      </c>
      <c r="H70" t="s">
        <v>74</v>
      </c>
      <c r="I70" t="s">
        <v>2331</v>
      </c>
      <c r="J70" t="s">
        <v>97</v>
      </c>
      <c r="K70" t="s">
        <v>74</v>
      </c>
      <c r="L70" t="s">
        <v>74</v>
      </c>
      <c r="M70" t="s">
        <v>74</v>
      </c>
      <c r="N70" t="s">
        <v>74</v>
      </c>
      <c r="O70" t="s">
        <v>74</v>
      </c>
      <c r="P70" t="s">
        <v>74</v>
      </c>
      <c r="Q70" t="s">
        <v>74</v>
      </c>
      <c r="R70" t="s">
        <v>74</v>
      </c>
      <c r="S70" t="s">
        <v>74</v>
      </c>
      <c r="T70" t="s">
        <v>74</v>
      </c>
      <c r="U70" t="s">
        <v>74</v>
      </c>
      <c r="V70" t="s">
        <v>74</v>
      </c>
      <c r="W70" t="s">
        <v>74</v>
      </c>
      <c r="X70" t="s">
        <v>74</v>
      </c>
      <c r="Y70" t="s">
        <v>74</v>
      </c>
      <c r="Z70" t="s">
        <v>74</v>
      </c>
      <c r="AA70" t="s">
        <v>74</v>
      </c>
      <c r="AB70" t="s">
        <v>74</v>
      </c>
      <c r="AC70" t="s">
        <v>74</v>
      </c>
      <c r="AD70" t="s">
        <v>74</v>
      </c>
      <c r="AE70" t="s">
        <v>74</v>
      </c>
      <c r="AF70" t="s">
        <v>74</v>
      </c>
      <c r="AG70" t="s">
        <v>74</v>
      </c>
      <c r="AH70" t="s">
        <v>74</v>
      </c>
      <c r="AI70" t="s">
        <v>74</v>
      </c>
      <c r="AJ70" t="s">
        <v>74</v>
      </c>
      <c r="AK70" t="s">
        <v>74</v>
      </c>
      <c r="AL70" t="s">
        <v>74</v>
      </c>
      <c r="AM70" t="s">
        <v>74</v>
      </c>
      <c r="AN70" t="s">
        <v>74</v>
      </c>
      <c r="AO70" t="s">
        <v>98</v>
      </c>
      <c r="AP70" t="s">
        <v>99</v>
      </c>
      <c r="AQ70" t="s">
        <v>74</v>
      </c>
      <c r="AR70" t="s">
        <v>74</v>
      </c>
      <c r="AS70" t="s">
        <v>74</v>
      </c>
      <c r="AT70" t="s">
        <v>157</v>
      </c>
      <c r="AU70">
        <v>2020</v>
      </c>
      <c r="AV70">
        <v>54</v>
      </c>
      <c r="AW70">
        <v>1</v>
      </c>
      <c r="AX70" t="s">
        <v>74</v>
      </c>
      <c r="AY70" t="s">
        <v>74</v>
      </c>
      <c r="AZ70" t="s">
        <v>74</v>
      </c>
      <c r="BA70" t="s">
        <v>74</v>
      </c>
      <c r="BB70">
        <v>35</v>
      </c>
      <c r="BC70">
        <v>44</v>
      </c>
      <c r="BD70" t="s">
        <v>74</v>
      </c>
      <c r="BE70" t="s">
        <v>2332</v>
      </c>
      <c r="BF70" t="str">
        <f>HYPERLINK("http://dx.doi.org/10.1007/s10452-019-09724-1","http://dx.doi.org/10.1007/s10452-019-09724-1")</f>
        <v>http://dx.doi.org/10.1007/s10452-019-09724-1</v>
      </c>
      <c r="BG70" t="s">
        <v>74</v>
      </c>
      <c r="BH70" t="s">
        <v>74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 t="s">
        <v>74</v>
      </c>
      <c r="BR70" t="s">
        <v>74</v>
      </c>
      <c r="BS70" t="s">
        <v>2333</v>
      </c>
      <c r="BT70" t="str">
        <f>HYPERLINK("https%3A%2F%2Fwww.webofscience.com%2Fwos%2Fwoscc%2Ffull-record%2FWOS:000511625400003","View Full Record in Web of Science")</f>
        <v>View Full Record in Web of Science</v>
      </c>
    </row>
    <row r="71" spans="1:72" x14ac:dyDescent="0.2">
      <c r="A71" t="s">
        <v>72</v>
      </c>
      <c r="B71" t="s">
        <v>2342</v>
      </c>
      <c r="C71" t="s">
        <v>74</v>
      </c>
      <c r="D71" t="s">
        <v>74</v>
      </c>
      <c r="E71" t="s">
        <v>74</v>
      </c>
      <c r="F71" t="s">
        <v>2343</v>
      </c>
      <c r="G71" t="s">
        <v>74</v>
      </c>
      <c r="H71" t="s">
        <v>74</v>
      </c>
      <c r="I71" t="s">
        <v>2344</v>
      </c>
      <c r="J71" t="s">
        <v>124</v>
      </c>
      <c r="K71" t="s">
        <v>74</v>
      </c>
      <c r="L71" t="s">
        <v>74</v>
      </c>
      <c r="M71" t="s">
        <v>74</v>
      </c>
      <c r="N71" t="s">
        <v>74</v>
      </c>
      <c r="O71" t="s">
        <v>74</v>
      </c>
      <c r="P71" t="s">
        <v>74</v>
      </c>
      <c r="Q71" t="s">
        <v>74</v>
      </c>
      <c r="R71" t="s">
        <v>74</v>
      </c>
      <c r="S71" t="s">
        <v>74</v>
      </c>
      <c r="T71" t="s">
        <v>74</v>
      </c>
      <c r="U71" t="s">
        <v>74</v>
      </c>
      <c r="V71" t="s">
        <v>74</v>
      </c>
      <c r="W71" t="s">
        <v>74</v>
      </c>
      <c r="X71" t="s">
        <v>74</v>
      </c>
      <c r="Y71" t="s">
        <v>74</v>
      </c>
      <c r="Z71" t="s">
        <v>74</v>
      </c>
      <c r="AA71" t="s">
        <v>2345</v>
      </c>
      <c r="AB71" t="s">
        <v>6955</v>
      </c>
      <c r="AC71" t="s">
        <v>74</v>
      </c>
      <c r="AD71" t="s">
        <v>74</v>
      </c>
      <c r="AE71" t="s">
        <v>74</v>
      </c>
      <c r="AF71" t="s">
        <v>74</v>
      </c>
      <c r="AG71" t="s">
        <v>74</v>
      </c>
      <c r="AH71" t="s">
        <v>74</v>
      </c>
      <c r="AI71" t="s">
        <v>74</v>
      </c>
      <c r="AJ71" t="s">
        <v>74</v>
      </c>
      <c r="AK71" t="s">
        <v>74</v>
      </c>
      <c r="AL71" t="s">
        <v>74</v>
      </c>
      <c r="AM71" t="s">
        <v>74</v>
      </c>
      <c r="AN71" t="s">
        <v>74</v>
      </c>
      <c r="AO71" t="s">
        <v>127</v>
      </c>
      <c r="AP71" t="s">
        <v>128</v>
      </c>
      <c r="AQ71" t="s">
        <v>74</v>
      </c>
      <c r="AR71" t="s">
        <v>74</v>
      </c>
      <c r="AS71" t="s">
        <v>74</v>
      </c>
      <c r="AT71" t="s">
        <v>416</v>
      </c>
      <c r="AU71">
        <v>2020</v>
      </c>
      <c r="AV71">
        <v>847</v>
      </c>
      <c r="AW71">
        <v>3</v>
      </c>
      <c r="AX71" t="s">
        <v>74</v>
      </c>
      <c r="AY71" t="s">
        <v>74</v>
      </c>
      <c r="AZ71" t="s">
        <v>74</v>
      </c>
      <c r="BA71" t="s">
        <v>74</v>
      </c>
      <c r="BB71">
        <v>857</v>
      </c>
      <c r="BC71">
        <v>878</v>
      </c>
      <c r="BD71" t="s">
        <v>74</v>
      </c>
      <c r="BE71" t="s">
        <v>2346</v>
      </c>
      <c r="BF71" t="str">
        <f>HYPERLINK("http://dx.doi.org/10.1007/s10750-019-04147-3","http://dx.doi.org/10.1007/s10750-019-04147-3")</f>
        <v>http://dx.doi.org/10.1007/s10750-019-04147-3</v>
      </c>
      <c r="BG71" t="s">
        <v>74</v>
      </c>
      <c r="BH71" t="s">
        <v>74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 t="s">
        <v>74</v>
      </c>
      <c r="BO71" t="s">
        <v>74</v>
      </c>
      <c r="BP71" t="s">
        <v>74</v>
      </c>
      <c r="BQ71" t="s">
        <v>74</v>
      </c>
      <c r="BR71" t="s">
        <v>74</v>
      </c>
      <c r="BS71" t="s">
        <v>2347</v>
      </c>
      <c r="BT71" t="str">
        <f>HYPERLINK("https%3A%2F%2Fwww.webofscience.com%2Fwos%2Fwoscc%2Ffull-record%2FWOS:000512108400014","View Full Record in Web of Science")</f>
        <v>View Full Record in Web of Science</v>
      </c>
    </row>
    <row r="72" spans="1:72" x14ac:dyDescent="0.2">
      <c r="A72" t="s">
        <v>72</v>
      </c>
      <c r="B72" t="s">
        <v>2362</v>
      </c>
      <c r="C72" t="s">
        <v>74</v>
      </c>
      <c r="D72" t="s">
        <v>74</v>
      </c>
      <c r="E72" t="s">
        <v>74</v>
      </c>
      <c r="F72" t="s">
        <v>2363</v>
      </c>
      <c r="G72" t="s">
        <v>74</v>
      </c>
      <c r="H72" t="s">
        <v>74</v>
      </c>
      <c r="I72" t="s">
        <v>2364</v>
      </c>
      <c r="J72" t="s">
        <v>1543</v>
      </c>
      <c r="K72" t="s">
        <v>74</v>
      </c>
      <c r="L72" t="s">
        <v>74</v>
      </c>
      <c r="M72" t="s">
        <v>74</v>
      </c>
      <c r="N72" t="s">
        <v>74</v>
      </c>
      <c r="O72" t="s">
        <v>74</v>
      </c>
      <c r="P72" t="s">
        <v>74</v>
      </c>
      <c r="Q72" t="s">
        <v>74</v>
      </c>
      <c r="R72" t="s">
        <v>74</v>
      </c>
      <c r="S72" t="s">
        <v>74</v>
      </c>
      <c r="T72" t="s">
        <v>74</v>
      </c>
      <c r="U72" t="s">
        <v>74</v>
      </c>
      <c r="V72" t="s">
        <v>74</v>
      </c>
      <c r="W72" t="s">
        <v>74</v>
      </c>
      <c r="X72" t="s">
        <v>74</v>
      </c>
      <c r="Y72" t="s">
        <v>74</v>
      </c>
      <c r="Z72" t="s">
        <v>74</v>
      </c>
      <c r="AA72" t="s">
        <v>2365</v>
      </c>
      <c r="AB72" t="s">
        <v>2366</v>
      </c>
      <c r="AC72" t="s">
        <v>74</v>
      </c>
      <c r="AD72" t="s">
        <v>74</v>
      </c>
      <c r="AE72" t="s">
        <v>74</v>
      </c>
      <c r="AF72" t="s">
        <v>74</v>
      </c>
      <c r="AG72" t="s">
        <v>74</v>
      </c>
      <c r="AH72" t="s">
        <v>74</v>
      </c>
      <c r="AI72" t="s">
        <v>74</v>
      </c>
      <c r="AJ72" t="s">
        <v>74</v>
      </c>
      <c r="AK72" t="s">
        <v>74</v>
      </c>
      <c r="AL72" t="s">
        <v>74</v>
      </c>
      <c r="AM72" t="s">
        <v>74</v>
      </c>
      <c r="AN72" t="s">
        <v>74</v>
      </c>
      <c r="AO72" t="s">
        <v>1545</v>
      </c>
      <c r="AP72" t="s">
        <v>1546</v>
      </c>
      <c r="AQ72" t="s">
        <v>74</v>
      </c>
      <c r="AR72" t="s">
        <v>74</v>
      </c>
      <c r="AS72" t="s">
        <v>74</v>
      </c>
      <c r="AT72" t="s">
        <v>1158</v>
      </c>
      <c r="AU72">
        <v>2020</v>
      </c>
      <c r="AV72">
        <v>10</v>
      </c>
      <c r="AW72">
        <v>1</v>
      </c>
      <c r="AX72" t="s">
        <v>74</v>
      </c>
      <c r="AY72" t="s">
        <v>74</v>
      </c>
      <c r="AZ72" t="s">
        <v>74</v>
      </c>
      <c r="BA72" t="s">
        <v>74</v>
      </c>
      <c r="BB72">
        <v>89</v>
      </c>
      <c r="BC72">
        <v>100</v>
      </c>
      <c r="BD72" t="s">
        <v>74</v>
      </c>
      <c r="BE72" t="s">
        <v>2367</v>
      </c>
      <c r="BF72" t="str">
        <f>HYPERLINK("http://dx.doi.org/10.1080/20442041.2019.1671766","http://dx.doi.org/10.1080/20442041.2019.1671766")</f>
        <v>http://dx.doi.org/10.1080/20442041.2019.1671766</v>
      </c>
      <c r="BG72" t="s">
        <v>74</v>
      </c>
      <c r="BH72" t="s">
        <v>2368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 t="s">
        <v>74</v>
      </c>
      <c r="BR72" t="s">
        <v>74</v>
      </c>
      <c r="BS72" t="s">
        <v>2369</v>
      </c>
      <c r="BT72" t="str">
        <f>HYPERLINK("https%3A%2F%2Fwww.webofscience.com%2Fwos%2Fwoscc%2Ffull-record%2FWOS:000506604300001","View Full Record in Web of Science")</f>
        <v>View Full Record in Web of Science</v>
      </c>
    </row>
    <row r="73" spans="1:72" x14ac:dyDescent="0.2">
      <c r="A73" t="s">
        <v>72</v>
      </c>
      <c r="B73" t="s">
        <v>2433</v>
      </c>
      <c r="C73" t="s">
        <v>74</v>
      </c>
      <c r="D73" t="s">
        <v>74</v>
      </c>
      <c r="E73" t="s">
        <v>74</v>
      </c>
      <c r="F73" t="s">
        <v>2434</v>
      </c>
      <c r="G73" t="s">
        <v>74</v>
      </c>
      <c r="H73" t="s">
        <v>74</v>
      </c>
      <c r="I73" t="s">
        <v>2435</v>
      </c>
      <c r="J73" t="s">
        <v>106</v>
      </c>
      <c r="K73" t="s">
        <v>74</v>
      </c>
      <c r="L73" t="s">
        <v>74</v>
      </c>
      <c r="M73" t="s">
        <v>74</v>
      </c>
      <c r="N73" t="s">
        <v>74</v>
      </c>
      <c r="O73" t="s">
        <v>74</v>
      </c>
      <c r="P73" t="s">
        <v>74</v>
      </c>
      <c r="Q73" t="s">
        <v>74</v>
      </c>
      <c r="R73" t="s">
        <v>74</v>
      </c>
      <c r="S73" t="s">
        <v>74</v>
      </c>
      <c r="T73" t="s">
        <v>74</v>
      </c>
      <c r="U73" t="s">
        <v>74</v>
      </c>
      <c r="V73" t="s">
        <v>74</v>
      </c>
      <c r="W73" t="s">
        <v>74</v>
      </c>
      <c r="X73" t="s">
        <v>74</v>
      </c>
      <c r="Y73" t="s">
        <v>74</v>
      </c>
      <c r="Z73" t="s">
        <v>74</v>
      </c>
      <c r="AA73" t="s">
        <v>74</v>
      </c>
      <c r="AB73" t="s">
        <v>2436</v>
      </c>
      <c r="AC73" t="s">
        <v>74</v>
      </c>
      <c r="AD73" t="s">
        <v>74</v>
      </c>
      <c r="AE73" t="s">
        <v>74</v>
      </c>
      <c r="AF73" t="s">
        <v>74</v>
      </c>
      <c r="AG73" t="s">
        <v>74</v>
      </c>
      <c r="AH73" t="s">
        <v>74</v>
      </c>
      <c r="AI73" t="s">
        <v>74</v>
      </c>
      <c r="AJ73" t="s">
        <v>74</v>
      </c>
      <c r="AK73" t="s">
        <v>74</v>
      </c>
      <c r="AL73" t="s">
        <v>74</v>
      </c>
      <c r="AM73" t="s">
        <v>74</v>
      </c>
      <c r="AN73" t="s">
        <v>74</v>
      </c>
      <c r="AO73" t="s">
        <v>107</v>
      </c>
      <c r="AP73" t="s">
        <v>108</v>
      </c>
      <c r="AQ73" t="s">
        <v>74</v>
      </c>
      <c r="AR73" t="s">
        <v>74</v>
      </c>
      <c r="AS73" t="s">
        <v>74</v>
      </c>
      <c r="AT73" t="s">
        <v>335</v>
      </c>
      <c r="AU73">
        <v>2019</v>
      </c>
      <c r="AV73">
        <v>41</v>
      </c>
      <c r="AW73">
        <v>6</v>
      </c>
      <c r="AX73" t="s">
        <v>74</v>
      </c>
      <c r="AY73" t="s">
        <v>74</v>
      </c>
      <c r="AZ73" t="s">
        <v>74</v>
      </c>
      <c r="BA73" t="s">
        <v>74</v>
      </c>
      <c r="BB73">
        <v>849</v>
      </c>
      <c r="BC73">
        <v>864</v>
      </c>
      <c r="BD73" t="s">
        <v>74</v>
      </c>
      <c r="BE73" t="s">
        <v>2437</v>
      </c>
      <c r="BF73" t="str">
        <f>HYPERLINK("http://dx.doi.org/10.1093/plankt/fbz056","http://dx.doi.org/10.1093/plankt/fbz056")</f>
        <v>http://dx.doi.org/10.1093/plankt/fbz056</v>
      </c>
      <c r="BG73" t="s">
        <v>74</v>
      </c>
      <c r="BH73" t="s">
        <v>74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 t="s">
        <v>74</v>
      </c>
      <c r="BR73" t="s">
        <v>74</v>
      </c>
      <c r="BS73" t="s">
        <v>2438</v>
      </c>
      <c r="BT73" t="str">
        <f>HYPERLINK("https%3A%2F%2Fwww.webofscience.com%2Fwos%2Fwoscc%2Ffull-record%2FWOS:000508115500004","View Full Record in Web of Science")</f>
        <v>View Full Record in Web of Science</v>
      </c>
    </row>
    <row r="74" spans="1:72" x14ac:dyDescent="0.2">
      <c r="A74" t="s">
        <v>72</v>
      </c>
      <c r="B74" t="s">
        <v>2439</v>
      </c>
      <c r="C74" t="s">
        <v>74</v>
      </c>
      <c r="D74" t="s">
        <v>74</v>
      </c>
      <c r="E74" t="s">
        <v>74</v>
      </c>
      <c r="F74" t="s">
        <v>2440</v>
      </c>
      <c r="G74" t="s">
        <v>74</v>
      </c>
      <c r="H74" t="s">
        <v>74</v>
      </c>
      <c r="I74" t="s">
        <v>2441</v>
      </c>
      <c r="J74" t="s">
        <v>106</v>
      </c>
      <c r="K74" t="s">
        <v>74</v>
      </c>
      <c r="L74" t="s">
        <v>74</v>
      </c>
      <c r="M74" t="s">
        <v>74</v>
      </c>
      <c r="N74" t="s">
        <v>74</v>
      </c>
      <c r="O74" t="s">
        <v>74</v>
      </c>
      <c r="P74" t="s">
        <v>74</v>
      </c>
      <c r="Q74" t="s">
        <v>74</v>
      </c>
      <c r="R74" t="s">
        <v>74</v>
      </c>
      <c r="S74" t="s">
        <v>74</v>
      </c>
      <c r="T74" t="s">
        <v>74</v>
      </c>
      <c r="U74" t="s">
        <v>74</v>
      </c>
      <c r="V74" t="s">
        <v>74</v>
      </c>
      <c r="W74" t="s">
        <v>74</v>
      </c>
      <c r="X74" t="s">
        <v>74</v>
      </c>
      <c r="Y74" t="s">
        <v>74</v>
      </c>
      <c r="Z74" t="s">
        <v>74</v>
      </c>
      <c r="AA74" t="s">
        <v>74</v>
      </c>
      <c r="AB74" t="s">
        <v>74</v>
      </c>
      <c r="AC74" t="s">
        <v>74</v>
      </c>
      <c r="AD74" t="s">
        <v>74</v>
      </c>
      <c r="AE74" t="s">
        <v>74</v>
      </c>
      <c r="AF74" t="s">
        <v>74</v>
      </c>
      <c r="AG74" t="s">
        <v>74</v>
      </c>
      <c r="AH74" t="s">
        <v>74</v>
      </c>
      <c r="AI74" t="s">
        <v>74</v>
      </c>
      <c r="AJ74" t="s">
        <v>74</v>
      </c>
      <c r="AK74" t="s">
        <v>74</v>
      </c>
      <c r="AL74" t="s">
        <v>74</v>
      </c>
      <c r="AM74" t="s">
        <v>74</v>
      </c>
      <c r="AN74" t="s">
        <v>74</v>
      </c>
      <c r="AO74" t="s">
        <v>107</v>
      </c>
      <c r="AP74" t="s">
        <v>108</v>
      </c>
      <c r="AQ74" t="s">
        <v>74</v>
      </c>
      <c r="AR74" t="s">
        <v>74</v>
      </c>
      <c r="AS74" t="s">
        <v>74</v>
      </c>
      <c r="AT74" t="s">
        <v>335</v>
      </c>
      <c r="AU74">
        <v>2019</v>
      </c>
      <c r="AV74">
        <v>41</v>
      </c>
      <c r="AW74">
        <v>6</v>
      </c>
      <c r="AX74" t="s">
        <v>74</v>
      </c>
      <c r="AY74" t="s">
        <v>74</v>
      </c>
      <c r="AZ74" t="s">
        <v>74</v>
      </c>
      <c r="BA74" t="s">
        <v>74</v>
      </c>
      <c r="BB74">
        <v>939</v>
      </c>
      <c r="BC74">
        <v>954</v>
      </c>
      <c r="BD74" t="s">
        <v>74</v>
      </c>
      <c r="BE74" t="s">
        <v>2442</v>
      </c>
      <c r="BF74" t="str">
        <f>HYPERLINK("http://dx.doi.org/10.1093/plankt/fbz064","http://dx.doi.org/10.1093/plankt/fbz064")</f>
        <v>http://dx.doi.org/10.1093/plankt/fbz064</v>
      </c>
      <c r="BG74" t="s">
        <v>74</v>
      </c>
      <c r="BH74" t="s">
        <v>74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 t="s">
        <v>74</v>
      </c>
      <c r="BR74" t="s">
        <v>74</v>
      </c>
      <c r="BS74" t="s">
        <v>2443</v>
      </c>
      <c r="BT74" t="str">
        <f>HYPERLINK("https%3A%2F%2Fwww.webofscience.com%2Fwos%2Fwoscc%2Ffull-record%2FWOS:000508115500011","View Full Record in Web of Science")</f>
        <v>View Full Record in Web of Science</v>
      </c>
    </row>
    <row r="75" spans="1:72" x14ac:dyDescent="0.2">
      <c r="A75" t="s">
        <v>72</v>
      </c>
      <c r="B75" t="s">
        <v>2465</v>
      </c>
      <c r="C75" t="s">
        <v>74</v>
      </c>
      <c r="D75" t="s">
        <v>74</v>
      </c>
      <c r="E75" t="s">
        <v>74</v>
      </c>
      <c r="F75" t="s">
        <v>2466</v>
      </c>
      <c r="G75" t="s">
        <v>74</v>
      </c>
      <c r="H75" t="s">
        <v>74</v>
      </c>
      <c r="I75" t="s">
        <v>2467</v>
      </c>
      <c r="J75" t="s">
        <v>145</v>
      </c>
      <c r="K75" t="s">
        <v>74</v>
      </c>
      <c r="L75" t="s">
        <v>74</v>
      </c>
      <c r="M75" t="s">
        <v>74</v>
      </c>
      <c r="N75" t="s">
        <v>74</v>
      </c>
      <c r="O75" t="s">
        <v>74</v>
      </c>
      <c r="P75" t="s">
        <v>74</v>
      </c>
      <c r="Q75" t="s">
        <v>74</v>
      </c>
      <c r="R75" t="s">
        <v>74</v>
      </c>
      <c r="S75" t="s">
        <v>74</v>
      </c>
      <c r="T75" t="s">
        <v>74</v>
      </c>
      <c r="U75" t="s">
        <v>74</v>
      </c>
      <c r="V75" t="s">
        <v>74</v>
      </c>
      <c r="W75" t="s">
        <v>74</v>
      </c>
      <c r="X75" t="s">
        <v>74</v>
      </c>
      <c r="Y75" t="s">
        <v>74</v>
      </c>
      <c r="Z75" t="s">
        <v>74</v>
      </c>
      <c r="AA75" t="s">
        <v>2468</v>
      </c>
      <c r="AB75" t="s">
        <v>2469</v>
      </c>
      <c r="AC75" t="s">
        <v>74</v>
      </c>
      <c r="AD75" t="s">
        <v>74</v>
      </c>
      <c r="AE75" t="s">
        <v>74</v>
      </c>
      <c r="AF75" t="s">
        <v>74</v>
      </c>
      <c r="AG75" t="s">
        <v>74</v>
      </c>
      <c r="AH75" t="s">
        <v>74</v>
      </c>
      <c r="AI75" t="s">
        <v>74</v>
      </c>
      <c r="AJ75" t="s">
        <v>74</v>
      </c>
      <c r="AK75" t="s">
        <v>74</v>
      </c>
      <c r="AL75" t="s">
        <v>74</v>
      </c>
      <c r="AM75" t="s">
        <v>74</v>
      </c>
      <c r="AN75" t="s">
        <v>74</v>
      </c>
      <c r="AO75" t="s">
        <v>146</v>
      </c>
      <c r="AP75" t="s">
        <v>147</v>
      </c>
      <c r="AQ75" t="s">
        <v>74</v>
      </c>
      <c r="AR75" t="s">
        <v>74</v>
      </c>
      <c r="AS75" t="s">
        <v>74</v>
      </c>
      <c r="AT75" t="s">
        <v>2470</v>
      </c>
      <c r="AU75">
        <v>2019</v>
      </c>
      <c r="AV75">
        <v>686</v>
      </c>
      <c r="AW75" t="s">
        <v>74</v>
      </c>
      <c r="AX75" t="s">
        <v>74</v>
      </c>
      <c r="AY75" t="s">
        <v>74</v>
      </c>
      <c r="AZ75" t="s">
        <v>74</v>
      </c>
      <c r="BA75" t="s">
        <v>74</v>
      </c>
      <c r="BB75">
        <v>1173</v>
      </c>
      <c r="BC75">
        <v>1184</v>
      </c>
      <c r="BD75" t="s">
        <v>74</v>
      </c>
      <c r="BE75" t="s">
        <v>2471</v>
      </c>
      <c r="BF75" t="str">
        <f>HYPERLINK("http://dx.doi.org/10.1016/j.scitotenv.2019.05.358","http://dx.doi.org/10.1016/j.scitotenv.2019.05.358")</f>
        <v>http://dx.doi.org/10.1016/j.scitotenv.2019.05.358</v>
      </c>
      <c r="BG75" t="s">
        <v>74</v>
      </c>
      <c r="BH75" t="s">
        <v>74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>
        <v>31412513</v>
      </c>
      <c r="BO75" t="s">
        <v>74</v>
      </c>
      <c r="BP75" t="s">
        <v>74</v>
      </c>
      <c r="BQ75" t="s">
        <v>74</v>
      </c>
      <c r="BR75" t="s">
        <v>74</v>
      </c>
      <c r="BS75" t="s">
        <v>2472</v>
      </c>
      <c r="BT75" t="str">
        <f>HYPERLINK("https%3A%2F%2Fwww.webofscience.com%2Fwos%2Fwoscc%2Ffull-record%2FWOS:000479029700106","View Full Record in Web of Science")</f>
        <v>View Full Record in Web of Science</v>
      </c>
    </row>
    <row r="76" spans="1:72" x14ac:dyDescent="0.2">
      <c r="A76" t="s">
        <v>72</v>
      </c>
      <c r="B76" t="s">
        <v>2473</v>
      </c>
      <c r="C76" t="s">
        <v>74</v>
      </c>
      <c r="D76" t="s">
        <v>74</v>
      </c>
      <c r="E76" t="s">
        <v>74</v>
      </c>
      <c r="F76" t="s">
        <v>2474</v>
      </c>
      <c r="G76" t="s">
        <v>74</v>
      </c>
      <c r="H76" t="s">
        <v>74</v>
      </c>
      <c r="I76" t="s">
        <v>2475</v>
      </c>
      <c r="J76" t="s">
        <v>917</v>
      </c>
      <c r="K76" t="s">
        <v>74</v>
      </c>
      <c r="L76" t="s">
        <v>74</v>
      </c>
      <c r="M76" t="s">
        <v>74</v>
      </c>
      <c r="N76" t="s">
        <v>74</v>
      </c>
      <c r="O76" t="s">
        <v>74</v>
      </c>
      <c r="P76" t="s">
        <v>74</v>
      </c>
      <c r="Q76" t="s">
        <v>74</v>
      </c>
      <c r="R76" t="s">
        <v>74</v>
      </c>
      <c r="S76" t="s">
        <v>74</v>
      </c>
      <c r="T76" t="s">
        <v>74</v>
      </c>
      <c r="U76" t="s">
        <v>74</v>
      </c>
      <c r="V76" t="s">
        <v>74</v>
      </c>
      <c r="W76" t="s">
        <v>74</v>
      </c>
      <c r="X76" t="s">
        <v>74</v>
      </c>
      <c r="Y76" t="s">
        <v>74</v>
      </c>
      <c r="Z76" t="s">
        <v>74</v>
      </c>
      <c r="AA76" t="s">
        <v>2476</v>
      </c>
      <c r="AB76" t="s">
        <v>2477</v>
      </c>
      <c r="AC76" t="s">
        <v>74</v>
      </c>
      <c r="AD76" t="s">
        <v>74</v>
      </c>
      <c r="AE76" t="s">
        <v>74</v>
      </c>
      <c r="AF76" t="s">
        <v>74</v>
      </c>
      <c r="AG76" t="s">
        <v>74</v>
      </c>
      <c r="AH76" t="s">
        <v>74</v>
      </c>
      <c r="AI76" t="s">
        <v>74</v>
      </c>
      <c r="AJ76" t="s">
        <v>74</v>
      </c>
      <c r="AK76" t="s">
        <v>74</v>
      </c>
      <c r="AL76" t="s">
        <v>74</v>
      </c>
      <c r="AM76" t="s">
        <v>74</v>
      </c>
      <c r="AN76" t="s">
        <v>74</v>
      </c>
      <c r="AO76" t="s">
        <v>74</v>
      </c>
      <c r="AP76" t="s">
        <v>920</v>
      </c>
      <c r="AQ76" t="s">
        <v>74</v>
      </c>
      <c r="AR76" t="s">
        <v>74</v>
      </c>
      <c r="AS76" t="s">
        <v>74</v>
      </c>
      <c r="AT76" t="s">
        <v>1007</v>
      </c>
      <c r="AU76">
        <v>2019</v>
      </c>
      <c r="AV76">
        <v>11</v>
      </c>
      <c r="AW76">
        <v>19</v>
      </c>
      <c r="AX76" t="s">
        <v>74</v>
      </c>
      <c r="AY76" t="s">
        <v>74</v>
      </c>
      <c r="AZ76" t="s">
        <v>74</v>
      </c>
      <c r="BA76" t="s">
        <v>74</v>
      </c>
      <c r="BB76" t="s">
        <v>74</v>
      </c>
      <c r="BC76" t="s">
        <v>74</v>
      </c>
      <c r="BD76">
        <v>5235</v>
      </c>
      <c r="BE76" t="s">
        <v>2478</v>
      </c>
      <c r="BF76" t="str">
        <f>HYPERLINK("http://dx.doi.org/10.3390/su11195235","http://dx.doi.org/10.3390/su11195235")</f>
        <v>http://dx.doi.org/10.3390/su11195235</v>
      </c>
      <c r="BG76" t="s">
        <v>74</v>
      </c>
      <c r="BH76" t="s">
        <v>74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 t="s">
        <v>74</v>
      </c>
      <c r="BR76" t="s">
        <v>74</v>
      </c>
      <c r="BS76" t="s">
        <v>2479</v>
      </c>
      <c r="BT76" t="str">
        <f>HYPERLINK("https%3A%2F%2Fwww.webofscience.com%2Fwos%2Fwoscc%2Ffull-record%2FWOS:000493525500094","View Full Record in Web of Science")</f>
        <v>View Full Record in Web of Science</v>
      </c>
    </row>
    <row r="77" spans="1:72" x14ac:dyDescent="0.2">
      <c r="A77" t="s">
        <v>72</v>
      </c>
      <c r="B77" t="s">
        <v>2498</v>
      </c>
      <c r="C77" t="s">
        <v>74</v>
      </c>
      <c r="D77" t="s">
        <v>74</v>
      </c>
      <c r="E77" t="s">
        <v>74</v>
      </c>
      <c r="F77" t="s">
        <v>2499</v>
      </c>
      <c r="G77" t="s">
        <v>74</v>
      </c>
      <c r="H77" t="s">
        <v>74</v>
      </c>
      <c r="I77" t="s">
        <v>2500</v>
      </c>
      <c r="J77" t="s">
        <v>1299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74</v>
      </c>
      <c r="AB77" t="s">
        <v>2501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1302</v>
      </c>
      <c r="AP77" t="s">
        <v>1303</v>
      </c>
      <c r="AQ77" t="s">
        <v>74</v>
      </c>
      <c r="AR77" t="s">
        <v>74</v>
      </c>
      <c r="AS77" t="s">
        <v>74</v>
      </c>
      <c r="AT77" t="s">
        <v>451</v>
      </c>
      <c r="AU77">
        <v>2019</v>
      </c>
      <c r="AV77">
        <v>191</v>
      </c>
      <c r="AW77">
        <v>1</v>
      </c>
      <c r="AX77" t="s">
        <v>74</v>
      </c>
      <c r="AY77" t="s">
        <v>74</v>
      </c>
      <c r="AZ77" t="s">
        <v>74</v>
      </c>
      <c r="BA77" t="s">
        <v>74</v>
      </c>
      <c r="BB77">
        <v>51</v>
      </c>
      <c r="BC77">
        <v>60</v>
      </c>
      <c r="BD77" t="s">
        <v>74</v>
      </c>
      <c r="BE77" t="s">
        <v>2502</v>
      </c>
      <c r="BF77" t="str">
        <f>HYPERLINK("http://dx.doi.org/10.1007/s00442-019-04482-1","http://dx.doi.org/10.1007/s00442-019-04482-1")</f>
        <v>http://dx.doi.org/10.1007/s00442-019-04482-1</v>
      </c>
      <c r="BG77" t="s">
        <v>74</v>
      </c>
      <c r="BH77" t="s">
        <v>74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>
        <v>31428869</v>
      </c>
      <c r="BO77" t="s">
        <v>74</v>
      </c>
      <c r="BP77" t="s">
        <v>74</v>
      </c>
      <c r="BQ77" t="s">
        <v>74</v>
      </c>
      <c r="BR77" t="s">
        <v>74</v>
      </c>
      <c r="BS77" t="s">
        <v>2503</v>
      </c>
      <c r="BT77" t="str">
        <f>HYPERLINK("https%3A%2F%2Fwww.webofscience.com%2Fwos%2Fwoscc%2Ffull-record%2FWOS:000484956600005","View Full Record in Web of Science")</f>
        <v>View Full Record in Web of Science</v>
      </c>
    </row>
    <row r="78" spans="1:72" x14ac:dyDescent="0.2">
      <c r="A78" t="s">
        <v>72</v>
      </c>
      <c r="B78" t="s">
        <v>2523</v>
      </c>
      <c r="C78" t="s">
        <v>74</v>
      </c>
      <c r="D78" t="s">
        <v>74</v>
      </c>
      <c r="E78" t="s">
        <v>74</v>
      </c>
      <c r="F78" t="s">
        <v>2524</v>
      </c>
      <c r="G78" t="s">
        <v>74</v>
      </c>
      <c r="H78" t="s">
        <v>74</v>
      </c>
      <c r="I78" t="s">
        <v>2525</v>
      </c>
      <c r="J78" t="s">
        <v>2526</v>
      </c>
      <c r="K78" t="s">
        <v>74</v>
      </c>
      <c r="L78" t="s">
        <v>74</v>
      </c>
      <c r="M78" t="s">
        <v>74</v>
      </c>
      <c r="N78" t="s">
        <v>74</v>
      </c>
      <c r="O78" t="s">
        <v>74</v>
      </c>
      <c r="P78" t="s">
        <v>74</v>
      </c>
      <c r="Q78" t="s">
        <v>74</v>
      </c>
      <c r="R78" t="s">
        <v>74</v>
      </c>
      <c r="S78" t="s">
        <v>74</v>
      </c>
      <c r="T78" t="s">
        <v>74</v>
      </c>
      <c r="U78" t="s">
        <v>74</v>
      </c>
      <c r="V78" t="s">
        <v>74</v>
      </c>
      <c r="W78" t="s">
        <v>74</v>
      </c>
      <c r="X78" t="s">
        <v>74</v>
      </c>
      <c r="Y78" t="s">
        <v>74</v>
      </c>
      <c r="Z78" t="s">
        <v>74</v>
      </c>
      <c r="AA78" t="s">
        <v>6960</v>
      </c>
      <c r="AB78" t="s">
        <v>6961</v>
      </c>
      <c r="AC78" t="s">
        <v>74</v>
      </c>
      <c r="AD78" t="s">
        <v>74</v>
      </c>
      <c r="AE78" t="s">
        <v>74</v>
      </c>
      <c r="AF78" t="s">
        <v>74</v>
      </c>
      <c r="AG78" t="s">
        <v>74</v>
      </c>
      <c r="AH78" t="s">
        <v>74</v>
      </c>
      <c r="AI78" t="s">
        <v>74</v>
      </c>
      <c r="AJ78" t="s">
        <v>74</v>
      </c>
      <c r="AK78" t="s">
        <v>74</v>
      </c>
      <c r="AL78" t="s">
        <v>74</v>
      </c>
      <c r="AM78" t="s">
        <v>74</v>
      </c>
      <c r="AN78" t="s">
        <v>74</v>
      </c>
      <c r="AO78" t="s">
        <v>2527</v>
      </c>
      <c r="AP78" t="s">
        <v>74</v>
      </c>
      <c r="AQ78" t="s">
        <v>74</v>
      </c>
      <c r="AR78" t="s">
        <v>74</v>
      </c>
      <c r="AS78" t="s">
        <v>74</v>
      </c>
      <c r="AT78" t="s">
        <v>2528</v>
      </c>
      <c r="AU78">
        <v>2019</v>
      </c>
      <c r="AV78">
        <v>116</v>
      </c>
      <c r="AW78">
        <v>35</v>
      </c>
      <c r="AX78" t="s">
        <v>74</v>
      </c>
      <c r="AY78" t="s">
        <v>74</v>
      </c>
      <c r="AZ78" t="s">
        <v>74</v>
      </c>
      <c r="BA78" t="s">
        <v>74</v>
      </c>
      <c r="BB78">
        <v>17323</v>
      </c>
      <c r="BC78">
        <v>17329</v>
      </c>
      <c r="BD78" t="s">
        <v>74</v>
      </c>
      <c r="BE78" t="s">
        <v>2529</v>
      </c>
      <c r="BF78" t="str">
        <f>HYPERLINK("http://dx.doi.org/10.1073/pnas.1906762116","http://dx.doi.org/10.1073/pnas.1906762116")</f>
        <v>http://dx.doi.org/10.1073/pnas.1906762116</v>
      </c>
      <c r="BG78" t="s">
        <v>74</v>
      </c>
      <c r="BH78" t="s">
        <v>74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>
        <v>31409712</v>
      </c>
      <c r="BO78" t="s">
        <v>74</v>
      </c>
      <c r="BP78" t="s">
        <v>74</v>
      </c>
      <c r="BQ78" t="s">
        <v>74</v>
      </c>
      <c r="BR78" t="s">
        <v>74</v>
      </c>
      <c r="BS78" t="s">
        <v>2530</v>
      </c>
      <c r="BT78" t="str">
        <f>HYPERLINK("https%3A%2F%2Fwww.webofscience.com%2Fwos%2Fwoscc%2Ffull-record%2FWOS:000483396800032","View Full Record in Web of Science")</f>
        <v>View Full Record in Web of Science</v>
      </c>
    </row>
    <row r="79" spans="1:72" x14ac:dyDescent="0.2">
      <c r="A79" t="s">
        <v>72</v>
      </c>
      <c r="B79" t="s">
        <v>2531</v>
      </c>
      <c r="C79" t="s">
        <v>74</v>
      </c>
      <c r="D79" t="s">
        <v>74</v>
      </c>
      <c r="E79" t="s">
        <v>74</v>
      </c>
      <c r="F79" t="s">
        <v>2532</v>
      </c>
      <c r="G79" t="s">
        <v>74</v>
      </c>
      <c r="H79" t="s">
        <v>74</v>
      </c>
      <c r="I79" t="s">
        <v>2533</v>
      </c>
      <c r="J79" t="s">
        <v>1532</v>
      </c>
      <c r="K79" t="s">
        <v>74</v>
      </c>
      <c r="L79" t="s">
        <v>74</v>
      </c>
      <c r="M79" t="s">
        <v>74</v>
      </c>
      <c r="N79" t="s">
        <v>74</v>
      </c>
      <c r="O79" t="s">
        <v>74</v>
      </c>
      <c r="P79" t="s">
        <v>74</v>
      </c>
      <c r="Q79" t="s">
        <v>74</v>
      </c>
      <c r="R79" t="s">
        <v>74</v>
      </c>
      <c r="S79" t="s">
        <v>74</v>
      </c>
      <c r="T79" t="s">
        <v>74</v>
      </c>
      <c r="U79" t="s">
        <v>74</v>
      </c>
      <c r="V79" t="s">
        <v>74</v>
      </c>
      <c r="W79" t="s">
        <v>74</v>
      </c>
      <c r="X79" t="s">
        <v>74</v>
      </c>
      <c r="Y79" t="s">
        <v>74</v>
      </c>
      <c r="Z79" t="s">
        <v>74</v>
      </c>
      <c r="AA79" t="s">
        <v>74</v>
      </c>
      <c r="AB79" t="s">
        <v>2534</v>
      </c>
      <c r="AC79" t="s">
        <v>74</v>
      </c>
      <c r="AD79" t="s">
        <v>74</v>
      </c>
      <c r="AE79" t="s">
        <v>74</v>
      </c>
      <c r="AF79" t="s">
        <v>74</v>
      </c>
      <c r="AG79" t="s">
        <v>74</v>
      </c>
      <c r="AH79" t="s">
        <v>74</v>
      </c>
      <c r="AI79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1535</v>
      </c>
      <c r="AP79" t="s">
        <v>1536</v>
      </c>
      <c r="AQ79" t="s">
        <v>74</v>
      </c>
      <c r="AR79" t="s">
        <v>74</v>
      </c>
      <c r="AS79" t="s">
        <v>74</v>
      </c>
      <c r="AT79" t="s">
        <v>335</v>
      </c>
      <c r="AU79">
        <v>2019</v>
      </c>
      <c r="AV79">
        <v>104</v>
      </c>
      <c r="AW79" t="s">
        <v>1537</v>
      </c>
      <c r="AX79" t="s">
        <v>74</v>
      </c>
      <c r="AY79" t="s">
        <v>74</v>
      </c>
      <c r="AZ79" t="s">
        <v>74</v>
      </c>
      <c r="BA79" t="s">
        <v>74</v>
      </c>
      <c r="BB79">
        <v>137</v>
      </c>
      <c r="BC79">
        <v>146</v>
      </c>
      <c r="BD79" t="s">
        <v>74</v>
      </c>
      <c r="BE79" t="s">
        <v>2535</v>
      </c>
      <c r="BF79" t="str">
        <f>HYPERLINK("http://dx.doi.org/10.1002/iroh.201901985","http://dx.doi.org/10.1002/iroh.201901985")</f>
        <v>http://dx.doi.org/10.1002/iroh.201901985</v>
      </c>
      <c r="BG79" t="s">
        <v>74</v>
      </c>
      <c r="BH79" t="s">
        <v>2536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 t="s">
        <v>74</v>
      </c>
      <c r="BR79" t="s">
        <v>74</v>
      </c>
      <c r="BS79" t="s">
        <v>2537</v>
      </c>
      <c r="BT79" t="str">
        <f>HYPERLINK("https%3A%2F%2Fwww.webofscience.com%2Fwos%2Fwoscc%2Ffull-record%2FWOS:000481942000001","View Full Record in Web of Science")</f>
        <v>View Full Record in Web of Science</v>
      </c>
    </row>
    <row r="80" spans="1:72" x14ac:dyDescent="0.2">
      <c r="A80" t="s">
        <v>72</v>
      </c>
      <c r="B80" t="s">
        <v>2556</v>
      </c>
      <c r="C80" t="s">
        <v>74</v>
      </c>
      <c r="D80" t="s">
        <v>74</v>
      </c>
      <c r="E80" t="s">
        <v>74</v>
      </c>
      <c r="F80" t="s">
        <v>2557</v>
      </c>
      <c r="G80" t="s">
        <v>74</v>
      </c>
      <c r="H80" t="s">
        <v>74</v>
      </c>
      <c r="I80" t="s">
        <v>2558</v>
      </c>
      <c r="J80" t="s">
        <v>292</v>
      </c>
      <c r="K80" t="s">
        <v>74</v>
      </c>
      <c r="L80" t="s">
        <v>74</v>
      </c>
      <c r="M80" t="s">
        <v>74</v>
      </c>
      <c r="N80" t="s">
        <v>74</v>
      </c>
      <c r="O80" t="s">
        <v>74</v>
      </c>
      <c r="P80" t="s">
        <v>74</v>
      </c>
      <c r="Q80" t="s">
        <v>74</v>
      </c>
      <c r="R80" t="s">
        <v>74</v>
      </c>
      <c r="S80" t="s">
        <v>74</v>
      </c>
      <c r="T80" t="s">
        <v>74</v>
      </c>
      <c r="U80" t="s">
        <v>74</v>
      </c>
      <c r="V80" t="s">
        <v>74</v>
      </c>
      <c r="W80" t="s">
        <v>74</v>
      </c>
      <c r="X80" t="s">
        <v>74</v>
      </c>
      <c r="Y80" t="s">
        <v>74</v>
      </c>
      <c r="Z80" t="s">
        <v>74</v>
      </c>
      <c r="AA80" t="s">
        <v>2559</v>
      </c>
      <c r="AB80" t="s">
        <v>2560</v>
      </c>
      <c r="AC80" t="s">
        <v>74</v>
      </c>
      <c r="AD80" t="s">
        <v>74</v>
      </c>
      <c r="AE80" t="s">
        <v>74</v>
      </c>
      <c r="AF80" t="s">
        <v>74</v>
      </c>
      <c r="AG80" t="s">
        <v>74</v>
      </c>
      <c r="AH80" t="s">
        <v>74</v>
      </c>
      <c r="AI80" t="s">
        <v>74</v>
      </c>
      <c r="AJ80" t="s">
        <v>74</v>
      </c>
      <c r="AK80" t="s">
        <v>74</v>
      </c>
      <c r="AL80" t="s">
        <v>74</v>
      </c>
      <c r="AM80" t="s">
        <v>74</v>
      </c>
      <c r="AN80" t="s">
        <v>74</v>
      </c>
      <c r="AO80" t="s">
        <v>74</v>
      </c>
      <c r="AP80" t="s">
        <v>294</v>
      </c>
      <c r="AQ80" t="s">
        <v>74</v>
      </c>
      <c r="AR80" t="s">
        <v>74</v>
      </c>
      <c r="AS80" t="s">
        <v>74</v>
      </c>
      <c r="AT80" t="s">
        <v>520</v>
      </c>
      <c r="AU80">
        <v>2019</v>
      </c>
      <c r="AV80">
        <v>11</v>
      </c>
      <c r="AW80">
        <v>8</v>
      </c>
      <c r="AX80" t="s">
        <v>74</v>
      </c>
      <c r="AY80" t="s">
        <v>74</v>
      </c>
      <c r="AZ80" t="s">
        <v>74</v>
      </c>
      <c r="BA80" t="s">
        <v>74</v>
      </c>
      <c r="BB80" t="s">
        <v>74</v>
      </c>
      <c r="BC80" t="s">
        <v>74</v>
      </c>
      <c r="BD80">
        <v>137</v>
      </c>
      <c r="BE80" t="s">
        <v>2561</v>
      </c>
      <c r="BF80" t="str">
        <f>HYPERLINK("http://dx.doi.org/10.3390/d11080137","http://dx.doi.org/10.3390/d11080137")</f>
        <v>http://dx.doi.org/10.3390/d11080137</v>
      </c>
      <c r="BG80" t="s">
        <v>74</v>
      </c>
      <c r="BH80" t="s">
        <v>74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 t="s">
        <v>74</v>
      </c>
      <c r="BO80" t="s">
        <v>74</v>
      </c>
      <c r="BP80" t="s">
        <v>74</v>
      </c>
      <c r="BQ80" t="s">
        <v>74</v>
      </c>
      <c r="BR80" t="s">
        <v>74</v>
      </c>
      <c r="BS80" t="s">
        <v>2562</v>
      </c>
      <c r="BT80" t="str">
        <f>HYPERLINK("https%3A%2F%2Fwww.webofscience.com%2Fwos%2Fwoscc%2Ffull-record%2FWOS:000482961700004","View Full Record in Web of Science")</f>
        <v>View Full Record in Web of Science</v>
      </c>
    </row>
    <row r="81" spans="1:72" x14ac:dyDescent="0.2">
      <c r="A81" t="s">
        <v>72</v>
      </c>
      <c r="B81" t="s">
        <v>2589</v>
      </c>
      <c r="C81" t="s">
        <v>74</v>
      </c>
      <c r="D81" t="s">
        <v>74</v>
      </c>
      <c r="E81" t="s">
        <v>74</v>
      </c>
      <c r="F81" t="s">
        <v>2590</v>
      </c>
      <c r="G81" t="s">
        <v>74</v>
      </c>
      <c r="H81" t="s">
        <v>74</v>
      </c>
      <c r="I81" t="s">
        <v>2591</v>
      </c>
      <c r="J81" t="s">
        <v>154</v>
      </c>
      <c r="K81" t="s">
        <v>74</v>
      </c>
      <c r="L81" t="s">
        <v>74</v>
      </c>
      <c r="M81" t="s">
        <v>74</v>
      </c>
      <c r="N81" t="s">
        <v>74</v>
      </c>
      <c r="O81" t="s">
        <v>74</v>
      </c>
      <c r="P81" t="s">
        <v>74</v>
      </c>
      <c r="Q81" t="s">
        <v>74</v>
      </c>
      <c r="R81" t="s">
        <v>74</v>
      </c>
      <c r="S81" t="s">
        <v>74</v>
      </c>
      <c r="T81" t="s">
        <v>74</v>
      </c>
      <c r="U81" t="s">
        <v>74</v>
      </c>
      <c r="V81" t="s">
        <v>74</v>
      </c>
      <c r="W81" t="s">
        <v>74</v>
      </c>
      <c r="X81" t="s">
        <v>74</v>
      </c>
      <c r="Y81" t="s">
        <v>74</v>
      </c>
      <c r="Z81" t="s">
        <v>74</v>
      </c>
      <c r="AA81" t="s">
        <v>6968</v>
      </c>
      <c r="AB81" t="s">
        <v>6969</v>
      </c>
      <c r="AC81" t="s">
        <v>74</v>
      </c>
      <c r="AD81" t="s">
        <v>74</v>
      </c>
      <c r="AE81" t="s">
        <v>74</v>
      </c>
      <c r="AF81" t="s">
        <v>74</v>
      </c>
      <c r="AG81" t="s">
        <v>74</v>
      </c>
      <c r="AH81" t="s">
        <v>74</v>
      </c>
      <c r="AI81" t="s">
        <v>74</v>
      </c>
      <c r="AJ81" t="s">
        <v>74</v>
      </c>
      <c r="AK81" t="s">
        <v>74</v>
      </c>
      <c r="AL81" t="s">
        <v>74</v>
      </c>
      <c r="AM81" t="s">
        <v>74</v>
      </c>
      <c r="AN81" t="s">
        <v>74</v>
      </c>
      <c r="AO81" t="s">
        <v>155</v>
      </c>
      <c r="AP81" t="s">
        <v>156</v>
      </c>
      <c r="AQ81" t="s">
        <v>74</v>
      </c>
      <c r="AR81" t="s">
        <v>74</v>
      </c>
      <c r="AS81" t="s">
        <v>74</v>
      </c>
      <c r="AT81" t="s">
        <v>624</v>
      </c>
      <c r="AU81">
        <v>2019</v>
      </c>
      <c r="AV81">
        <v>77</v>
      </c>
      <c r="AW81" t="s">
        <v>74</v>
      </c>
      <c r="AX81" t="s">
        <v>74</v>
      </c>
      <c r="AY81" t="s">
        <v>74</v>
      </c>
      <c r="AZ81" t="s">
        <v>74</v>
      </c>
      <c r="BA81" t="s">
        <v>74</v>
      </c>
      <c r="BB81" t="s">
        <v>74</v>
      </c>
      <c r="BC81" t="s">
        <v>74</v>
      </c>
      <c r="BD81">
        <v>125690</v>
      </c>
      <c r="BE81" t="s">
        <v>2592</v>
      </c>
      <c r="BF81" t="str">
        <f>HYPERLINK("http://dx.doi.org/10.1016/j.limno.2019.125690","http://dx.doi.org/10.1016/j.limno.2019.125690")</f>
        <v>http://dx.doi.org/10.1016/j.limno.2019.125690</v>
      </c>
      <c r="BG81" t="s">
        <v>74</v>
      </c>
      <c r="BH81" t="s">
        <v>74</v>
      </c>
      <c r="BI81" t="s">
        <v>74</v>
      </c>
      <c r="BJ81" t="s">
        <v>74</v>
      </c>
      <c r="BK81" t="s">
        <v>74</v>
      </c>
      <c r="BL81" t="s">
        <v>74</v>
      </c>
      <c r="BM81" t="s">
        <v>74</v>
      </c>
      <c r="BN81" t="s">
        <v>74</v>
      </c>
      <c r="BO81" t="s">
        <v>74</v>
      </c>
      <c r="BP81" t="s">
        <v>74</v>
      </c>
      <c r="BQ81" t="s">
        <v>74</v>
      </c>
      <c r="BR81" t="s">
        <v>74</v>
      </c>
      <c r="BS81" t="s">
        <v>2593</v>
      </c>
      <c r="BT81" t="str">
        <f>HYPERLINK("https%3A%2F%2Fwww.webofscience.com%2Fwos%2Fwoscc%2Ffull-record%2FWOS:000485794700009","View Full Record in Web of Science")</f>
        <v>View Full Record in Web of Science</v>
      </c>
    </row>
    <row r="82" spans="1:72" x14ac:dyDescent="0.2">
      <c r="A82" t="s">
        <v>72</v>
      </c>
      <c r="B82" t="s">
        <v>2594</v>
      </c>
      <c r="C82" t="s">
        <v>74</v>
      </c>
      <c r="D82" t="s">
        <v>74</v>
      </c>
      <c r="E82" t="s">
        <v>74</v>
      </c>
      <c r="F82" t="s">
        <v>2595</v>
      </c>
      <c r="G82" t="s">
        <v>74</v>
      </c>
      <c r="H82" t="s">
        <v>74</v>
      </c>
      <c r="I82" t="s">
        <v>2596</v>
      </c>
      <c r="J82" t="s">
        <v>2597</v>
      </c>
      <c r="K82" t="s">
        <v>74</v>
      </c>
      <c r="L82" t="s">
        <v>74</v>
      </c>
      <c r="M82" t="s">
        <v>74</v>
      </c>
      <c r="N82" t="s">
        <v>74</v>
      </c>
      <c r="O82" t="s">
        <v>74</v>
      </c>
      <c r="P82" t="s">
        <v>74</v>
      </c>
      <c r="Q82" t="s">
        <v>74</v>
      </c>
      <c r="R82" t="s">
        <v>74</v>
      </c>
      <c r="S82" t="s">
        <v>74</v>
      </c>
      <c r="T82" t="s">
        <v>74</v>
      </c>
      <c r="U82" t="s">
        <v>74</v>
      </c>
      <c r="V82" t="s">
        <v>74</v>
      </c>
      <c r="W82" t="s">
        <v>74</v>
      </c>
      <c r="X82" t="s">
        <v>74</v>
      </c>
      <c r="Y82" t="s">
        <v>74</v>
      </c>
      <c r="Z82" t="s">
        <v>74</v>
      </c>
      <c r="AA82" t="s">
        <v>2598</v>
      </c>
      <c r="AB82" t="s">
        <v>2599</v>
      </c>
      <c r="AC82" t="s">
        <v>74</v>
      </c>
      <c r="AD82" t="s">
        <v>74</v>
      </c>
      <c r="AE82" t="s">
        <v>74</v>
      </c>
      <c r="AF82" t="s">
        <v>74</v>
      </c>
      <c r="AG82" t="s">
        <v>74</v>
      </c>
      <c r="AH82" t="s">
        <v>74</v>
      </c>
      <c r="AI82" t="s">
        <v>74</v>
      </c>
      <c r="AJ82" t="s">
        <v>74</v>
      </c>
      <c r="AK82" t="s">
        <v>74</v>
      </c>
      <c r="AL82" t="s">
        <v>74</v>
      </c>
      <c r="AM82" t="s">
        <v>74</v>
      </c>
      <c r="AN82" t="s">
        <v>74</v>
      </c>
      <c r="AO82" t="s">
        <v>2600</v>
      </c>
      <c r="AP82" t="s">
        <v>2601</v>
      </c>
      <c r="AQ82" t="s">
        <v>74</v>
      </c>
      <c r="AR82" t="s">
        <v>74</v>
      </c>
      <c r="AS82" t="s">
        <v>74</v>
      </c>
      <c r="AT82" t="s">
        <v>569</v>
      </c>
      <c r="AU82">
        <v>2019</v>
      </c>
      <c r="AV82">
        <v>17</v>
      </c>
      <c r="AW82">
        <v>6</v>
      </c>
      <c r="AX82" t="s">
        <v>74</v>
      </c>
      <c r="AY82" t="s">
        <v>74</v>
      </c>
      <c r="AZ82" t="s">
        <v>74</v>
      </c>
      <c r="BA82" t="s">
        <v>74</v>
      </c>
      <c r="BB82" t="s">
        <v>74</v>
      </c>
      <c r="BC82" t="s">
        <v>74</v>
      </c>
      <c r="BD82" t="s">
        <v>2602</v>
      </c>
      <c r="BE82" t="s">
        <v>2603</v>
      </c>
      <c r="BF82" t="str">
        <f>HYPERLINK("http://dx.doi.org/10.1371/journal.pbio.2006806","http://dx.doi.org/10.1371/journal.pbio.2006806")</f>
        <v>http://dx.doi.org/10.1371/journal.pbio.2006806</v>
      </c>
      <c r="BG82" t="s">
        <v>74</v>
      </c>
      <c r="BH82" t="s">
        <v>74</v>
      </c>
      <c r="BI82" t="s">
        <v>74</v>
      </c>
      <c r="BJ82" t="s">
        <v>74</v>
      </c>
      <c r="BK82" t="s">
        <v>74</v>
      </c>
      <c r="BL82" t="s">
        <v>74</v>
      </c>
      <c r="BM82" t="s">
        <v>74</v>
      </c>
      <c r="BN82">
        <v>31181076</v>
      </c>
      <c r="BO82" t="s">
        <v>74</v>
      </c>
      <c r="BP82" t="s">
        <v>74</v>
      </c>
      <c r="BQ82" t="s">
        <v>74</v>
      </c>
      <c r="BR82" t="s">
        <v>74</v>
      </c>
      <c r="BS82" t="s">
        <v>2604</v>
      </c>
      <c r="BT82" t="str">
        <f>HYPERLINK("https%3A%2F%2Fwww.webofscience.com%2Fwos%2Fwoscc%2Ffull-record%2FWOS:000473675900006","View Full Record in Web of Science")</f>
        <v>View Full Record in Web of Science</v>
      </c>
    </row>
    <row r="83" spans="1:72" x14ac:dyDescent="0.2">
      <c r="A83" t="s">
        <v>72</v>
      </c>
      <c r="B83" t="s">
        <v>2612</v>
      </c>
      <c r="C83" t="s">
        <v>74</v>
      </c>
      <c r="D83" t="s">
        <v>74</v>
      </c>
      <c r="E83" t="s">
        <v>74</v>
      </c>
      <c r="F83" t="s">
        <v>2613</v>
      </c>
      <c r="G83" t="s">
        <v>74</v>
      </c>
      <c r="H83" t="s">
        <v>74</v>
      </c>
      <c r="I83" t="s">
        <v>2614</v>
      </c>
      <c r="J83" t="s">
        <v>502</v>
      </c>
      <c r="K83" t="s">
        <v>74</v>
      </c>
      <c r="L83" t="s">
        <v>74</v>
      </c>
      <c r="M83" t="s">
        <v>74</v>
      </c>
      <c r="N83" t="s">
        <v>74</v>
      </c>
      <c r="O83" t="s">
        <v>74</v>
      </c>
      <c r="P83" t="s">
        <v>74</v>
      </c>
      <c r="Q83" t="s">
        <v>74</v>
      </c>
      <c r="R83" t="s">
        <v>74</v>
      </c>
      <c r="S83" t="s">
        <v>74</v>
      </c>
      <c r="T83" t="s">
        <v>74</v>
      </c>
      <c r="U83" t="s">
        <v>74</v>
      </c>
      <c r="V83" t="s">
        <v>74</v>
      </c>
      <c r="W83" t="s">
        <v>74</v>
      </c>
      <c r="X83" t="s">
        <v>74</v>
      </c>
      <c r="Y83" t="s">
        <v>74</v>
      </c>
      <c r="Z83" t="s">
        <v>74</v>
      </c>
      <c r="AA83" t="s">
        <v>2615</v>
      </c>
      <c r="AB83" t="s">
        <v>2616</v>
      </c>
      <c r="AC83" t="s">
        <v>74</v>
      </c>
      <c r="AD83" t="s">
        <v>74</v>
      </c>
      <c r="AE83" t="s">
        <v>74</v>
      </c>
      <c r="AF83" t="s">
        <v>74</v>
      </c>
      <c r="AG83" t="s">
        <v>74</v>
      </c>
      <c r="AH83" t="s">
        <v>74</v>
      </c>
      <c r="AI83" t="s">
        <v>74</v>
      </c>
      <c r="AJ83" t="s">
        <v>74</v>
      </c>
      <c r="AK83" t="s">
        <v>74</v>
      </c>
      <c r="AL83" t="s">
        <v>74</v>
      </c>
      <c r="AM83" t="s">
        <v>74</v>
      </c>
      <c r="AN83" t="s">
        <v>74</v>
      </c>
      <c r="AO83" t="s">
        <v>503</v>
      </c>
      <c r="AP83" t="s">
        <v>504</v>
      </c>
      <c r="AQ83" t="s">
        <v>74</v>
      </c>
      <c r="AR83" t="s">
        <v>74</v>
      </c>
      <c r="AS83" t="s">
        <v>74</v>
      </c>
      <c r="AT83" t="s">
        <v>569</v>
      </c>
      <c r="AU83">
        <v>2019</v>
      </c>
      <c r="AV83">
        <v>101</v>
      </c>
      <c r="AW83" t="s">
        <v>74</v>
      </c>
      <c r="AX83" t="s">
        <v>74</v>
      </c>
      <c r="AY83" t="s">
        <v>74</v>
      </c>
      <c r="AZ83" t="s">
        <v>74</v>
      </c>
      <c r="BA83" t="s">
        <v>74</v>
      </c>
      <c r="BB83">
        <v>41</v>
      </c>
      <c r="BC83">
        <v>49</v>
      </c>
      <c r="BD83" t="s">
        <v>74</v>
      </c>
      <c r="BE83" t="s">
        <v>2617</v>
      </c>
      <c r="BF83" t="str">
        <f>HYPERLINK("http://dx.doi.org/10.1016/j.ecolind.2018.12.049","http://dx.doi.org/10.1016/j.ecolind.2018.12.049")</f>
        <v>http://dx.doi.org/10.1016/j.ecolind.2018.12.049</v>
      </c>
      <c r="BG83" t="s">
        <v>74</v>
      </c>
      <c r="BH83" t="s">
        <v>74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 t="s">
        <v>74</v>
      </c>
      <c r="BO83" t="s">
        <v>74</v>
      </c>
      <c r="BP83" t="s">
        <v>74</v>
      </c>
      <c r="BQ83" t="s">
        <v>74</v>
      </c>
      <c r="BR83" t="s">
        <v>74</v>
      </c>
      <c r="BS83" t="s">
        <v>2618</v>
      </c>
      <c r="BT83" t="str">
        <f>HYPERLINK("https%3A%2F%2Fwww.webofscience.com%2Fwos%2Fwoscc%2Ffull-record%2FWOS:000470963300005","View Full Record in Web of Science")</f>
        <v>View Full Record in Web of Science</v>
      </c>
    </row>
    <row r="84" spans="1:72" x14ac:dyDescent="0.2">
      <c r="A84" t="s">
        <v>72</v>
      </c>
      <c r="B84" t="s">
        <v>2641</v>
      </c>
      <c r="C84" t="s">
        <v>74</v>
      </c>
      <c r="D84" t="s">
        <v>74</v>
      </c>
      <c r="E84" t="s">
        <v>74</v>
      </c>
      <c r="F84" t="s">
        <v>2642</v>
      </c>
      <c r="G84" t="s">
        <v>74</v>
      </c>
      <c r="H84" t="s">
        <v>74</v>
      </c>
      <c r="I84" t="s">
        <v>2643</v>
      </c>
      <c r="J84" t="s">
        <v>973</v>
      </c>
      <c r="K84" t="s">
        <v>74</v>
      </c>
      <c r="L84" t="s">
        <v>74</v>
      </c>
      <c r="M84" t="s">
        <v>74</v>
      </c>
      <c r="N84" t="s">
        <v>74</v>
      </c>
      <c r="O84" t="s">
        <v>74</v>
      </c>
      <c r="P84" t="s">
        <v>74</v>
      </c>
      <c r="Q84" t="s">
        <v>74</v>
      </c>
      <c r="R84" t="s">
        <v>74</v>
      </c>
      <c r="S84" t="s">
        <v>74</v>
      </c>
      <c r="T84" t="s">
        <v>74</v>
      </c>
      <c r="U84" t="s">
        <v>74</v>
      </c>
      <c r="V84" t="s">
        <v>74</v>
      </c>
      <c r="W84" t="s">
        <v>74</v>
      </c>
      <c r="X84" t="s">
        <v>74</v>
      </c>
      <c r="Y84" t="s">
        <v>74</v>
      </c>
      <c r="Z84" t="s">
        <v>74</v>
      </c>
      <c r="AA84" t="s">
        <v>74</v>
      </c>
      <c r="AB84" t="s">
        <v>74</v>
      </c>
      <c r="AC84" t="s">
        <v>74</v>
      </c>
      <c r="AD84" t="s">
        <v>74</v>
      </c>
      <c r="AE84" t="s">
        <v>74</v>
      </c>
      <c r="AF84" t="s">
        <v>74</v>
      </c>
      <c r="AG84" t="s">
        <v>74</v>
      </c>
      <c r="AH84" t="s">
        <v>74</v>
      </c>
      <c r="AI84" t="s">
        <v>74</v>
      </c>
      <c r="AJ84" t="s">
        <v>74</v>
      </c>
      <c r="AK84" t="s">
        <v>74</v>
      </c>
      <c r="AL84" t="s">
        <v>74</v>
      </c>
      <c r="AM84" t="s">
        <v>74</v>
      </c>
      <c r="AN84" t="s">
        <v>74</v>
      </c>
      <c r="AO84" t="s">
        <v>974</v>
      </c>
      <c r="AP84" t="s">
        <v>975</v>
      </c>
      <c r="AQ84" t="s">
        <v>74</v>
      </c>
      <c r="AR84" t="s">
        <v>74</v>
      </c>
      <c r="AS84" t="s">
        <v>74</v>
      </c>
      <c r="AT84" t="s">
        <v>2644</v>
      </c>
      <c r="AU84">
        <v>2019</v>
      </c>
      <c r="AV84">
        <v>219</v>
      </c>
      <c r="AW84" t="s">
        <v>74</v>
      </c>
      <c r="AX84" t="s">
        <v>74</v>
      </c>
      <c r="AY84" t="s">
        <v>74</v>
      </c>
      <c r="AZ84" t="s">
        <v>74</v>
      </c>
      <c r="BA84" t="s">
        <v>74</v>
      </c>
      <c r="BB84">
        <v>341</v>
      </c>
      <c r="BC84">
        <v>353</v>
      </c>
      <c r="BD84" t="s">
        <v>74</v>
      </c>
      <c r="BE84" t="s">
        <v>2645</v>
      </c>
      <c r="BF84" t="str">
        <f>HYPERLINK("http://dx.doi.org/10.1016/j.ecss.2019.01.021","http://dx.doi.org/10.1016/j.ecss.2019.01.021")</f>
        <v>http://dx.doi.org/10.1016/j.ecss.2019.01.021</v>
      </c>
      <c r="BG84" t="s">
        <v>74</v>
      </c>
      <c r="BH84" t="s">
        <v>74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 t="s">
        <v>74</v>
      </c>
      <c r="BR84" t="s">
        <v>74</v>
      </c>
      <c r="BS84" t="s">
        <v>2646</v>
      </c>
      <c r="BT84" t="str">
        <f>HYPERLINK("https%3A%2F%2Fwww.webofscience.com%2Fwos%2Fwoscc%2Ffull-record%2FWOS:000462100000033","View Full Record in Web of Science")</f>
        <v>View Full Record in Web of Science</v>
      </c>
    </row>
    <row r="85" spans="1:72" x14ac:dyDescent="0.2">
      <c r="A85" t="s">
        <v>72</v>
      </c>
      <c r="B85" t="s">
        <v>2658</v>
      </c>
      <c r="C85" t="s">
        <v>74</v>
      </c>
      <c r="D85" t="s">
        <v>74</v>
      </c>
      <c r="E85" t="s">
        <v>74</v>
      </c>
      <c r="F85" t="s">
        <v>2659</v>
      </c>
      <c r="G85" t="s">
        <v>74</v>
      </c>
      <c r="H85" t="s">
        <v>74</v>
      </c>
      <c r="I85" t="s">
        <v>2660</v>
      </c>
      <c r="J85" t="s">
        <v>1716</v>
      </c>
      <c r="K85" t="s">
        <v>74</v>
      </c>
      <c r="L85" t="s">
        <v>74</v>
      </c>
      <c r="M85" t="s">
        <v>74</v>
      </c>
      <c r="N85" t="s">
        <v>74</v>
      </c>
      <c r="O85" t="s">
        <v>74</v>
      </c>
      <c r="P85" t="s">
        <v>74</v>
      </c>
      <c r="Q85" t="s">
        <v>74</v>
      </c>
      <c r="R85" t="s">
        <v>74</v>
      </c>
      <c r="S85" t="s">
        <v>74</v>
      </c>
      <c r="T85" t="s">
        <v>74</v>
      </c>
      <c r="U85" t="s">
        <v>74</v>
      </c>
      <c r="V85" t="s">
        <v>74</v>
      </c>
      <c r="W85" t="s">
        <v>74</v>
      </c>
      <c r="X85" t="s">
        <v>74</v>
      </c>
      <c r="Y85" t="s">
        <v>74</v>
      </c>
      <c r="Z85" t="s">
        <v>74</v>
      </c>
      <c r="AA85" t="s">
        <v>74</v>
      </c>
      <c r="AB85" t="s">
        <v>2661</v>
      </c>
      <c r="AC85" t="s">
        <v>74</v>
      </c>
      <c r="AD85" t="s">
        <v>74</v>
      </c>
      <c r="AE85" t="s">
        <v>74</v>
      </c>
      <c r="AF85" t="s">
        <v>74</v>
      </c>
      <c r="AG85" t="s">
        <v>74</v>
      </c>
      <c r="AH85" t="s">
        <v>74</v>
      </c>
      <c r="AI85" t="s">
        <v>74</v>
      </c>
      <c r="AJ85" t="s">
        <v>74</v>
      </c>
      <c r="AK85" t="s">
        <v>74</v>
      </c>
      <c r="AL85" t="s">
        <v>74</v>
      </c>
      <c r="AM85" t="s">
        <v>74</v>
      </c>
      <c r="AN85" t="s">
        <v>74</v>
      </c>
      <c r="AO85" t="s">
        <v>1717</v>
      </c>
      <c r="AP85" t="s">
        <v>1718</v>
      </c>
      <c r="AQ85" t="s">
        <v>74</v>
      </c>
      <c r="AR85" t="s">
        <v>74</v>
      </c>
      <c r="AS85" t="s">
        <v>74</v>
      </c>
      <c r="AT85" t="s">
        <v>203</v>
      </c>
      <c r="AU85">
        <v>2019</v>
      </c>
      <c r="AV85">
        <v>55</v>
      </c>
      <c r="AW85">
        <v>2</v>
      </c>
      <c r="AX85" t="s">
        <v>74</v>
      </c>
      <c r="AY85" t="s">
        <v>74</v>
      </c>
      <c r="AZ85" t="s">
        <v>74</v>
      </c>
      <c r="BA85" t="s">
        <v>74</v>
      </c>
      <c r="BB85">
        <v>404</v>
      </c>
      <c r="BC85">
        <v>414</v>
      </c>
      <c r="BD85" t="s">
        <v>74</v>
      </c>
      <c r="BE85" t="s">
        <v>2662</v>
      </c>
      <c r="BF85" t="str">
        <f>HYPERLINK("http://dx.doi.org/10.1111/jpy.12826","http://dx.doi.org/10.1111/jpy.12826")</f>
        <v>http://dx.doi.org/10.1111/jpy.12826</v>
      </c>
      <c r="BG85" t="s">
        <v>74</v>
      </c>
      <c r="BH85" t="s">
        <v>74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>
        <v>30556585</v>
      </c>
      <c r="BO85" t="s">
        <v>74</v>
      </c>
      <c r="BP85" t="s">
        <v>74</v>
      </c>
      <c r="BQ85" t="s">
        <v>74</v>
      </c>
      <c r="BR85" t="s">
        <v>74</v>
      </c>
      <c r="BS85" t="s">
        <v>2663</v>
      </c>
      <c r="BT85" t="str">
        <f>HYPERLINK("https%3A%2F%2Fwww.webofscience.com%2Fwos%2Fwoscc%2Ffull-record%2FWOS:000465097000013","View Full Record in Web of Science")</f>
        <v>View Full Record in Web of Science</v>
      </c>
    </row>
    <row r="86" spans="1:72" x14ac:dyDescent="0.2">
      <c r="A86" t="s">
        <v>72</v>
      </c>
      <c r="B86" t="s">
        <v>2664</v>
      </c>
      <c r="C86" t="s">
        <v>74</v>
      </c>
      <c r="D86" t="s">
        <v>74</v>
      </c>
      <c r="E86" t="s">
        <v>74</v>
      </c>
      <c r="F86" t="s">
        <v>2665</v>
      </c>
      <c r="G86" t="s">
        <v>74</v>
      </c>
      <c r="H86" t="s">
        <v>74</v>
      </c>
      <c r="I86" t="s">
        <v>2666</v>
      </c>
      <c r="J86" t="s">
        <v>124</v>
      </c>
      <c r="K86" t="s">
        <v>74</v>
      </c>
      <c r="L86" t="s">
        <v>74</v>
      </c>
      <c r="M86" t="s">
        <v>74</v>
      </c>
      <c r="N86" t="s">
        <v>74</v>
      </c>
      <c r="O86" t="s">
        <v>74</v>
      </c>
      <c r="P86" t="s">
        <v>74</v>
      </c>
      <c r="Q86" t="s">
        <v>74</v>
      </c>
      <c r="R86" t="s">
        <v>74</v>
      </c>
      <c r="S86" t="s">
        <v>74</v>
      </c>
      <c r="T86" t="s">
        <v>74</v>
      </c>
      <c r="U86" t="s">
        <v>74</v>
      </c>
      <c r="V86" t="s">
        <v>74</v>
      </c>
      <c r="W86" t="s">
        <v>74</v>
      </c>
      <c r="X86" t="s">
        <v>74</v>
      </c>
      <c r="Y86" t="s">
        <v>74</v>
      </c>
      <c r="Z86" t="s">
        <v>74</v>
      </c>
      <c r="AA86" t="s">
        <v>2667</v>
      </c>
      <c r="AB86" t="s">
        <v>2668</v>
      </c>
      <c r="AC86" t="s">
        <v>74</v>
      </c>
      <c r="AD86" t="s">
        <v>74</v>
      </c>
      <c r="AE86" t="s">
        <v>74</v>
      </c>
      <c r="AF86" t="s">
        <v>74</v>
      </c>
      <c r="AG86" t="s">
        <v>74</v>
      </c>
      <c r="AH86" t="s">
        <v>74</v>
      </c>
      <c r="AI86" t="s">
        <v>74</v>
      </c>
      <c r="AJ86" t="s">
        <v>74</v>
      </c>
      <c r="AK86" t="s">
        <v>74</v>
      </c>
      <c r="AL86" t="s">
        <v>74</v>
      </c>
      <c r="AM86" t="s">
        <v>74</v>
      </c>
      <c r="AN86" t="s">
        <v>74</v>
      </c>
      <c r="AO86" t="s">
        <v>127</v>
      </c>
      <c r="AP86" t="s">
        <v>128</v>
      </c>
      <c r="AQ86" t="s">
        <v>74</v>
      </c>
      <c r="AR86" t="s">
        <v>74</v>
      </c>
      <c r="AS86" t="s">
        <v>74</v>
      </c>
      <c r="AT86" t="s">
        <v>157</v>
      </c>
      <c r="AU86">
        <v>2019</v>
      </c>
      <c r="AV86">
        <v>831</v>
      </c>
      <c r="AW86">
        <v>1</v>
      </c>
      <c r="AX86" t="s">
        <v>74</v>
      </c>
      <c r="AY86" t="s">
        <v>74</v>
      </c>
      <c r="AZ86" t="s">
        <v>632</v>
      </c>
      <c r="BA86" t="s">
        <v>74</v>
      </c>
      <c r="BB86">
        <v>43</v>
      </c>
      <c r="BC86">
        <v>54</v>
      </c>
      <c r="BD86" t="s">
        <v>74</v>
      </c>
      <c r="BE86" t="s">
        <v>2669</v>
      </c>
      <c r="BF86" t="str">
        <f>HYPERLINK("http://dx.doi.org/10.1007/s10750-018-3583-2","http://dx.doi.org/10.1007/s10750-018-3583-2")</f>
        <v>http://dx.doi.org/10.1007/s10750-018-3583-2</v>
      </c>
      <c r="BG86" t="s">
        <v>74</v>
      </c>
      <c r="BH86" t="s">
        <v>74</v>
      </c>
      <c r="BI86" t="s">
        <v>74</v>
      </c>
      <c r="BJ86" t="s">
        <v>74</v>
      </c>
      <c r="BK86" t="s">
        <v>74</v>
      </c>
      <c r="BL86" t="s">
        <v>74</v>
      </c>
      <c r="BM86" t="s">
        <v>74</v>
      </c>
      <c r="BN86" t="s">
        <v>74</v>
      </c>
      <c r="BO86" t="s">
        <v>74</v>
      </c>
      <c r="BP86" t="s">
        <v>74</v>
      </c>
      <c r="BQ86" t="s">
        <v>74</v>
      </c>
      <c r="BR86" t="s">
        <v>74</v>
      </c>
      <c r="BS86" t="s">
        <v>2670</v>
      </c>
      <c r="BT86" t="str">
        <f>HYPERLINK("https%3A%2F%2Fwww.webofscience.com%2Fwos%2Fwoscc%2Ffull-record%2FWOS:000458372800005","View Full Record in Web of Science")</f>
        <v>View Full Record in Web of Science</v>
      </c>
    </row>
    <row r="87" spans="1:72" x14ac:dyDescent="0.2">
      <c r="A87" t="s">
        <v>72</v>
      </c>
      <c r="B87" t="s">
        <v>2729</v>
      </c>
      <c r="C87" t="s">
        <v>74</v>
      </c>
      <c r="D87" t="s">
        <v>74</v>
      </c>
      <c r="E87" t="s">
        <v>74</v>
      </c>
      <c r="F87" t="s">
        <v>2730</v>
      </c>
      <c r="G87" t="s">
        <v>74</v>
      </c>
      <c r="H87" t="s">
        <v>74</v>
      </c>
      <c r="I87" t="s">
        <v>2731</v>
      </c>
      <c r="J87" t="s">
        <v>227</v>
      </c>
      <c r="K87" t="s">
        <v>74</v>
      </c>
      <c r="L87" t="s">
        <v>74</v>
      </c>
      <c r="M87" t="s">
        <v>74</v>
      </c>
      <c r="N87" t="s">
        <v>74</v>
      </c>
      <c r="O87" t="s">
        <v>74</v>
      </c>
      <c r="P87" t="s">
        <v>74</v>
      </c>
      <c r="Q87" t="s">
        <v>74</v>
      </c>
      <c r="R87" t="s">
        <v>74</v>
      </c>
      <c r="S87" t="s">
        <v>74</v>
      </c>
      <c r="T87" t="s">
        <v>74</v>
      </c>
      <c r="U87" t="s">
        <v>74</v>
      </c>
      <c r="V87" t="s">
        <v>74</v>
      </c>
      <c r="W87" t="s">
        <v>74</v>
      </c>
      <c r="X87" t="s">
        <v>74</v>
      </c>
      <c r="Y87" t="s">
        <v>74</v>
      </c>
      <c r="Z87" t="s">
        <v>74</v>
      </c>
      <c r="AA87" t="s">
        <v>6979</v>
      </c>
      <c r="AB87" t="s">
        <v>351</v>
      </c>
      <c r="AC87" t="s">
        <v>74</v>
      </c>
      <c r="AD87" t="s">
        <v>74</v>
      </c>
      <c r="AE87" t="s">
        <v>74</v>
      </c>
      <c r="AF87" t="s">
        <v>74</v>
      </c>
      <c r="AG87" t="s">
        <v>74</v>
      </c>
      <c r="AH87" t="s">
        <v>74</v>
      </c>
      <c r="AI87" t="s">
        <v>74</v>
      </c>
      <c r="AJ87" t="s">
        <v>74</v>
      </c>
      <c r="AK87" t="s">
        <v>74</v>
      </c>
      <c r="AL87" t="s">
        <v>74</v>
      </c>
      <c r="AM87" t="s">
        <v>74</v>
      </c>
      <c r="AN87" t="s">
        <v>74</v>
      </c>
      <c r="AO87" t="s">
        <v>230</v>
      </c>
      <c r="AP87" t="s">
        <v>231</v>
      </c>
      <c r="AQ87" t="s">
        <v>74</v>
      </c>
      <c r="AR87" t="s">
        <v>74</v>
      </c>
      <c r="AS87" t="s">
        <v>74</v>
      </c>
      <c r="AT87" t="s">
        <v>315</v>
      </c>
      <c r="AU87">
        <v>2019</v>
      </c>
      <c r="AV87">
        <v>64</v>
      </c>
      <c r="AW87">
        <v>1</v>
      </c>
      <c r="AX87" t="s">
        <v>74</v>
      </c>
      <c r="AY87" t="s">
        <v>74</v>
      </c>
      <c r="AZ87" t="s">
        <v>74</v>
      </c>
      <c r="BA87" t="s">
        <v>74</v>
      </c>
      <c r="BB87">
        <v>272</v>
      </c>
      <c r="BC87">
        <v>283</v>
      </c>
      <c r="BD87" t="s">
        <v>74</v>
      </c>
      <c r="BE87" t="s">
        <v>2732</v>
      </c>
      <c r="BF87" t="str">
        <f>HYPERLINK("http://dx.doi.org/10.1002/lno.11038","http://dx.doi.org/10.1002/lno.11038")</f>
        <v>http://dx.doi.org/10.1002/lno.11038</v>
      </c>
      <c r="BG87" t="s">
        <v>74</v>
      </c>
      <c r="BH87" t="s">
        <v>74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 t="s">
        <v>74</v>
      </c>
      <c r="BO87" t="s">
        <v>74</v>
      </c>
      <c r="BP87" t="s">
        <v>74</v>
      </c>
      <c r="BQ87" t="s">
        <v>74</v>
      </c>
      <c r="BR87" t="s">
        <v>74</v>
      </c>
      <c r="BS87" t="s">
        <v>2733</v>
      </c>
      <c r="BT87" t="str">
        <f>HYPERLINK("https%3A%2F%2Fwww.webofscience.com%2Fwos%2Fwoscc%2Ffull-record%2FWOS:000456720900019","View Full Record in Web of Science")</f>
        <v>View Full Record in Web of Science</v>
      </c>
    </row>
    <row r="88" spans="1:72" x14ac:dyDescent="0.2">
      <c r="A88" t="s">
        <v>72</v>
      </c>
      <c r="B88" t="s">
        <v>2751</v>
      </c>
      <c r="C88" t="s">
        <v>74</v>
      </c>
      <c r="D88" t="s">
        <v>74</v>
      </c>
      <c r="E88" t="s">
        <v>74</v>
      </c>
      <c r="F88" t="s">
        <v>2752</v>
      </c>
      <c r="G88" t="s">
        <v>74</v>
      </c>
      <c r="H88" t="s">
        <v>74</v>
      </c>
      <c r="I88" t="s">
        <v>2753</v>
      </c>
      <c r="J88" t="s">
        <v>1904</v>
      </c>
      <c r="K88" t="s">
        <v>74</v>
      </c>
      <c r="L88" t="s">
        <v>74</v>
      </c>
      <c r="M88" t="s">
        <v>74</v>
      </c>
      <c r="N88" t="s">
        <v>74</v>
      </c>
      <c r="O88" t="s">
        <v>74</v>
      </c>
      <c r="P88" t="s">
        <v>74</v>
      </c>
      <c r="Q88" t="s">
        <v>74</v>
      </c>
      <c r="R88" t="s">
        <v>74</v>
      </c>
      <c r="S88" t="s">
        <v>74</v>
      </c>
      <c r="T88" t="s">
        <v>74</v>
      </c>
      <c r="U88" t="s">
        <v>74</v>
      </c>
      <c r="V88" t="s">
        <v>74</v>
      </c>
      <c r="W88" t="s">
        <v>74</v>
      </c>
      <c r="X88" t="s">
        <v>74</v>
      </c>
      <c r="Y88" t="s">
        <v>74</v>
      </c>
      <c r="Z88" t="s">
        <v>74</v>
      </c>
      <c r="AA88" t="s">
        <v>74</v>
      </c>
      <c r="AB88" t="s">
        <v>74</v>
      </c>
      <c r="AC88" t="s">
        <v>74</v>
      </c>
      <c r="AD88" t="s">
        <v>74</v>
      </c>
      <c r="AE88" t="s">
        <v>74</v>
      </c>
      <c r="AF88" t="s">
        <v>74</v>
      </c>
      <c r="AG88" t="s">
        <v>74</v>
      </c>
      <c r="AH88" t="s">
        <v>74</v>
      </c>
      <c r="AI88" t="s">
        <v>74</v>
      </c>
      <c r="AJ88" t="s">
        <v>74</v>
      </c>
      <c r="AK88" t="s">
        <v>74</v>
      </c>
      <c r="AL88" t="s">
        <v>74</v>
      </c>
      <c r="AM88" t="s">
        <v>74</v>
      </c>
      <c r="AN88" t="s">
        <v>74</v>
      </c>
      <c r="AO88" t="s">
        <v>1905</v>
      </c>
      <c r="AP88" t="s">
        <v>1906</v>
      </c>
      <c r="AQ88" t="s">
        <v>74</v>
      </c>
      <c r="AR88" t="s">
        <v>74</v>
      </c>
      <c r="AS88" t="s">
        <v>74</v>
      </c>
      <c r="AT88" t="s">
        <v>74</v>
      </c>
      <c r="AU88">
        <v>2019</v>
      </c>
      <c r="AV88">
        <v>38</v>
      </c>
      <c r="AW88">
        <v>1</v>
      </c>
      <c r="AX88" t="s">
        <v>74</v>
      </c>
      <c r="AY88" t="s">
        <v>74</v>
      </c>
      <c r="AZ88" t="s">
        <v>74</v>
      </c>
      <c r="BA88" t="s">
        <v>74</v>
      </c>
      <c r="BB88">
        <v>103</v>
      </c>
      <c r="BC88">
        <v>117</v>
      </c>
      <c r="BD88" t="s">
        <v>74</v>
      </c>
      <c r="BE88" t="s">
        <v>2754</v>
      </c>
      <c r="BF88" t="str">
        <f>HYPERLINK("http://dx.doi.org/10.23818/limn.38.14","http://dx.doi.org/10.23818/limn.38.14")</f>
        <v>http://dx.doi.org/10.23818/limn.38.14</v>
      </c>
      <c r="BG88" t="s">
        <v>74</v>
      </c>
      <c r="BH88" t="s">
        <v>74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 t="s">
        <v>74</v>
      </c>
      <c r="BR88" t="s">
        <v>74</v>
      </c>
      <c r="BS88" t="s">
        <v>2755</v>
      </c>
      <c r="BT88" t="str">
        <f>HYPERLINK("https%3A%2F%2Fwww.webofscience.com%2Fwos%2Fwoscc%2Ffull-record%2FWOS:000457181700007","View Full Record in Web of Science")</f>
        <v>View Full Record in Web of Science</v>
      </c>
    </row>
    <row r="89" spans="1:72" x14ac:dyDescent="0.2">
      <c r="A89" t="s">
        <v>72</v>
      </c>
      <c r="B89" t="s">
        <v>2797</v>
      </c>
      <c r="C89" t="s">
        <v>74</v>
      </c>
      <c r="D89" t="s">
        <v>74</v>
      </c>
      <c r="E89" t="s">
        <v>74</v>
      </c>
      <c r="F89" t="s">
        <v>2798</v>
      </c>
      <c r="G89" t="s">
        <v>74</v>
      </c>
      <c r="H89" t="s">
        <v>74</v>
      </c>
      <c r="I89" t="s">
        <v>2799</v>
      </c>
      <c r="J89" t="s">
        <v>381</v>
      </c>
      <c r="K89" t="s">
        <v>74</v>
      </c>
      <c r="L89" t="s">
        <v>74</v>
      </c>
      <c r="M89" t="s">
        <v>74</v>
      </c>
      <c r="N89" t="s">
        <v>74</v>
      </c>
      <c r="O89" t="s">
        <v>74</v>
      </c>
      <c r="P89" t="s">
        <v>74</v>
      </c>
      <c r="Q89" t="s">
        <v>74</v>
      </c>
      <c r="R89" t="s">
        <v>74</v>
      </c>
      <c r="S89" t="s">
        <v>74</v>
      </c>
      <c r="T89" t="s">
        <v>74</v>
      </c>
      <c r="U89" t="s">
        <v>74</v>
      </c>
      <c r="V89" t="s">
        <v>74</v>
      </c>
      <c r="W89" t="s">
        <v>74</v>
      </c>
      <c r="X89" t="s">
        <v>74</v>
      </c>
      <c r="Y89" t="s">
        <v>74</v>
      </c>
      <c r="Z89" t="s">
        <v>74</v>
      </c>
      <c r="AA89" t="s">
        <v>2800</v>
      </c>
      <c r="AB89" t="s">
        <v>2801</v>
      </c>
      <c r="AC89" t="s">
        <v>74</v>
      </c>
      <c r="AD89" t="s">
        <v>74</v>
      </c>
      <c r="AE89" t="s">
        <v>74</v>
      </c>
      <c r="AF89" t="s">
        <v>74</v>
      </c>
      <c r="AG89" t="s">
        <v>74</v>
      </c>
      <c r="AH89" t="s">
        <v>74</v>
      </c>
      <c r="AI89" t="s">
        <v>74</v>
      </c>
      <c r="AJ89" t="s">
        <v>74</v>
      </c>
      <c r="AK89" t="s">
        <v>74</v>
      </c>
      <c r="AL89" t="s">
        <v>74</v>
      </c>
      <c r="AM89" t="s">
        <v>74</v>
      </c>
      <c r="AN89" t="s">
        <v>74</v>
      </c>
      <c r="AO89" t="s">
        <v>383</v>
      </c>
      <c r="AP89" t="s">
        <v>384</v>
      </c>
      <c r="AQ89" t="s">
        <v>74</v>
      </c>
      <c r="AR89" t="s">
        <v>74</v>
      </c>
      <c r="AS89" t="s">
        <v>74</v>
      </c>
      <c r="AT89" t="s">
        <v>82</v>
      </c>
      <c r="AU89">
        <v>2018</v>
      </c>
      <c r="AV89">
        <v>243</v>
      </c>
      <c r="AW89" t="s">
        <v>74</v>
      </c>
      <c r="AX89" t="s">
        <v>2716</v>
      </c>
      <c r="AY89" t="s">
        <v>74</v>
      </c>
      <c r="AZ89" t="s">
        <v>74</v>
      </c>
      <c r="BA89" t="s">
        <v>74</v>
      </c>
      <c r="BB89">
        <v>791</v>
      </c>
      <c r="BC89">
        <v>799</v>
      </c>
      <c r="BD89" t="s">
        <v>74</v>
      </c>
      <c r="BE89" t="s">
        <v>2802</v>
      </c>
      <c r="BF89" t="str">
        <f>HYPERLINK("http://dx.doi.org/10.1016/j.envpol.2018.09.055","http://dx.doi.org/10.1016/j.envpol.2018.09.055")</f>
        <v>http://dx.doi.org/10.1016/j.envpol.2018.09.055</v>
      </c>
      <c r="BG89" t="s">
        <v>74</v>
      </c>
      <c r="BH89" t="s">
        <v>74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>
        <v>30241003</v>
      </c>
      <c r="BO89" t="s">
        <v>74</v>
      </c>
      <c r="BP89" t="s">
        <v>74</v>
      </c>
      <c r="BQ89" t="s">
        <v>74</v>
      </c>
      <c r="BR89" t="s">
        <v>74</v>
      </c>
      <c r="BS89" t="s">
        <v>2803</v>
      </c>
      <c r="BT89" t="str">
        <f>HYPERLINK("https%3A%2F%2Fwww.webofscience.com%2Fwos%2Fwoscc%2Ffull-record%2FWOS:000449892700001","View Full Record in Web of Science")</f>
        <v>View Full Record in Web of Science</v>
      </c>
    </row>
    <row r="90" spans="1:72" x14ac:dyDescent="0.2">
      <c r="A90" t="s">
        <v>72</v>
      </c>
      <c r="B90" t="s">
        <v>2804</v>
      </c>
      <c r="C90" t="s">
        <v>74</v>
      </c>
      <c r="D90" t="s">
        <v>74</v>
      </c>
      <c r="E90" t="s">
        <v>74</v>
      </c>
      <c r="F90" t="s">
        <v>2805</v>
      </c>
      <c r="G90" t="s">
        <v>74</v>
      </c>
      <c r="H90" t="s">
        <v>74</v>
      </c>
      <c r="I90" t="s">
        <v>2806</v>
      </c>
      <c r="J90" t="s">
        <v>748</v>
      </c>
      <c r="K90" t="s">
        <v>74</v>
      </c>
      <c r="L90" t="s">
        <v>74</v>
      </c>
      <c r="M90" t="s">
        <v>74</v>
      </c>
      <c r="N90" t="s">
        <v>74</v>
      </c>
      <c r="O90" t="s">
        <v>74</v>
      </c>
      <c r="P90" t="s">
        <v>74</v>
      </c>
      <c r="Q90" t="s">
        <v>74</v>
      </c>
      <c r="R90" t="s">
        <v>74</v>
      </c>
      <c r="S90" t="s">
        <v>74</v>
      </c>
      <c r="T90" t="s">
        <v>74</v>
      </c>
      <c r="U90" t="s">
        <v>74</v>
      </c>
      <c r="V90" t="s">
        <v>74</v>
      </c>
      <c r="W90" t="s">
        <v>74</v>
      </c>
      <c r="X90" t="s">
        <v>74</v>
      </c>
      <c r="Y90" t="s">
        <v>74</v>
      </c>
      <c r="Z90" t="s">
        <v>74</v>
      </c>
      <c r="AA90" t="s">
        <v>2807</v>
      </c>
      <c r="AB90" t="s">
        <v>2808</v>
      </c>
      <c r="AC90" t="s">
        <v>74</v>
      </c>
      <c r="AD90" t="s">
        <v>74</v>
      </c>
      <c r="AE90" t="s">
        <v>74</v>
      </c>
      <c r="AF90" t="s">
        <v>74</v>
      </c>
      <c r="AG90" t="s">
        <v>74</v>
      </c>
      <c r="AH90" t="s">
        <v>74</v>
      </c>
      <c r="AI90" t="s">
        <v>74</v>
      </c>
      <c r="AJ90" t="s">
        <v>74</v>
      </c>
      <c r="AK90" t="s">
        <v>74</v>
      </c>
      <c r="AL90" t="s">
        <v>74</v>
      </c>
      <c r="AM90" t="s">
        <v>74</v>
      </c>
      <c r="AN90" t="s">
        <v>74</v>
      </c>
      <c r="AO90" t="s">
        <v>749</v>
      </c>
      <c r="AP90" t="s">
        <v>750</v>
      </c>
      <c r="AQ90" t="s">
        <v>74</v>
      </c>
      <c r="AR90" t="s">
        <v>74</v>
      </c>
      <c r="AS90" t="s">
        <v>74</v>
      </c>
      <c r="AT90" t="s">
        <v>335</v>
      </c>
      <c r="AU90">
        <v>2018</v>
      </c>
      <c r="AV90">
        <v>13</v>
      </c>
      <c r="AW90">
        <v>4</v>
      </c>
      <c r="AX90" t="s">
        <v>74</v>
      </c>
      <c r="AY90" t="s">
        <v>74</v>
      </c>
      <c r="AZ90" t="s">
        <v>74</v>
      </c>
      <c r="BA90" t="s">
        <v>74</v>
      </c>
      <c r="BB90">
        <v>163</v>
      </c>
      <c r="BC90">
        <v>172</v>
      </c>
      <c r="BD90" t="s">
        <v>74</v>
      </c>
      <c r="BE90" t="s">
        <v>2809</v>
      </c>
      <c r="BF90" t="str">
        <f>HYPERLINK("http://dx.doi.org/10.3800/pbr.13.163","http://dx.doi.org/10.3800/pbr.13.163")</f>
        <v>http://dx.doi.org/10.3800/pbr.13.163</v>
      </c>
      <c r="BG90" t="s">
        <v>74</v>
      </c>
      <c r="BH90" t="s">
        <v>74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 t="s">
        <v>74</v>
      </c>
      <c r="BR90" t="s">
        <v>74</v>
      </c>
      <c r="BS90" t="s">
        <v>2810</v>
      </c>
      <c r="BT90" t="str">
        <f>HYPERLINK("https%3A%2F%2Fwww.webofscience.com%2Fwos%2Fwoscc%2Ffull-record%2FWOS:000452935300003","View Full Record in Web of Science")</f>
        <v>View Full Record in Web of Science</v>
      </c>
    </row>
    <row r="91" spans="1:72" x14ac:dyDescent="0.2">
      <c r="A91" t="s">
        <v>72</v>
      </c>
      <c r="B91" t="s">
        <v>2811</v>
      </c>
      <c r="C91" t="s">
        <v>74</v>
      </c>
      <c r="D91" t="s">
        <v>74</v>
      </c>
      <c r="E91" t="s">
        <v>74</v>
      </c>
      <c r="F91" t="s">
        <v>2812</v>
      </c>
      <c r="G91" t="s">
        <v>74</v>
      </c>
      <c r="H91" t="s">
        <v>74</v>
      </c>
      <c r="I91" t="s">
        <v>2813</v>
      </c>
      <c r="J91" t="s">
        <v>502</v>
      </c>
      <c r="K91" t="s">
        <v>74</v>
      </c>
      <c r="L91" t="s">
        <v>74</v>
      </c>
      <c r="M91" t="s">
        <v>74</v>
      </c>
      <c r="N91" t="s">
        <v>74</v>
      </c>
      <c r="O91" t="s">
        <v>74</v>
      </c>
      <c r="P91" t="s">
        <v>74</v>
      </c>
      <c r="Q91" t="s">
        <v>74</v>
      </c>
      <c r="R91" t="s">
        <v>74</v>
      </c>
      <c r="S91" t="s">
        <v>74</v>
      </c>
      <c r="T91" t="s">
        <v>74</v>
      </c>
      <c r="U91" t="s">
        <v>74</v>
      </c>
      <c r="V91" t="s">
        <v>74</v>
      </c>
      <c r="W91" t="s">
        <v>74</v>
      </c>
      <c r="X91" t="s">
        <v>74</v>
      </c>
      <c r="Y91" t="s">
        <v>74</v>
      </c>
      <c r="Z91" t="s">
        <v>74</v>
      </c>
      <c r="AA91" t="s">
        <v>2814</v>
      </c>
      <c r="AB91" t="s">
        <v>6981</v>
      </c>
      <c r="AC91" t="s">
        <v>74</v>
      </c>
      <c r="AD91" t="s">
        <v>74</v>
      </c>
      <c r="AE91" t="s">
        <v>74</v>
      </c>
      <c r="AF91" t="s">
        <v>74</v>
      </c>
      <c r="AG91" t="s">
        <v>74</v>
      </c>
      <c r="AH91" t="s">
        <v>74</v>
      </c>
      <c r="AI91" t="s">
        <v>74</v>
      </c>
      <c r="AJ91" t="s">
        <v>74</v>
      </c>
      <c r="AK91" t="s">
        <v>74</v>
      </c>
      <c r="AL91" t="s">
        <v>74</v>
      </c>
      <c r="AM91" t="s">
        <v>74</v>
      </c>
      <c r="AN91" t="s">
        <v>74</v>
      </c>
      <c r="AO91" t="s">
        <v>503</v>
      </c>
      <c r="AP91" t="s">
        <v>504</v>
      </c>
      <c r="AQ91" t="s">
        <v>74</v>
      </c>
      <c r="AR91" t="s">
        <v>74</v>
      </c>
      <c r="AS91" t="s">
        <v>74</v>
      </c>
      <c r="AT91" t="s">
        <v>335</v>
      </c>
      <c r="AU91">
        <v>2018</v>
      </c>
      <c r="AV91">
        <v>94</v>
      </c>
      <c r="AW91" t="s">
        <v>74</v>
      </c>
      <c r="AX91">
        <v>1</v>
      </c>
      <c r="AY91" t="s">
        <v>74</v>
      </c>
      <c r="AZ91" t="s">
        <v>74</v>
      </c>
      <c r="BA91" t="s">
        <v>74</v>
      </c>
      <c r="BB91">
        <v>207</v>
      </c>
      <c r="BC91">
        <v>217</v>
      </c>
      <c r="BD91" t="s">
        <v>74</v>
      </c>
      <c r="BE91" t="s">
        <v>2815</v>
      </c>
      <c r="BF91" t="str">
        <f>HYPERLINK("http://dx.doi.org/10.1016/j.ecolind.2018.06.044","http://dx.doi.org/10.1016/j.ecolind.2018.06.044")</f>
        <v>http://dx.doi.org/10.1016/j.ecolind.2018.06.044</v>
      </c>
      <c r="BG91" t="s">
        <v>74</v>
      </c>
      <c r="BH91" t="s">
        <v>74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 t="s">
        <v>74</v>
      </c>
      <c r="BR91" t="s">
        <v>74</v>
      </c>
      <c r="BS91" t="s">
        <v>2816</v>
      </c>
      <c r="BT91" t="str">
        <f>HYPERLINK("https%3A%2F%2Fwww.webofscience.com%2Fwos%2Fwoscc%2Ffull-record%2FWOS:000452692500020","View Full Record in Web of Science")</f>
        <v>View Full Record in Web of Science</v>
      </c>
    </row>
    <row r="92" spans="1:72" x14ac:dyDescent="0.2">
      <c r="A92" t="s">
        <v>72</v>
      </c>
      <c r="B92" t="s">
        <v>2833</v>
      </c>
      <c r="C92" t="s">
        <v>74</v>
      </c>
      <c r="D92" t="s">
        <v>74</v>
      </c>
      <c r="E92" t="s">
        <v>74</v>
      </c>
      <c r="F92" t="s">
        <v>2834</v>
      </c>
      <c r="G92" t="s">
        <v>74</v>
      </c>
      <c r="H92" t="s">
        <v>74</v>
      </c>
      <c r="I92" t="s">
        <v>2835</v>
      </c>
      <c r="J92" t="s">
        <v>2836</v>
      </c>
      <c r="K92" t="s">
        <v>74</v>
      </c>
      <c r="L92" t="s">
        <v>74</v>
      </c>
      <c r="M92" t="s">
        <v>74</v>
      </c>
      <c r="N92" t="s">
        <v>74</v>
      </c>
      <c r="O92" t="s">
        <v>74</v>
      </c>
      <c r="P92" t="s">
        <v>74</v>
      </c>
      <c r="Q92" t="s">
        <v>74</v>
      </c>
      <c r="R92" t="s">
        <v>74</v>
      </c>
      <c r="S92" t="s">
        <v>74</v>
      </c>
      <c r="T92" t="s">
        <v>74</v>
      </c>
      <c r="U92" t="s">
        <v>74</v>
      </c>
      <c r="V92" t="s">
        <v>74</v>
      </c>
      <c r="W92" t="s">
        <v>74</v>
      </c>
      <c r="X92" t="s">
        <v>74</v>
      </c>
      <c r="Y92" t="s">
        <v>74</v>
      </c>
      <c r="Z92" t="s">
        <v>74</v>
      </c>
      <c r="AA92" t="s">
        <v>6983</v>
      </c>
      <c r="AB92" t="s">
        <v>6984</v>
      </c>
      <c r="AC92" t="s">
        <v>74</v>
      </c>
      <c r="AD92" t="s">
        <v>74</v>
      </c>
      <c r="AE92" t="s">
        <v>74</v>
      </c>
      <c r="AF92" t="s">
        <v>74</v>
      </c>
      <c r="AG92" t="s">
        <v>74</v>
      </c>
      <c r="AH92" t="s">
        <v>74</v>
      </c>
      <c r="AI92" t="s">
        <v>74</v>
      </c>
      <c r="AJ92" t="s">
        <v>74</v>
      </c>
      <c r="AK92" t="s">
        <v>74</v>
      </c>
      <c r="AL92" t="s">
        <v>74</v>
      </c>
      <c r="AM92" t="s">
        <v>74</v>
      </c>
      <c r="AN92" t="s">
        <v>74</v>
      </c>
      <c r="AO92" t="s">
        <v>2837</v>
      </c>
      <c r="AP92" t="s">
        <v>74</v>
      </c>
      <c r="AQ92" t="s">
        <v>74</v>
      </c>
      <c r="AR92" t="s">
        <v>74</v>
      </c>
      <c r="AS92" t="s">
        <v>74</v>
      </c>
      <c r="AT92" t="s">
        <v>1547</v>
      </c>
      <c r="AU92">
        <v>2018</v>
      </c>
      <c r="AV92">
        <v>6</v>
      </c>
      <c r="AW92" t="s">
        <v>74</v>
      </c>
      <c r="AX92" t="s">
        <v>74</v>
      </c>
      <c r="AY92" t="s">
        <v>74</v>
      </c>
      <c r="AZ92" t="s">
        <v>74</v>
      </c>
      <c r="BA92" t="s">
        <v>74</v>
      </c>
      <c r="BB92" t="s">
        <v>74</v>
      </c>
      <c r="BC92" t="s">
        <v>74</v>
      </c>
      <c r="BD92">
        <v>176</v>
      </c>
      <c r="BE92" t="s">
        <v>2838</v>
      </c>
      <c r="BF92" t="str">
        <f>HYPERLINK("http://dx.doi.org/10.1186/s40168-018-0563-8","http://dx.doi.org/10.1186/s40168-018-0563-8")</f>
        <v>http://dx.doi.org/10.1186/s40168-018-0563-8</v>
      </c>
      <c r="BG92" t="s">
        <v>74</v>
      </c>
      <c r="BH92" t="s">
        <v>74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>
        <v>30285851</v>
      </c>
      <c r="BO92" t="s">
        <v>74</v>
      </c>
      <c r="BP92" t="s">
        <v>74</v>
      </c>
      <c r="BQ92" t="s">
        <v>74</v>
      </c>
      <c r="BR92" t="s">
        <v>74</v>
      </c>
      <c r="BS92" t="s">
        <v>2839</v>
      </c>
      <c r="BT92" t="str">
        <f>HYPERLINK("https%3A%2F%2Fwww.webofscience.com%2Fwos%2Fwoscc%2Ffull-record%2FWOS:000446308400001","View Full Record in Web of Science")</f>
        <v>View Full Record in Web of Science</v>
      </c>
    </row>
    <row r="93" spans="1:72" x14ac:dyDescent="0.2">
      <c r="A93" t="s">
        <v>72</v>
      </c>
      <c r="B93" t="s">
        <v>2840</v>
      </c>
      <c r="C93" t="s">
        <v>74</v>
      </c>
      <c r="D93" t="s">
        <v>74</v>
      </c>
      <c r="E93" t="s">
        <v>74</v>
      </c>
      <c r="F93" t="s">
        <v>2841</v>
      </c>
      <c r="G93" t="s">
        <v>74</v>
      </c>
      <c r="H93" t="s">
        <v>74</v>
      </c>
      <c r="I93" t="s">
        <v>2842</v>
      </c>
      <c r="J93" t="s">
        <v>1063</v>
      </c>
      <c r="K93" t="s">
        <v>74</v>
      </c>
      <c r="L93" t="s">
        <v>74</v>
      </c>
      <c r="M93" t="s">
        <v>74</v>
      </c>
      <c r="N93" t="s">
        <v>74</v>
      </c>
      <c r="O93" t="s">
        <v>74</v>
      </c>
      <c r="P93" t="s">
        <v>74</v>
      </c>
      <c r="Q93" t="s">
        <v>74</v>
      </c>
      <c r="R93" t="s">
        <v>74</v>
      </c>
      <c r="S93" t="s">
        <v>74</v>
      </c>
      <c r="T93" t="s">
        <v>74</v>
      </c>
      <c r="U93" t="s">
        <v>74</v>
      </c>
      <c r="V93" t="s">
        <v>74</v>
      </c>
      <c r="W93" t="s">
        <v>74</v>
      </c>
      <c r="X93" t="s">
        <v>74</v>
      </c>
      <c r="Y93" t="s">
        <v>74</v>
      </c>
      <c r="Z93" t="s">
        <v>74</v>
      </c>
      <c r="AA93" t="s">
        <v>74</v>
      </c>
      <c r="AB93" t="s">
        <v>2843</v>
      </c>
      <c r="AC93" t="s">
        <v>74</v>
      </c>
      <c r="AD93" t="s">
        <v>74</v>
      </c>
      <c r="AE93" t="s">
        <v>74</v>
      </c>
      <c r="AF93" t="s">
        <v>74</v>
      </c>
      <c r="AG93" t="s">
        <v>74</v>
      </c>
      <c r="AH93" t="s">
        <v>74</v>
      </c>
      <c r="AI93" t="s">
        <v>74</v>
      </c>
      <c r="AJ93" t="s">
        <v>74</v>
      </c>
      <c r="AK93" t="s">
        <v>74</v>
      </c>
      <c r="AL93" t="s">
        <v>74</v>
      </c>
      <c r="AM93" t="s">
        <v>74</v>
      </c>
      <c r="AN93" t="s">
        <v>74</v>
      </c>
      <c r="AO93" t="s">
        <v>1065</v>
      </c>
      <c r="AP93" t="s">
        <v>1066</v>
      </c>
      <c r="AQ93" t="s">
        <v>74</v>
      </c>
      <c r="AR93" t="s">
        <v>74</v>
      </c>
      <c r="AS93" t="s">
        <v>74</v>
      </c>
      <c r="AT93" t="s">
        <v>406</v>
      </c>
      <c r="AU93">
        <v>2018</v>
      </c>
      <c r="AV93">
        <v>209</v>
      </c>
      <c r="AW93" t="s">
        <v>74</v>
      </c>
      <c r="AX93" t="s">
        <v>74</v>
      </c>
      <c r="AY93" t="s">
        <v>74</v>
      </c>
      <c r="AZ93" t="s">
        <v>74</v>
      </c>
      <c r="BA93" t="s">
        <v>74</v>
      </c>
      <c r="BB93">
        <v>748</v>
      </c>
      <c r="BC93">
        <v>757</v>
      </c>
      <c r="BD93" t="s">
        <v>74</v>
      </c>
      <c r="BE93" t="s">
        <v>2844</v>
      </c>
      <c r="BF93" t="str">
        <f>HYPERLINK("http://dx.doi.org/10.1016/j.chemosphere.2018.06.129","http://dx.doi.org/10.1016/j.chemosphere.2018.06.129")</f>
        <v>http://dx.doi.org/10.1016/j.chemosphere.2018.06.129</v>
      </c>
      <c r="BG93" t="s">
        <v>74</v>
      </c>
      <c r="BH93" t="s">
        <v>74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>
        <v>29960942</v>
      </c>
      <c r="BO93" t="s">
        <v>74</v>
      </c>
      <c r="BP93" t="s">
        <v>74</v>
      </c>
      <c r="BQ93" t="s">
        <v>74</v>
      </c>
      <c r="BR93" t="s">
        <v>74</v>
      </c>
      <c r="BS93" t="s">
        <v>2845</v>
      </c>
      <c r="BT93" t="str">
        <f>HYPERLINK("https%3A%2F%2Fwww.webofscience.com%2Fwos%2Fwoscc%2Ffull-record%2FWOS:000442714400081","View Full Record in Web of Science")</f>
        <v>View Full Record in Web of Science</v>
      </c>
    </row>
    <row r="94" spans="1:72" x14ac:dyDescent="0.2">
      <c r="A94" t="s">
        <v>72</v>
      </c>
      <c r="B94" t="s">
        <v>2846</v>
      </c>
      <c r="C94" t="s">
        <v>74</v>
      </c>
      <c r="D94" t="s">
        <v>74</v>
      </c>
      <c r="E94" t="s">
        <v>74</v>
      </c>
      <c r="F94" t="s">
        <v>2847</v>
      </c>
      <c r="G94" t="s">
        <v>74</v>
      </c>
      <c r="H94" t="s">
        <v>74</v>
      </c>
      <c r="I94" t="s">
        <v>2848</v>
      </c>
      <c r="J94" t="s">
        <v>2849</v>
      </c>
      <c r="K94" t="s">
        <v>74</v>
      </c>
      <c r="L94" t="s">
        <v>74</v>
      </c>
      <c r="M94" t="s">
        <v>74</v>
      </c>
      <c r="N94" t="s">
        <v>74</v>
      </c>
      <c r="O94" t="s">
        <v>74</v>
      </c>
      <c r="P94" t="s">
        <v>74</v>
      </c>
      <c r="Q94" t="s">
        <v>74</v>
      </c>
      <c r="R94" t="s">
        <v>74</v>
      </c>
      <c r="S94" t="s">
        <v>74</v>
      </c>
      <c r="T94" t="s">
        <v>74</v>
      </c>
      <c r="U94" t="s">
        <v>74</v>
      </c>
      <c r="V94" t="s">
        <v>74</v>
      </c>
      <c r="W94" t="s">
        <v>74</v>
      </c>
      <c r="X94" t="s">
        <v>74</v>
      </c>
      <c r="Y94" t="s">
        <v>74</v>
      </c>
      <c r="Z94" t="s">
        <v>74</v>
      </c>
      <c r="AA94" t="s">
        <v>2850</v>
      </c>
      <c r="AB94" t="s">
        <v>2851</v>
      </c>
      <c r="AC94" t="s">
        <v>74</v>
      </c>
      <c r="AD94" t="s">
        <v>74</v>
      </c>
      <c r="AE94" t="s">
        <v>74</v>
      </c>
      <c r="AF94" t="s">
        <v>74</v>
      </c>
      <c r="AG94" t="s">
        <v>74</v>
      </c>
      <c r="AH94" t="s">
        <v>74</v>
      </c>
      <c r="AI94" t="s">
        <v>74</v>
      </c>
      <c r="AJ94" t="s">
        <v>74</v>
      </c>
      <c r="AK94" t="s">
        <v>74</v>
      </c>
      <c r="AL94" t="s">
        <v>74</v>
      </c>
      <c r="AM94" t="s">
        <v>74</v>
      </c>
      <c r="AN94" t="s">
        <v>74</v>
      </c>
      <c r="AO94" t="s">
        <v>2852</v>
      </c>
      <c r="AP94" t="s">
        <v>74</v>
      </c>
      <c r="AQ94" t="s">
        <v>74</v>
      </c>
      <c r="AR94" t="s">
        <v>74</v>
      </c>
      <c r="AS94" t="s">
        <v>74</v>
      </c>
      <c r="AT94" t="s">
        <v>406</v>
      </c>
      <c r="AU94">
        <v>2018</v>
      </c>
      <c r="AV94">
        <v>16</v>
      </c>
      <c r="AW94">
        <v>10</v>
      </c>
      <c r="AX94" t="s">
        <v>74</v>
      </c>
      <c r="AY94" t="s">
        <v>74</v>
      </c>
      <c r="AZ94" t="s">
        <v>74</v>
      </c>
      <c r="BA94" t="s">
        <v>74</v>
      </c>
      <c r="BB94">
        <v>669</v>
      </c>
      <c r="BC94">
        <v>679</v>
      </c>
      <c r="BD94" t="s">
        <v>74</v>
      </c>
      <c r="BE94" t="s">
        <v>2853</v>
      </c>
      <c r="BF94" t="str">
        <f>HYPERLINK("http://dx.doi.org/10.1002/lom3.10274","http://dx.doi.org/10.1002/lom3.10274")</f>
        <v>http://dx.doi.org/10.1002/lom3.10274</v>
      </c>
      <c r="BG94" t="s">
        <v>74</v>
      </c>
      <c r="BH94" t="s">
        <v>74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 t="s">
        <v>74</v>
      </c>
      <c r="BR94" t="s">
        <v>74</v>
      </c>
      <c r="BS94" t="s">
        <v>2854</v>
      </c>
      <c r="BT94" t="str">
        <f>HYPERLINK("https%3A%2F%2Fwww.webofscience.com%2Fwos%2Fwoscc%2Ffull-record%2FWOS:000447207700005","View Full Record in Web of Science")</f>
        <v>View Full Record in Web of Science</v>
      </c>
    </row>
    <row r="95" spans="1:72" x14ac:dyDescent="0.2">
      <c r="A95" t="s">
        <v>72</v>
      </c>
      <c r="B95" t="s">
        <v>2855</v>
      </c>
      <c r="C95" t="s">
        <v>74</v>
      </c>
      <c r="D95" t="s">
        <v>74</v>
      </c>
      <c r="E95" t="s">
        <v>74</v>
      </c>
      <c r="F95" t="s">
        <v>2856</v>
      </c>
      <c r="G95" t="s">
        <v>74</v>
      </c>
      <c r="H95" t="s">
        <v>74</v>
      </c>
      <c r="I95" t="s">
        <v>2857</v>
      </c>
      <c r="J95" t="s">
        <v>1716</v>
      </c>
      <c r="K95" t="s">
        <v>74</v>
      </c>
      <c r="L95" t="s">
        <v>74</v>
      </c>
      <c r="M95" t="s">
        <v>74</v>
      </c>
      <c r="N95" t="s">
        <v>74</v>
      </c>
      <c r="O95" t="s">
        <v>74</v>
      </c>
      <c r="P95" t="s">
        <v>74</v>
      </c>
      <c r="Q95" t="s">
        <v>74</v>
      </c>
      <c r="R95" t="s">
        <v>74</v>
      </c>
      <c r="S95" t="s">
        <v>74</v>
      </c>
      <c r="T95" t="s">
        <v>74</v>
      </c>
      <c r="U95" t="s">
        <v>74</v>
      </c>
      <c r="V95" t="s">
        <v>74</v>
      </c>
      <c r="W95" t="s">
        <v>74</v>
      </c>
      <c r="X95" t="s">
        <v>74</v>
      </c>
      <c r="Y95" t="s">
        <v>74</v>
      </c>
      <c r="Z95" t="s">
        <v>74</v>
      </c>
      <c r="AA95" t="s">
        <v>2858</v>
      </c>
      <c r="AB95" t="s">
        <v>2859</v>
      </c>
      <c r="AC95" t="s">
        <v>74</v>
      </c>
      <c r="AD95" t="s">
        <v>74</v>
      </c>
      <c r="AE95" t="s">
        <v>74</v>
      </c>
      <c r="AF95" t="s">
        <v>74</v>
      </c>
      <c r="AG95" t="s">
        <v>74</v>
      </c>
      <c r="AH95" t="s">
        <v>74</v>
      </c>
      <c r="AI95" t="s">
        <v>74</v>
      </c>
      <c r="AJ95" t="s">
        <v>74</v>
      </c>
      <c r="AK95" t="s">
        <v>74</v>
      </c>
      <c r="AL95" t="s">
        <v>74</v>
      </c>
      <c r="AM95" t="s">
        <v>74</v>
      </c>
      <c r="AN95" t="s">
        <v>74</v>
      </c>
      <c r="AO95" t="s">
        <v>1717</v>
      </c>
      <c r="AP95" t="s">
        <v>1718</v>
      </c>
      <c r="AQ95" t="s">
        <v>74</v>
      </c>
      <c r="AR95" t="s">
        <v>74</v>
      </c>
      <c r="AS95" t="s">
        <v>74</v>
      </c>
      <c r="AT95" t="s">
        <v>406</v>
      </c>
      <c r="AU95">
        <v>2018</v>
      </c>
      <c r="AV95">
        <v>54</v>
      </c>
      <c r="AW95">
        <v>5</v>
      </c>
      <c r="AX95" t="s">
        <v>74</v>
      </c>
      <c r="AY95" t="s">
        <v>74</v>
      </c>
      <c r="AZ95" t="s">
        <v>74</v>
      </c>
      <c r="BA95" t="s">
        <v>74</v>
      </c>
      <c r="BB95">
        <v>599</v>
      </c>
      <c r="BC95">
        <v>607</v>
      </c>
      <c r="BD95" t="s">
        <v>74</v>
      </c>
      <c r="BE95" t="s">
        <v>2860</v>
      </c>
      <c r="BF95" t="str">
        <f>HYPERLINK("http://dx.doi.org/10.1111/jpy.12770","http://dx.doi.org/10.1111/jpy.12770")</f>
        <v>http://dx.doi.org/10.1111/jpy.12770</v>
      </c>
      <c r="BG95" t="s">
        <v>74</v>
      </c>
      <c r="BH95" t="s">
        <v>74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>
        <v>30055070</v>
      </c>
      <c r="BO95" t="s">
        <v>74</v>
      </c>
      <c r="BP95" t="s">
        <v>74</v>
      </c>
      <c r="BQ95" t="s">
        <v>74</v>
      </c>
      <c r="BR95" t="s">
        <v>74</v>
      </c>
      <c r="BS95" t="s">
        <v>2861</v>
      </c>
      <c r="BT95" t="str">
        <f>HYPERLINK("https%3A%2F%2Fwww.webofscience.com%2Fwos%2Fwoscc%2Ffull-record%2FWOS:000446171600002","View Full Record in Web of Science")</f>
        <v>View Full Record in Web of Science</v>
      </c>
    </row>
    <row r="96" spans="1:72" x14ac:dyDescent="0.2">
      <c r="A96" t="s">
        <v>72</v>
      </c>
      <c r="B96" t="s">
        <v>2867</v>
      </c>
      <c r="C96" t="s">
        <v>74</v>
      </c>
      <c r="D96" t="s">
        <v>74</v>
      </c>
      <c r="E96" t="s">
        <v>74</v>
      </c>
      <c r="F96" t="s">
        <v>2868</v>
      </c>
      <c r="G96" t="s">
        <v>74</v>
      </c>
      <c r="H96" t="s">
        <v>74</v>
      </c>
      <c r="I96" t="s">
        <v>2869</v>
      </c>
      <c r="J96" t="s">
        <v>124</v>
      </c>
      <c r="K96" t="s">
        <v>74</v>
      </c>
      <c r="L96" t="s">
        <v>74</v>
      </c>
      <c r="M96" t="s">
        <v>74</v>
      </c>
      <c r="N96" t="s">
        <v>74</v>
      </c>
      <c r="O96" t="s">
        <v>74</v>
      </c>
      <c r="P96" t="s">
        <v>74</v>
      </c>
      <c r="Q96" t="s">
        <v>74</v>
      </c>
      <c r="R96" t="s">
        <v>74</v>
      </c>
      <c r="S96" t="s">
        <v>74</v>
      </c>
      <c r="T96" t="s">
        <v>74</v>
      </c>
      <c r="U96" t="s">
        <v>74</v>
      </c>
      <c r="V96" t="s">
        <v>74</v>
      </c>
      <c r="W96" t="s">
        <v>74</v>
      </c>
      <c r="X96" t="s">
        <v>74</v>
      </c>
      <c r="Y96" t="s">
        <v>74</v>
      </c>
      <c r="Z96" t="s">
        <v>74</v>
      </c>
      <c r="AA96" t="s">
        <v>2870</v>
      </c>
      <c r="AB96" t="s">
        <v>6987</v>
      </c>
      <c r="AC96" t="s">
        <v>74</v>
      </c>
      <c r="AD96" t="s">
        <v>74</v>
      </c>
      <c r="AE96" t="s">
        <v>74</v>
      </c>
      <c r="AF96" t="s">
        <v>74</v>
      </c>
      <c r="AG96" t="s">
        <v>74</v>
      </c>
      <c r="AH96" t="s">
        <v>74</v>
      </c>
      <c r="AI96" t="s">
        <v>74</v>
      </c>
      <c r="AJ96" t="s">
        <v>74</v>
      </c>
      <c r="AK96" t="s">
        <v>74</v>
      </c>
      <c r="AL96" t="s">
        <v>74</v>
      </c>
      <c r="AM96" t="s">
        <v>74</v>
      </c>
      <c r="AN96" t="s">
        <v>74</v>
      </c>
      <c r="AO96" t="s">
        <v>127</v>
      </c>
      <c r="AP96" t="s">
        <v>128</v>
      </c>
      <c r="AQ96" t="s">
        <v>74</v>
      </c>
      <c r="AR96" t="s">
        <v>74</v>
      </c>
      <c r="AS96" t="s">
        <v>74</v>
      </c>
      <c r="AT96" t="s">
        <v>451</v>
      </c>
      <c r="AU96">
        <v>2018</v>
      </c>
      <c r="AV96">
        <v>820</v>
      </c>
      <c r="AW96">
        <v>1</v>
      </c>
      <c r="AX96" t="s">
        <v>74</v>
      </c>
      <c r="AY96" t="s">
        <v>74</v>
      </c>
      <c r="AZ96" t="s">
        <v>74</v>
      </c>
      <c r="BA96" t="s">
        <v>74</v>
      </c>
      <c r="BB96">
        <v>79</v>
      </c>
      <c r="BC96">
        <v>89</v>
      </c>
      <c r="BD96" t="s">
        <v>74</v>
      </c>
      <c r="BE96" t="s">
        <v>2871</v>
      </c>
      <c r="BF96" t="str">
        <f>HYPERLINK("http://dx.doi.org/10.1007/s10750-018-3640-x","http://dx.doi.org/10.1007/s10750-018-3640-x")</f>
        <v>http://dx.doi.org/10.1007/s10750-018-3640-x</v>
      </c>
      <c r="BG96" t="s">
        <v>74</v>
      </c>
      <c r="BH96" t="s">
        <v>74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 t="s">
        <v>74</v>
      </c>
      <c r="BR96" t="s">
        <v>74</v>
      </c>
      <c r="BS96" t="s">
        <v>2872</v>
      </c>
      <c r="BT96" t="str">
        <f>HYPERLINK("https%3A%2F%2Fwww.webofscience.com%2Fwos%2Fwoscc%2Ffull-record%2FWOS:000437439300005","View Full Record in Web of Science")</f>
        <v>View Full Record in Web of Science</v>
      </c>
    </row>
    <row r="97" spans="1:72" x14ac:dyDescent="0.2">
      <c r="A97" t="s">
        <v>72</v>
      </c>
      <c r="B97" t="s">
        <v>2873</v>
      </c>
      <c r="C97" t="s">
        <v>74</v>
      </c>
      <c r="D97" t="s">
        <v>74</v>
      </c>
      <c r="E97" t="s">
        <v>74</v>
      </c>
      <c r="F97" t="s">
        <v>2874</v>
      </c>
      <c r="G97" t="s">
        <v>74</v>
      </c>
      <c r="H97" t="s">
        <v>74</v>
      </c>
      <c r="I97" t="s">
        <v>2875</v>
      </c>
      <c r="J97" t="s">
        <v>2876</v>
      </c>
      <c r="K97" t="s">
        <v>74</v>
      </c>
      <c r="L97" t="s">
        <v>74</v>
      </c>
      <c r="M97" t="s">
        <v>74</v>
      </c>
      <c r="N97" t="s">
        <v>74</v>
      </c>
      <c r="O97" t="s">
        <v>74</v>
      </c>
      <c r="P97" t="s">
        <v>74</v>
      </c>
      <c r="Q97" t="s">
        <v>74</v>
      </c>
      <c r="R97" t="s">
        <v>74</v>
      </c>
      <c r="S97" t="s">
        <v>74</v>
      </c>
      <c r="T97" t="s">
        <v>74</v>
      </c>
      <c r="U97" t="s">
        <v>74</v>
      </c>
      <c r="V97" t="s">
        <v>74</v>
      </c>
      <c r="W97" t="s">
        <v>74</v>
      </c>
      <c r="X97" t="s">
        <v>74</v>
      </c>
      <c r="Y97" t="s">
        <v>74</v>
      </c>
      <c r="Z97" t="s">
        <v>74</v>
      </c>
      <c r="AA97" t="s">
        <v>2877</v>
      </c>
      <c r="AB97" t="s">
        <v>2878</v>
      </c>
      <c r="AC97" t="s">
        <v>74</v>
      </c>
      <c r="AD97" t="s">
        <v>74</v>
      </c>
      <c r="AE97" t="s">
        <v>74</v>
      </c>
      <c r="AF97" t="s">
        <v>74</v>
      </c>
      <c r="AG97" t="s">
        <v>74</v>
      </c>
      <c r="AH97" t="s">
        <v>74</v>
      </c>
      <c r="AI97" t="s">
        <v>74</v>
      </c>
      <c r="AJ97" t="s">
        <v>74</v>
      </c>
      <c r="AK97" t="s">
        <v>74</v>
      </c>
      <c r="AL97" t="s">
        <v>74</v>
      </c>
      <c r="AM97" t="s">
        <v>74</v>
      </c>
      <c r="AN97" t="s">
        <v>74</v>
      </c>
      <c r="AO97" t="s">
        <v>2879</v>
      </c>
      <c r="AP97" t="s">
        <v>2880</v>
      </c>
      <c r="AQ97" t="s">
        <v>74</v>
      </c>
      <c r="AR97" t="s">
        <v>74</v>
      </c>
      <c r="AS97" t="s">
        <v>74</v>
      </c>
      <c r="AT97" t="s">
        <v>451</v>
      </c>
      <c r="AU97">
        <v>2018</v>
      </c>
      <c r="AV97">
        <v>229</v>
      </c>
      <c r="AW97">
        <v>9</v>
      </c>
      <c r="AX97" t="s">
        <v>74</v>
      </c>
      <c r="AY97" t="s">
        <v>74</v>
      </c>
      <c r="AZ97" t="s">
        <v>74</v>
      </c>
      <c r="BA97" t="s">
        <v>74</v>
      </c>
      <c r="BB97" t="s">
        <v>74</v>
      </c>
      <c r="BC97" t="s">
        <v>74</v>
      </c>
      <c r="BD97">
        <v>307</v>
      </c>
      <c r="BE97" t="s">
        <v>2881</v>
      </c>
      <c r="BF97" t="str">
        <f>HYPERLINK("http://dx.doi.org/10.1007/s11270-018-3964-1","http://dx.doi.org/10.1007/s11270-018-3964-1")</f>
        <v>http://dx.doi.org/10.1007/s11270-018-3964-1</v>
      </c>
      <c r="BG97" t="s">
        <v>74</v>
      </c>
      <c r="BH97" t="s">
        <v>74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 t="s">
        <v>74</v>
      </c>
      <c r="BR97" t="s">
        <v>74</v>
      </c>
      <c r="BS97" t="s">
        <v>2882</v>
      </c>
      <c r="BT97" t="str">
        <f>HYPERLINK("https%3A%2F%2Fwww.webofscience.com%2Fwos%2Fwoscc%2Ffull-record%2FWOS:000443057700003","View Full Record in Web of Science")</f>
        <v>View Full Record in Web of Science</v>
      </c>
    </row>
    <row r="98" spans="1:72" x14ac:dyDescent="0.2">
      <c r="A98" t="s">
        <v>72</v>
      </c>
      <c r="B98" t="s">
        <v>2977</v>
      </c>
      <c r="C98" t="s">
        <v>74</v>
      </c>
      <c r="D98" t="s">
        <v>74</v>
      </c>
      <c r="E98" t="s">
        <v>74</v>
      </c>
      <c r="F98" t="s">
        <v>2978</v>
      </c>
      <c r="G98" t="s">
        <v>74</v>
      </c>
      <c r="H98" t="s">
        <v>74</v>
      </c>
      <c r="I98" t="s">
        <v>2979</v>
      </c>
      <c r="J98" t="s">
        <v>423</v>
      </c>
      <c r="K98" t="s">
        <v>74</v>
      </c>
      <c r="L98" t="s">
        <v>74</v>
      </c>
      <c r="M98" t="s">
        <v>74</v>
      </c>
      <c r="N98" t="s">
        <v>74</v>
      </c>
      <c r="O98" t="s">
        <v>74</v>
      </c>
      <c r="P98" t="s">
        <v>74</v>
      </c>
      <c r="Q98" t="s">
        <v>74</v>
      </c>
      <c r="R98" t="s">
        <v>74</v>
      </c>
      <c r="S98" t="s">
        <v>74</v>
      </c>
      <c r="T98" t="s">
        <v>74</v>
      </c>
      <c r="U98" t="s">
        <v>74</v>
      </c>
      <c r="V98" t="s">
        <v>74</v>
      </c>
      <c r="W98" t="s">
        <v>74</v>
      </c>
      <c r="X98" t="s">
        <v>74</v>
      </c>
      <c r="Y98" t="s">
        <v>74</v>
      </c>
      <c r="Z98" t="s">
        <v>74</v>
      </c>
      <c r="AA98" t="s">
        <v>6995</v>
      </c>
      <c r="AB98" t="s">
        <v>6996</v>
      </c>
      <c r="AC98" t="s">
        <v>74</v>
      </c>
      <c r="AD98" t="s">
        <v>74</v>
      </c>
      <c r="AE98" t="s">
        <v>74</v>
      </c>
      <c r="AF98" t="s">
        <v>74</v>
      </c>
      <c r="AG98" t="s">
        <v>74</v>
      </c>
      <c r="AH98" t="s">
        <v>74</v>
      </c>
      <c r="AI98" t="s">
        <v>74</v>
      </c>
      <c r="AJ98" t="s">
        <v>74</v>
      </c>
      <c r="AK98" t="s">
        <v>74</v>
      </c>
      <c r="AL98" t="s">
        <v>74</v>
      </c>
      <c r="AM98" t="s">
        <v>74</v>
      </c>
      <c r="AN98" t="s">
        <v>74</v>
      </c>
      <c r="AO98" t="s">
        <v>425</v>
      </c>
      <c r="AP98" t="s">
        <v>426</v>
      </c>
      <c r="AQ98" t="s">
        <v>74</v>
      </c>
      <c r="AR98" t="s">
        <v>74</v>
      </c>
      <c r="AS98" t="s">
        <v>74</v>
      </c>
      <c r="AT98" t="s">
        <v>569</v>
      </c>
      <c r="AU98">
        <v>2018</v>
      </c>
      <c r="AV98">
        <v>63</v>
      </c>
      <c r="AW98">
        <v>6</v>
      </c>
      <c r="AX98" t="s">
        <v>74</v>
      </c>
      <c r="AY98" t="s">
        <v>74</v>
      </c>
      <c r="AZ98" t="s">
        <v>74</v>
      </c>
      <c r="BA98" t="s">
        <v>74</v>
      </c>
      <c r="BB98">
        <v>581</v>
      </c>
      <c r="BC98">
        <v>596</v>
      </c>
      <c r="BD98" t="s">
        <v>74</v>
      </c>
      <c r="BE98" t="s">
        <v>2980</v>
      </c>
      <c r="BF98" t="str">
        <f>HYPERLINK("http://dx.doi.org/10.1111/fwb.13095","http://dx.doi.org/10.1111/fwb.13095")</f>
        <v>http://dx.doi.org/10.1111/fwb.13095</v>
      </c>
      <c r="BG98" t="s">
        <v>74</v>
      </c>
      <c r="BH98" t="s">
        <v>74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 t="s">
        <v>74</v>
      </c>
      <c r="BR98" t="s">
        <v>74</v>
      </c>
      <c r="BS98" t="s">
        <v>2981</v>
      </c>
      <c r="BT98" t="str">
        <f>HYPERLINK("https%3A%2F%2Fwww.webofscience.com%2Fwos%2Fwoscc%2Ffull-record%2FWOS:000431497700007","View Full Record in Web of Science")</f>
        <v>View Full Record in Web of Science</v>
      </c>
    </row>
    <row r="99" spans="1:72" x14ac:dyDescent="0.2">
      <c r="A99" t="s">
        <v>72</v>
      </c>
      <c r="B99" t="s">
        <v>2997</v>
      </c>
      <c r="C99" t="s">
        <v>74</v>
      </c>
      <c r="D99" t="s">
        <v>74</v>
      </c>
      <c r="E99" t="s">
        <v>74</v>
      </c>
      <c r="F99" t="s">
        <v>2998</v>
      </c>
      <c r="G99" t="s">
        <v>74</v>
      </c>
      <c r="H99" t="s">
        <v>74</v>
      </c>
      <c r="I99" t="s">
        <v>2999</v>
      </c>
      <c r="J99" t="s">
        <v>227</v>
      </c>
      <c r="K99" t="s">
        <v>74</v>
      </c>
      <c r="L99" t="s">
        <v>74</v>
      </c>
      <c r="M99" t="s">
        <v>74</v>
      </c>
      <c r="N99" t="s">
        <v>74</v>
      </c>
      <c r="O99" t="s">
        <v>74</v>
      </c>
      <c r="P99" t="s">
        <v>74</v>
      </c>
      <c r="Q99" t="s">
        <v>74</v>
      </c>
      <c r="R99" t="s">
        <v>74</v>
      </c>
      <c r="S99" t="s">
        <v>74</v>
      </c>
      <c r="T99" t="s">
        <v>74</v>
      </c>
      <c r="U99" t="s">
        <v>74</v>
      </c>
      <c r="V99" t="s">
        <v>74</v>
      </c>
      <c r="W99" t="s">
        <v>74</v>
      </c>
      <c r="X99" t="s">
        <v>74</v>
      </c>
      <c r="Y99" t="s">
        <v>74</v>
      </c>
      <c r="Z99" t="s">
        <v>74</v>
      </c>
      <c r="AA99" t="s">
        <v>74</v>
      </c>
      <c r="AB99" t="s">
        <v>74</v>
      </c>
      <c r="AC99" t="s">
        <v>74</v>
      </c>
      <c r="AD99" t="s">
        <v>74</v>
      </c>
      <c r="AE99" t="s">
        <v>74</v>
      </c>
      <c r="AF99" t="s">
        <v>74</v>
      </c>
      <c r="AG99" t="s">
        <v>74</v>
      </c>
      <c r="AH99" t="s">
        <v>74</v>
      </c>
      <c r="AI99" t="s">
        <v>74</v>
      </c>
      <c r="AJ99" t="s">
        <v>74</v>
      </c>
      <c r="AK99" t="s">
        <v>74</v>
      </c>
      <c r="AL99" t="s">
        <v>74</v>
      </c>
      <c r="AM99" t="s">
        <v>74</v>
      </c>
      <c r="AN99" t="s">
        <v>74</v>
      </c>
      <c r="AO99" t="s">
        <v>230</v>
      </c>
      <c r="AP99" t="s">
        <v>231</v>
      </c>
      <c r="AQ99" t="s">
        <v>74</v>
      </c>
      <c r="AR99" t="s">
        <v>74</v>
      </c>
      <c r="AS99" t="s">
        <v>74</v>
      </c>
      <c r="AT99" t="s">
        <v>575</v>
      </c>
      <c r="AU99">
        <v>2018</v>
      </c>
      <c r="AV99">
        <v>63</v>
      </c>
      <c r="AW99">
        <v>3</v>
      </c>
      <c r="AX99" t="s">
        <v>74</v>
      </c>
      <c r="AY99" t="s">
        <v>74</v>
      </c>
      <c r="AZ99" t="s">
        <v>74</v>
      </c>
      <c r="BA99" t="s">
        <v>74</v>
      </c>
      <c r="BB99">
        <v>1181</v>
      </c>
      <c r="BC99">
        <v>1190</v>
      </c>
      <c r="BD99" t="s">
        <v>74</v>
      </c>
      <c r="BE99" t="s">
        <v>3000</v>
      </c>
      <c r="BF99" t="str">
        <f>HYPERLINK("http://dx.doi.org/10.1002/lno.10763","http://dx.doi.org/10.1002/lno.10763")</f>
        <v>http://dx.doi.org/10.1002/lno.10763</v>
      </c>
      <c r="BG99" t="s">
        <v>74</v>
      </c>
      <c r="BH99" t="s">
        <v>74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 t="s">
        <v>74</v>
      </c>
      <c r="BR99" t="s">
        <v>74</v>
      </c>
      <c r="BS99" t="s">
        <v>3001</v>
      </c>
      <c r="BT99" t="str">
        <f>HYPERLINK("https%3A%2F%2Fwww.webofscience.com%2Fwos%2Fwoscc%2Ffull-record%2FWOS:000432019600010","View Full Record in Web of Science")</f>
        <v>View Full Record in Web of Science</v>
      </c>
    </row>
    <row r="100" spans="1:72" x14ac:dyDescent="0.2">
      <c r="A100" t="s">
        <v>72</v>
      </c>
      <c r="B100" t="s">
        <v>3047</v>
      </c>
      <c r="C100" t="s">
        <v>74</v>
      </c>
      <c r="D100" t="s">
        <v>74</v>
      </c>
      <c r="E100" t="s">
        <v>74</v>
      </c>
      <c r="F100" t="s">
        <v>3048</v>
      </c>
      <c r="G100" t="s">
        <v>74</v>
      </c>
      <c r="H100" t="s">
        <v>74</v>
      </c>
      <c r="I100" t="s">
        <v>3049</v>
      </c>
      <c r="J100" t="s">
        <v>3050</v>
      </c>
      <c r="K100" t="s">
        <v>74</v>
      </c>
      <c r="L100" t="s">
        <v>74</v>
      </c>
      <c r="M100" t="s">
        <v>74</v>
      </c>
      <c r="N100" t="s">
        <v>74</v>
      </c>
      <c r="O100" t="s">
        <v>74</v>
      </c>
      <c r="P100" t="s">
        <v>74</v>
      </c>
      <c r="Q100" t="s">
        <v>74</v>
      </c>
      <c r="R100" t="s">
        <v>74</v>
      </c>
      <c r="S100" t="s">
        <v>74</v>
      </c>
      <c r="T100" t="s">
        <v>74</v>
      </c>
      <c r="U100" t="s">
        <v>74</v>
      </c>
      <c r="V100" t="s">
        <v>74</v>
      </c>
      <c r="W100" t="s">
        <v>74</v>
      </c>
      <c r="X100" t="s">
        <v>74</v>
      </c>
      <c r="Y100" t="s">
        <v>74</v>
      </c>
      <c r="Z100" t="s">
        <v>74</v>
      </c>
      <c r="AA100" t="s">
        <v>3051</v>
      </c>
      <c r="AB100" t="s">
        <v>7003</v>
      </c>
      <c r="AC100" t="s">
        <v>74</v>
      </c>
      <c r="AD100" t="s">
        <v>74</v>
      </c>
      <c r="AE100" t="s">
        <v>74</v>
      </c>
      <c r="AF100" t="s">
        <v>74</v>
      </c>
      <c r="AG100" t="s">
        <v>74</v>
      </c>
      <c r="AH100" t="s">
        <v>74</v>
      </c>
      <c r="AI100" t="s">
        <v>74</v>
      </c>
      <c r="AJ100" t="s">
        <v>74</v>
      </c>
      <c r="AK100" t="s">
        <v>74</v>
      </c>
      <c r="AL100" t="s">
        <v>74</v>
      </c>
      <c r="AM100" t="s">
        <v>74</v>
      </c>
      <c r="AN100" t="s">
        <v>74</v>
      </c>
      <c r="AO100" t="s">
        <v>3052</v>
      </c>
      <c r="AP100" t="s">
        <v>3053</v>
      </c>
      <c r="AQ100" t="s">
        <v>74</v>
      </c>
      <c r="AR100" t="s">
        <v>74</v>
      </c>
      <c r="AS100" t="s">
        <v>74</v>
      </c>
      <c r="AT100" t="s">
        <v>203</v>
      </c>
      <c r="AU100">
        <v>2018</v>
      </c>
      <c r="AV100">
        <v>53</v>
      </c>
      <c r="AW100">
        <v>4</v>
      </c>
      <c r="AX100" t="s">
        <v>74</v>
      </c>
      <c r="AY100" t="s">
        <v>74</v>
      </c>
      <c r="AZ100" t="s">
        <v>74</v>
      </c>
      <c r="BA100" t="s">
        <v>74</v>
      </c>
      <c r="BB100">
        <v>447</v>
      </c>
      <c r="BC100">
        <v>456</v>
      </c>
      <c r="BD100" t="s">
        <v>74</v>
      </c>
      <c r="BE100" t="s">
        <v>3054</v>
      </c>
      <c r="BF100" t="str">
        <f>HYPERLINK("http://dx.doi.org/10.1002/lipd.12026","http://dx.doi.org/10.1002/lipd.12026")</f>
        <v>http://dx.doi.org/10.1002/lipd.12026</v>
      </c>
      <c r="BG100" t="s">
        <v>74</v>
      </c>
      <c r="BH100" t="s">
        <v>74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>
        <v>29741213</v>
      </c>
      <c r="BO100" t="s">
        <v>74</v>
      </c>
      <c r="BP100" t="s">
        <v>74</v>
      </c>
      <c r="BQ100" t="s">
        <v>74</v>
      </c>
      <c r="BR100" t="s">
        <v>74</v>
      </c>
      <c r="BS100" t="s">
        <v>3055</v>
      </c>
      <c r="BT100" t="str">
        <f>HYPERLINK("https%3A%2F%2Fwww.webofscience.com%2Fwos%2Fwoscc%2Ffull-record%2FWOS:000434151000009","View Full Record in Web of Science")</f>
        <v>View Full Record in Web of Science</v>
      </c>
    </row>
    <row r="101" spans="1:72" x14ac:dyDescent="0.2">
      <c r="A101" t="s">
        <v>72</v>
      </c>
      <c r="B101" t="s">
        <v>3089</v>
      </c>
      <c r="C101" t="s">
        <v>74</v>
      </c>
      <c r="D101" t="s">
        <v>74</v>
      </c>
      <c r="E101" t="s">
        <v>74</v>
      </c>
      <c r="F101" t="s">
        <v>3090</v>
      </c>
      <c r="G101" t="s">
        <v>74</v>
      </c>
      <c r="H101" t="s">
        <v>74</v>
      </c>
      <c r="I101" t="s">
        <v>3091</v>
      </c>
      <c r="J101" t="s">
        <v>106</v>
      </c>
      <c r="K101" t="s">
        <v>74</v>
      </c>
      <c r="L101" t="s">
        <v>74</v>
      </c>
      <c r="M101" t="s">
        <v>74</v>
      </c>
      <c r="N101" t="s">
        <v>74</v>
      </c>
      <c r="O101" t="s">
        <v>74</v>
      </c>
      <c r="P101" t="s">
        <v>74</v>
      </c>
      <c r="Q101" t="s">
        <v>74</v>
      </c>
      <c r="R101" t="s">
        <v>74</v>
      </c>
      <c r="S101" t="s">
        <v>74</v>
      </c>
      <c r="T101" t="s">
        <v>74</v>
      </c>
      <c r="U101" t="s">
        <v>74</v>
      </c>
      <c r="V101" t="s">
        <v>74</v>
      </c>
      <c r="W101" t="s">
        <v>74</v>
      </c>
      <c r="X101" t="s">
        <v>74</v>
      </c>
      <c r="Y101" t="s">
        <v>74</v>
      </c>
      <c r="Z101" t="s">
        <v>74</v>
      </c>
      <c r="AA101" t="s">
        <v>3092</v>
      </c>
      <c r="AB101" t="s">
        <v>3093</v>
      </c>
      <c r="AC101" t="s">
        <v>74</v>
      </c>
      <c r="AD101" t="s">
        <v>74</v>
      </c>
      <c r="AE101" t="s">
        <v>74</v>
      </c>
      <c r="AF101" t="s">
        <v>74</v>
      </c>
      <c r="AG101" t="s">
        <v>74</v>
      </c>
      <c r="AH101" t="s">
        <v>74</v>
      </c>
      <c r="AI101" t="s">
        <v>74</v>
      </c>
      <c r="AJ101" t="s">
        <v>74</v>
      </c>
      <c r="AK101" t="s">
        <v>74</v>
      </c>
      <c r="AL101" t="s">
        <v>74</v>
      </c>
      <c r="AM101" t="s">
        <v>74</v>
      </c>
      <c r="AN101" t="s">
        <v>74</v>
      </c>
      <c r="AO101" t="s">
        <v>107</v>
      </c>
      <c r="AP101" t="s">
        <v>108</v>
      </c>
      <c r="AQ101" t="s">
        <v>74</v>
      </c>
      <c r="AR101" t="s">
        <v>74</v>
      </c>
      <c r="AS101" t="s">
        <v>74</v>
      </c>
      <c r="AT101" t="s">
        <v>3094</v>
      </c>
      <c r="AU101">
        <v>2018</v>
      </c>
      <c r="AV101">
        <v>40</v>
      </c>
      <c r="AW101">
        <v>2</v>
      </c>
      <c r="AX101" t="s">
        <v>74</v>
      </c>
      <c r="AY101" t="s">
        <v>74</v>
      </c>
      <c r="AZ101" t="s">
        <v>74</v>
      </c>
      <c r="BA101" t="s">
        <v>74</v>
      </c>
      <c r="BB101">
        <v>197</v>
      </c>
      <c r="BC101">
        <v>208</v>
      </c>
      <c r="BD101" t="s">
        <v>74</v>
      </c>
      <c r="BE101" t="s">
        <v>3095</v>
      </c>
      <c r="BF101" t="str">
        <f>HYPERLINK("http://dx.doi.org/10.1093/plankt/fby002","http://dx.doi.org/10.1093/plankt/fby002")</f>
        <v>http://dx.doi.org/10.1093/plankt/fby002</v>
      </c>
      <c r="BG101" t="s">
        <v>74</v>
      </c>
      <c r="BH101" t="s">
        <v>74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 t="s">
        <v>74</v>
      </c>
      <c r="BR101" t="s">
        <v>74</v>
      </c>
      <c r="BS101" t="s">
        <v>3096</v>
      </c>
      <c r="BT101" t="str">
        <f>HYPERLINK("https%3A%2F%2Fwww.webofscience.com%2Fwos%2Fwoscc%2Ffull-record%2FWOS:000428943600008","View Full Record in Web of Science")</f>
        <v>View Full Record in Web of Science</v>
      </c>
    </row>
    <row r="102" spans="1:72" x14ac:dyDescent="0.2">
      <c r="A102" t="s">
        <v>72</v>
      </c>
      <c r="B102" t="s">
        <v>3137</v>
      </c>
      <c r="C102" t="s">
        <v>74</v>
      </c>
      <c r="D102" t="s">
        <v>74</v>
      </c>
      <c r="E102" t="s">
        <v>74</v>
      </c>
      <c r="F102" t="s">
        <v>3138</v>
      </c>
      <c r="G102" t="s">
        <v>74</v>
      </c>
      <c r="H102" t="s">
        <v>74</v>
      </c>
      <c r="I102" t="s">
        <v>3139</v>
      </c>
      <c r="J102" t="s">
        <v>545</v>
      </c>
      <c r="K102" t="s">
        <v>74</v>
      </c>
      <c r="L102" t="s">
        <v>74</v>
      </c>
      <c r="M102" t="s">
        <v>74</v>
      </c>
      <c r="N102" t="s">
        <v>74</v>
      </c>
      <c r="O102" t="s">
        <v>74</v>
      </c>
      <c r="P102" t="s">
        <v>74</v>
      </c>
      <c r="Q102" t="s">
        <v>74</v>
      </c>
      <c r="R102" t="s">
        <v>74</v>
      </c>
      <c r="S102" t="s">
        <v>74</v>
      </c>
      <c r="T102" t="s">
        <v>74</v>
      </c>
      <c r="U102" t="s">
        <v>74</v>
      </c>
      <c r="V102" t="s">
        <v>74</v>
      </c>
      <c r="W102" t="s">
        <v>74</v>
      </c>
      <c r="X102" t="s">
        <v>74</v>
      </c>
      <c r="Y102" t="s">
        <v>74</v>
      </c>
      <c r="Z102" t="s">
        <v>74</v>
      </c>
      <c r="AA102" t="s">
        <v>3140</v>
      </c>
      <c r="AB102" t="s">
        <v>3141</v>
      </c>
      <c r="AC102" t="s">
        <v>74</v>
      </c>
      <c r="AD102" t="s">
        <v>74</v>
      </c>
      <c r="AE102" t="s">
        <v>74</v>
      </c>
      <c r="AF102" t="s">
        <v>74</v>
      </c>
      <c r="AG102" t="s">
        <v>74</v>
      </c>
      <c r="AH102" t="s">
        <v>74</v>
      </c>
      <c r="AI102" t="s">
        <v>74</v>
      </c>
      <c r="AJ102" t="s">
        <v>74</v>
      </c>
      <c r="AK102" t="s">
        <v>74</v>
      </c>
      <c r="AL102" t="s">
        <v>74</v>
      </c>
      <c r="AM102" t="s">
        <v>74</v>
      </c>
      <c r="AN102" t="s">
        <v>74</v>
      </c>
      <c r="AO102" t="s">
        <v>546</v>
      </c>
      <c r="AP102" t="s">
        <v>547</v>
      </c>
      <c r="AQ102" t="s">
        <v>74</v>
      </c>
      <c r="AR102" t="s">
        <v>74</v>
      </c>
      <c r="AS102" t="s">
        <v>74</v>
      </c>
      <c r="AT102" t="s">
        <v>74</v>
      </c>
      <c r="AU102">
        <v>2018</v>
      </c>
      <c r="AV102">
        <v>21</v>
      </c>
      <c r="AW102">
        <v>1</v>
      </c>
      <c r="AX102" t="s">
        <v>74</v>
      </c>
      <c r="AY102" t="s">
        <v>74</v>
      </c>
      <c r="AZ102" t="s">
        <v>74</v>
      </c>
      <c r="BA102" t="s">
        <v>74</v>
      </c>
      <c r="BB102">
        <v>30</v>
      </c>
      <c r="BC102">
        <v>40</v>
      </c>
      <c r="BD102" t="s">
        <v>74</v>
      </c>
      <c r="BE102" t="s">
        <v>3142</v>
      </c>
      <c r="BF102" t="str">
        <f>HYPERLINK("http://dx.doi.org/10.1080/14634988.2018.1432948","http://dx.doi.org/10.1080/14634988.2018.1432948")</f>
        <v>http://dx.doi.org/10.1080/14634988.2018.1432948</v>
      </c>
      <c r="BG102" t="s">
        <v>74</v>
      </c>
      <c r="BH102" t="s">
        <v>74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 t="s">
        <v>74</v>
      </c>
      <c r="BR102" t="s">
        <v>74</v>
      </c>
      <c r="BS102" t="s">
        <v>3143</v>
      </c>
      <c r="BT102" t="str">
        <f>HYPERLINK("https%3A%2F%2Fwww.webofscience.com%2Fwos%2Fwoscc%2Ffull-record%2FWOS:000428039400004","View Full Record in Web of Science")</f>
        <v>View Full Record in Web of Science</v>
      </c>
    </row>
    <row r="103" spans="1:72" x14ac:dyDescent="0.2">
      <c r="A103" t="s">
        <v>3144</v>
      </c>
      <c r="B103" t="s">
        <v>3145</v>
      </c>
      <c r="C103" t="s">
        <v>74</v>
      </c>
      <c r="D103" t="s">
        <v>3146</v>
      </c>
      <c r="E103" t="s">
        <v>74</v>
      </c>
      <c r="F103" t="s">
        <v>3147</v>
      </c>
      <c r="G103" t="s">
        <v>74</v>
      </c>
      <c r="H103" t="s">
        <v>74</v>
      </c>
      <c r="I103" t="s">
        <v>3148</v>
      </c>
      <c r="J103" t="s">
        <v>3149</v>
      </c>
      <c r="K103" t="s">
        <v>3150</v>
      </c>
      <c r="L103" t="s">
        <v>74</v>
      </c>
      <c r="M103" t="s">
        <v>74</v>
      </c>
      <c r="N103" t="s">
        <v>74</v>
      </c>
      <c r="O103" t="s">
        <v>74</v>
      </c>
      <c r="P103" t="s">
        <v>74</v>
      </c>
      <c r="Q103" t="s">
        <v>74</v>
      </c>
      <c r="R103" t="s">
        <v>74</v>
      </c>
      <c r="S103" t="s">
        <v>74</v>
      </c>
      <c r="T103" t="s">
        <v>74</v>
      </c>
      <c r="U103" t="s">
        <v>74</v>
      </c>
      <c r="V103" t="s">
        <v>74</v>
      </c>
      <c r="W103" t="s">
        <v>74</v>
      </c>
      <c r="X103" t="s">
        <v>74</v>
      </c>
      <c r="Y103" t="s">
        <v>74</v>
      </c>
      <c r="Z103" t="s">
        <v>74</v>
      </c>
      <c r="AA103" t="s">
        <v>3151</v>
      </c>
      <c r="AB103" t="s">
        <v>3152</v>
      </c>
      <c r="AC103" t="s">
        <v>74</v>
      </c>
      <c r="AD103" t="s">
        <v>74</v>
      </c>
      <c r="AE103" t="s">
        <v>74</v>
      </c>
      <c r="AF103" t="s">
        <v>74</v>
      </c>
      <c r="AG103" t="s">
        <v>74</v>
      </c>
      <c r="AH103" t="s">
        <v>74</v>
      </c>
      <c r="AI103" t="s">
        <v>74</v>
      </c>
      <c r="AJ103" t="s">
        <v>74</v>
      </c>
      <c r="AK103" t="s">
        <v>74</v>
      </c>
      <c r="AL103" t="s">
        <v>74</v>
      </c>
      <c r="AM103" t="s">
        <v>74</v>
      </c>
      <c r="AN103" t="s">
        <v>74</v>
      </c>
      <c r="AO103" t="s">
        <v>3153</v>
      </c>
      <c r="AP103" t="s">
        <v>3154</v>
      </c>
      <c r="AQ103" t="s">
        <v>3155</v>
      </c>
      <c r="AR103" t="s">
        <v>74</v>
      </c>
      <c r="AS103" t="s">
        <v>74</v>
      </c>
      <c r="AT103" t="s">
        <v>74</v>
      </c>
      <c r="AU103">
        <v>2018</v>
      </c>
      <c r="AV103">
        <v>10</v>
      </c>
      <c r="AW103" t="s">
        <v>74</v>
      </c>
      <c r="AX103" t="s">
        <v>74</v>
      </c>
      <c r="AY103" t="s">
        <v>74</v>
      </c>
      <c r="AZ103" t="s">
        <v>74</v>
      </c>
      <c r="BA103" t="s">
        <v>74</v>
      </c>
      <c r="BB103">
        <v>163</v>
      </c>
      <c r="BC103">
        <v>212</v>
      </c>
      <c r="BD103" t="s">
        <v>74</v>
      </c>
      <c r="BE103" t="s">
        <v>3156</v>
      </c>
      <c r="BF103" t="str">
        <f>HYPERLINK("http://dx.doi.org/10.1007/978-3-319-93270-5_11","http://dx.doi.org/10.1007/978-3-319-93270-5_11")</f>
        <v>http://dx.doi.org/10.1007/978-3-319-93270-5_11</v>
      </c>
      <c r="BG103" t="s">
        <v>3157</v>
      </c>
      <c r="BH103" t="s">
        <v>74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 t="s">
        <v>74</v>
      </c>
      <c r="BR103" t="s">
        <v>74</v>
      </c>
      <c r="BS103" t="s">
        <v>3158</v>
      </c>
      <c r="BT103" t="str">
        <f>HYPERLINK("https%3A%2F%2Fwww.webofscience.com%2Fwos%2Fwoscc%2Ffull-record%2FWOS:000459447700011","View Full Record in Web of Science")</f>
        <v>View Full Record in Web of Science</v>
      </c>
    </row>
    <row r="104" spans="1:72" x14ac:dyDescent="0.2">
      <c r="A104" t="s">
        <v>72</v>
      </c>
      <c r="B104" t="s">
        <v>3248</v>
      </c>
      <c r="C104" t="s">
        <v>74</v>
      </c>
      <c r="D104" t="s">
        <v>74</v>
      </c>
      <c r="E104" t="s">
        <v>74</v>
      </c>
      <c r="F104" t="s">
        <v>3249</v>
      </c>
      <c r="G104" t="s">
        <v>74</v>
      </c>
      <c r="H104" t="s">
        <v>74</v>
      </c>
      <c r="I104" t="s">
        <v>3250</v>
      </c>
      <c r="J104" t="s">
        <v>673</v>
      </c>
      <c r="K104" t="s">
        <v>74</v>
      </c>
      <c r="L104" t="s">
        <v>74</v>
      </c>
      <c r="M104" t="s">
        <v>74</v>
      </c>
      <c r="N104" t="s">
        <v>74</v>
      </c>
      <c r="O104" t="s">
        <v>74</v>
      </c>
      <c r="P104" t="s">
        <v>74</v>
      </c>
      <c r="Q104" t="s">
        <v>74</v>
      </c>
      <c r="R104" t="s">
        <v>74</v>
      </c>
      <c r="S104" t="s">
        <v>74</v>
      </c>
      <c r="T104" t="s">
        <v>74</v>
      </c>
      <c r="U104" t="s">
        <v>74</v>
      </c>
      <c r="V104" t="s">
        <v>74</v>
      </c>
      <c r="W104" t="s">
        <v>74</v>
      </c>
      <c r="X104" t="s">
        <v>74</v>
      </c>
      <c r="Y104" t="s">
        <v>74</v>
      </c>
      <c r="Z104" t="s">
        <v>74</v>
      </c>
      <c r="AA104" t="s">
        <v>3251</v>
      </c>
      <c r="AB104" t="s">
        <v>3252</v>
      </c>
      <c r="AC104" t="s">
        <v>74</v>
      </c>
      <c r="AD104" t="s">
        <v>74</v>
      </c>
      <c r="AE104" t="s">
        <v>74</v>
      </c>
      <c r="AF104" t="s">
        <v>74</v>
      </c>
      <c r="AG104" t="s">
        <v>74</v>
      </c>
      <c r="AH104" t="s">
        <v>74</v>
      </c>
      <c r="AI104" t="s">
        <v>74</v>
      </c>
      <c r="AJ104" t="s">
        <v>74</v>
      </c>
      <c r="AK104" t="s">
        <v>74</v>
      </c>
      <c r="AL104" t="s">
        <v>74</v>
      </c>
      <c r="AM104" t="s">
        <v>74</v>
      </c>
      <c r="AN104" t="s">
        <v>74</v>
      </c>
      <c r="AO104" t="s">
        <v>674</v>
      </c>
      <c r="AP104" t="s">
        <v>675</v>
      </c>
      <c r="AQ104" t="s">
        <v>74</v>
      </c>
      <c r="AR104" t="s">
        <v>74</v>
      </c>
      <c r="AS104" t="s">
        <v>74</v>
      </c>
      <c r="AT104" t="s">
        <v>451</v>
      </c>
      <c r="AU104">
        <v>2017</v>
      </c>
      <c r="AV104">
        <v>143</v>
      </c>
      <c r="AW104" t="s">
        <v>74</v>
      </c>
      <c r="AX104" t="s">
        <v>74</v>
      </c>
      <c r="AY104" t="s">
        <v>74</v>
      </c>
      <c r="AZ104" t="s">
        <v>74</v>
      </c>
      <c r="BA104" t="s">
        <v>74</v>
      </c>
      <c r="BB104">
        <v>228</v>
      </c>
      <c r="BC104">
        <v>235</v>
      </c>
      <c r="BD104" t="s">
        <v>74</v>
      </c>
      <c r="BE104" t="s">
        <v>3253</v>
      </c>
      <c r="BF104" t="str">
        <f>HYPERLINK("http://dx.doi.org/10.1016/j.ecoenv.2017.05.030","http://dx.doi.org/10.1016/j.ecoenv.2017.05.030")</f>
        <v>http://dx.doi.org/10.1016/j.ecoenv.2017.05.030</v>
      </c>
      <c r="BG104" t="s">
        <v>74</v>
      </c>
      <c r="BH104" t="s">
        <v>74</v>
      </c>
      <c r="BI104" t="s">
        <v>74</v>
      </c>
      <c r="BJ104" t="s">
        <v>74</v>
      </c>
      <c r="BK104" t="s">
        <v>74</v>
      </c>
      <c r="BL104" t="s">
        <v>74</v>
      </c>
      <c r="BM104" t="s">
        <v>74</v>
      </c>
      <c r="BN104">
        <v>28551580</v>
      </c>
      <c r="BO104" t="s">
        <v>74</v>
      </c>
      <c r="BP104" t="s">
        <v>74</v>
      </c>
      <c r="BQ104" t="s">
        <v>74</v>
      </c>
      <c r="BR104" t="s">
        <v>74</v>
      </c>
      <c r="BS104" t="s">
        <v>3254</v>
      </c>
      <c r="BT104" t="str">
        <f>HYPERLINK("https%3A%2F%2Fwww.webofscience.com%2Fwos%2Fwoscc%2Ffull-record%2FWOS:000404095100030","View Full Record in Web of Science")</f>
        <v>View Full Record in Web of Science</v>
      </c>
    </row>
    <row r="105" spans="1:72" x14ac:dyDescent="0.2">
      <c r="A105" t="s">
        <v>72</v>
      </c>
      <c r="B105" t="s">
        <v>3255</v>
      </c>
      <c r="C105" t="s">
        <v>74</v>
      </c>
      <c r="D105" t="s">
        <v>74</v>
      </c>
      <c r="E105" t="s">
        <v>74</v>
      </c>
      <c r="F105" t="s">
        <v>3256</v>
      </c>
      <c r="G105" t="s">
        <v>74</v>
      </c>
      <c r="H105" t="s">
        <v>74</v>
      </c>
      <c r="I105" t="s">
        <v>3257</v>
      </c>
      <c r="J105" t="s">
        <v>3258</v>
      </c>
      <c r="K105" t="s">
        <v>74</v>
      </c>
      <c r="L105" t="s">
        <v>74</v>
      </c>
      <c r="M105" t="s">
        <v>74</v>
      </c>
      <c r="N105" t="s">
        <v>74</v>
      </c>
      <c r="O105" t="s">
        <v>3259</v>
      </c>
      <c r="P105">
        <v>2016</v>
      </c>
      <c r="Q105" t="s">
        <v>3260</v>
      </c>
      <c r="R105" t="s">
        <v>3261</v>
      </c>
      <c r="S105" t="s">
        <v>74</v>
      </c>
      <c r="T105" t="s">
        <v>74</v>
      </c>
      <c r="U105" t="s">
        <v>74</v>
      </c>
      <c r="V105" t="s">
        <v>74</v>
      </c>
      <c r="W105" t="s">
        <v>74</v>
      </c>
      <c r="X105" t="s">
        <v>74</v>
      </c>
      <c r="Y105" t="s">
        <v>74</v>
      </c>
      <c r="Z105" t="s">
        <v>74</v>
      </c>
      <c r="AA105" t="s">
        <v>3262</v>
      </c>
      <c r="AB105" t="s">
        <v>3263</v>
      </c>
      <c r="AC105" t="s">
        <v>74</v>
      </c>
      <c r="AD105" t="s">
        <v>74</v>
      </c>
      <c r="AE105" t="s">
        <v>74</v>
      </c>
      <c r="AF105" t="s">
        <v>74</v>
      </c>
      <c r="AG105" t="s">
        <v>74</v>
      </c>
      <c r="AH105" t="s">
        <v>74</v>
      </c>
      <c r="AI105" t="s">
        <v>74</v>
      </c>
      <c r="AJ105" t="s">
        <v>74</v>
      </c>
      <c r="AK105" t="s">
        <v>74</v>
      </c>
      <c r="AL105" t="s">
        <v>74</v>
      </c>
      <c r="AM105" t="s">
        <v>74</v>
      </c>
      <c r="AN105" t="s">
        <v>74</v>
      </c>
      <c r="AO105" t="s">
        <v>3264</v>
      </c>
      <c r="AP105" t="s">
        <v>3265</v>
      </c>
      <c r="AQ105" t="s">
        <v>74</v>
      </c>
      <c r="AR105" t="s">
        <v>74</v>
      </c>
      <c r="AS105" t="s">
        <v>74</v>
      </c>
      <c r="AT105" t="s">
        <v>451</v>
      </c>
      <c r="AU105">
        <v>2017</v>
      </c>
      <c r="AV105">
        <v>105</v>
      </c>
      <c r="AW105">
        <v>3</v>
      </c>
      <c r="AX105" t="s">
        <v>74</v>
      </c>
      <c r="AY105" t="s">
        <v>74</v>
      </c>
      <c r="AZ105" t="s">
        <v>74</v>
      </c>
      <c r="BA105" t="s">
        <v>74</v>
      </c>
      <c r="BB105">
        <v>523</v>
      </c>
      <c r="BC105">
        <v>532</v>
      </c>
      <c r="BD105" t="s">
        <v>74</v>
      </c>
      <c r="BE105" t="s">
        <v>3266</v>
      </c>
      <c r="BF105" t="str">
        <f>HYPERLINK("http://dx.doi.org/10.1643/CE-16-527","http://dx.doi.org/10.1643/CE-16-527")</f>
        <v>http://dx.doi.org/10.1643/CE-16-527</v>
      </c>
      <c r="BG105" t="s">
        <v>74</v>
      </c>
      <c r="BH105" t="s">
        <v>74</v>
      </c>
      <c r="BI105" t="s">
        <v>74</v>
      </c>
      <c r="BJ105" t="s">
        <v>74</v>
      </c>
      <c r="BK105" t="s">
        <v>74</v>
      </c>
      <c r="BL105" t="s">
        <v>74</v>
      </c>
      <c r="BM105" t="s">
        <v>74</v>
      </c>
      <c r="BN105" t="s">
        <v>74</v>
      </c>
      <c r="BO105" t="s">
        <v>74</v>
      </c>
      <c r="BP105" t="s">
        <v>74</v>
      </c>
      <c r="BQ105" t="s">
        <v>74</v>
      </c>
      <c r="BR105" t="s">
        <v>74</v>
      </c>
      <c r="BS105" t="s">
        <v>3267</v>
      </c>
      <c r="BT105" t="str">
        <f>HYPERLINK("https%3A%2F%2Fwww.webofscience.com%2Fwos%2Fwoscc%2Ffull-record%2FWOS:000412751500009","View Full Record in Web of Science")</f>
        <v>View Full Record in Web of Science</v>
      </c>
    </row>
    <row r="106" spans="1:72" x14ac:dyDescent="0.2">
      <c r="A106" t="s">
        <v>72</v>
      </c>
      <c r="B106" t="s">
        <v>3304</v>
      </c>
      <c r="C106" t="s">
        <v>74</v>
      </c>
      <c r="D106" t="s">
        <v>74</v>
      </c>
      <c r="E106" t="s">
        <v>74</v>
      </c>
      <c r="F106" t="s">
        <v>3305</v>
      </c>
      <c r="G106" t="s">
        <v>74</v>
      </c>
      <c r="H106" t="s">
        <v>74</v>
      </c>
      <c r="I106" t="s">
        <v>3306</v>
      </c>
      <c r="J106" t="s">
        <v>145</v>
      </c>
      <c r="K106" t="s">
        <v>74</v>
      </c>
      <c r="L106" t="s">
        <v>74</v>
      </c>
      <c r="M106" t="s">
        <v>74</v>
      </c>
      <c r="N106" t="s">
        <v>74</v>
      </c>
      <c r="O106" t="s">
        <v>74</v>
      </c>
      <c r="P106" t="s">
        <v>74</v>
      </c>
      <c r="Q106" t="s">
        <v>74</v>
      </c>
      <c r="R106" t="s">
        <v>74</v>
      </c>
      <c r="S106" t="s">
        <v>74</v>
      </c>
      <c r="T106" t="s">
        <v>74</v>
      </c>
      <c r="U106" t="s">
        <v>74</v>
      </c>
      <c r="V106" t="s">
        <v>74</v>
      </c>
      <c r="W106" t="s">
        <v>74</v>
      </c>
      <c r="X106" t="s">
        <v>74</v>
      </c>
      <c r="Y106" t="s">
        <v>74</v>
      </c>
      <c r="Z106" t="s">
        <v>74</v>
      </c>
      <c r="AA106" t="s">
        <v>3307</v>
      </c>
      <c r="AB106" t="s">
        <v>7016</v>
      </c>
      <c r="AC106" t="s">
        <v>74</v>
      </c>
      <c r="AD106" t="s">
        <v>74</v>
      </c>
      <c r="AE106" t="s">
        <v>74</v>
      </c>
      <c r="AF106" t="s">
        <v>74</v>
      </c>
      <c r="AG106" t="s">
        <v>74</v>
      </c>
      <c r="AH106" t="s">
        <v>74</v>
      </c>
      <c r="AI106" t="s">
        <v>74</v>
      </c>
      <c r="AJ106" t="s">
        <v>74</v>
      </c>
      <c r="AK106" t="s">
        <v>74</v>
      </c>
      <c r="AL106" t="s">
        <v>74</v>
      </c>
      <c r="AM106" t="s">
        <v>74</v>
      </c>
      <c r="AN106" t="s">
        <v>74</v>
      </c>
      <c r="AO106" t="s">
        <v>146</v>
      </c>
      <c r="AP106" t="s">
        <v>147</v>
      </c>
      <c r="AQ106" t="s">
        <v>74</v>
      </c>
      <c r="AR106" t="s">
        <v>74</v>
      </c>
      <c r="AS106" t="s">
        <v>74</v>
      </c>
      <c r="AT106" t="s">
        <v>1310</v>
      </c>
      <c r="AU106">
        <v>2017</v>
      </c>
      <c r="AV106">
        <v>590</v>
      </c>
      <c r="AW106" t="s">
        <v>74</v>
      </c>
      <c r="AX106" t="s">
        <v>74</v>
      </c>
      <c r="AY106" t="s">
        <v>74</v>
      </c>
      <c r="AZ106" t="s">
        <v>74</v>
      </c>
      <c r="BA106" t="s">
        <v>74</v>
      </c>
      <c r="BB106">
        <v>304</v>
      </c>
      <c r="BC106">
        <v>315</v>
      </c>
      <c r="BD106" t="s">
        <v>74</v>
      </c>
      <c r="BE106" t="s">
        <v>3308</v>
      </c>
      <c r="BF106" t="str">
        <f>HYPERLINK("http://dx.doi.org/10.1016/j.scitotenv.2017.03.007","http://dx.doi.org/10.1016/j.scitotenv.2017.03.007")</f>
        <v>http://dx.doi.org/10.1016/j.scitotenv.2017.03.007</v>
      </c>
      <c r="BG106" t="s">
        <v>74</v>
      </c>
      <c r="BH106" t="s">
        <v>74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>
        <v>28283294</v>
      </c>
      <c r="BO106" t="s">
        <v>74</v>
      </c>
      <c r="BP106" t="s">
        <v>74</v>
      </c>
      <c r="BQ106" t="s">
        <v>74</v>
      </c>
      <c r="BR106" t="s">
        <v>74</v>
      </c>
      <c r="BS106" t="s">
        <v>3309</v>
      </c>
      <c r="BT106" t="str">
        <f>HYPERLINK("https%3A%2F%2Fwww.webofscience.com%2Fwos%2Fwoscc%2Ffull-record%2FWOS:000399511800032","View Full Record in Web of Science")</f>
        <v>View Full Record in Web of Science</v>
      </c>
    </row>
    <row r="107" spans="1:72" x14ac:dyDescent="0.2">
      <c r="A107" t="s">
        <v>72</v>
      </c>
      <c r="B107" t="s">
        <v>3318</v>
      </c>
      <c r="C107" t="s">
        <v>74</v>
      </c>
      <c r="D107" t="s">
        <v>74</v>
      </c>
      <c r="E107" t="s">
        <v>74</v>
      </c>
      <c r="F107" t="s">
        <v>3319</v>
      </c>
      <c r="G107" t="s">
        <v>74</v>
      </c>
      <c r="H107" t="s">
        <v>74</v>
      </c>
      <c r="I107" t="s">
        <v>3320</v>
      </c>
      <c r="J107" t="s">
        <v>596</v>
      </c>
      <c r="K107" t="s">
        <v>74</v>
      </c>
      <c r="L107" t="s">
        <v>74</v>
      </c>
      <c r="M107" t="s">
        <v>74</v>
      </c>
      <c r="N107" t="s">
        <v>74</v>
      </c>
      <c r="O107" t="s">
        <v>74</v>
      </c>
      <c r="P107" t="s">
        <v>74</v>
      </c>
      <c r="Q107" t="s">
        <v>74</v>
      </c>
      <c r="R107" t="s">
        <v>74</v>
      </c>
      <c r="S107" t="s">
        <v>74</v>
      </c>
      <c r="T107" t="s">
        <v>74</v>
      </c>
      <c r="U107" t="s">
        <v>74</v>
      </c>
      <c r="V107" t="s">
        <v>74</v>
      </c>
      <c r="W107" t="s">
        <v>74</v>
      </c>
      <c r="X107" t="s">
        <v>74</v>
      </c>
      <c r="Y107" t="s">
        <v>74</v>
      </c>
      <c r="Z107" t="s">
        <v>74</v>
      </c>
      <c r="AA107" t="s">
        <v>3321</v>
      </c>
      <c r="AB107" t="s">
        <v>3322</v>
      </c>
      <c r="AC107" t="s">
        <v>74</v>
      </c>
      <c r="AD107" t="s">
        <v>74</v>
      </c>
      <c r="AE107" t="s">
        <v>74</v>
      </c>
      <c r="AF107" t="s">
        <v>74</v>
      </c>
      <c r="AG107" t="s">
        <v>74</v>
      </c>
      <c r="AH107" t="s">
        <v>74</v>
      </c>
      <c r="AI107" t="s">
        <v>74</v>
      </c>
      <c r="AJ107" t="s">
        <v>74</v>
      </c>
      <c r="AK107" t="s">
        <v>74</v>
      </c>
      <c r="AL107" t="s">
        <v>74</v>
      </c>
      <c r="AM107" t="s">
        <v>74</v>
      </c>
      <c r="AN107" t="s">
        <v>74</v>
      </c>
      <c r="AO107" t="s">
        <v>597</v>
      </c>
      <c r="AP107" t="s">
        <v>74</v>
      </c>
      <c r="AQ107" t="s">
        <v>74</v>
      </c>
      <c r="AR107" t="s">
        <v>74</v>
      </c>
      <c r="AS107" t="s">
        <v>74</v>
      </c>
      <c r="AT107" t="s">
        <v>624</v>
      </c>
      <c r="AU107">
        <v>2017</v>
      </c>
      <c r="AV107">
        <v>8</v>
      </c>
      <c r="AW107">
        <v>7</v>
      </c>
      <c r="AX107" t="s">
        <v>74</v>
      </c>
      <c r="AY107" t="s">
        <v>74</v>
      </c>
      <c r="AZ107" t="s">
        <v>74</v>
      </c>
      <c r="BA107" t="s">
        <v>74</v>
      </c>
      <c r="BB107" t="s">
        <v>74</v>
      </c>
      <c r="BC107" t="s">
        <v>74</v>
      </c>
      <c r="BD107" t="s">
        <v>3323</v>
      </c>
      <c r="BE107" t="s">
        <v>3324</v>
      </c>
      <c r="BF107" t="str">
        <f>HYPERLINK("http://dx.doi.org/10.1002/ecs2.1830","http://dx.doi.org/10.1002/ecs2.1830")</f>
        <v>http://dx.doi.org/10.1002/ecs2.1830</v>
      </c>
      <c r="BG107" t="s">
        <v>74</v>
      </c>
      <c r="BH107" t="s">
        <v>74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 t="s">
        <v>74</v>
      </c>
      <c r="BR107" t="s">
        <v>74</v>
      </c>
      <c r="BS107" t="s">
        <v>3325</v>
      </c>
      <c r="BT107" t="str">
        <f>HYPERLINK("https%3A%2F%2Fwww.webofscience.com%2Fwos%2Fwoscc%2Ffull-record%2FWOS:000406332400006","View Full Record in Web of Science")</f>
        <v>View Full Record in Web of Science</v>
      </c>
    </row>
    <row r="108" spans="1:72" x14ac:dyDescent="0.2">
      <c r="A108" t="s">
        <v>72</v>
      </c>
      <c r="B108" t="s">
        <v>3326</v>
      </c>
      <c r="C108" t="s">
        <v>74</v>
      </c>
      <c r="D108" t="s">
        <v>74</v>
      </c>
      <c r="E108" t="s">
        <v>74</v>
      </c>
      <c r="F108" t="s">
        <v>3327</v>
      </c>
      <c r="G108" t="s">
        <v>74</v>
      </c>
      <c r="H108" t="s">
        <v>74</v>
      </c>
      <c r="I108" t="s">
        <v>3328</v>
      </c>
      <c r="J108" t="s">
        <v>2268</v>
      </c>
      <c r="K108" t="s">
        <v>74</v>
      </c>
      <c r="L108" t="s">
        <v>74</v>
      </c>
      <c r="M108" t="s">
        <v>74</v>
      </c>
      <c r="N108" t="s">
        <v>74</v>
      </c>
      <c r="O108" t="s">
        <v>74</v>
      </c>
      <c r="P108" t="s">
        <v>74</v>
      </c>
      <c r="Q108" t="s">
        <v>74</v>
      </c>
      <c r="R108" t="s">
        <v>74</v>
      </c>
      <c r="S108" t="s">
        <v>74</v>
      </c>
      <c r="T108" t="s">
        <v>74</v>
      </c>
      <c r="U108" t="s">
        <v>74</v>
      </c>
      <c r="V108" t="s">
        <v>74</v>
      </c>
      <c r="W108" t="s">
        <v>74</v>
      </c>
      <c r="X108" t="s">
        <v>74</v>
      </c>
      <c r="Y108" t="s">
        <v>74</v>
      </c>
      <c r="Z108" t="s">
        <v>74</v>
      </c>
      <c r="AA108" t="s">
        <v>3329</v>
      </c>
      <c r="AB108" t="s">
        <v>3330</v>
      </c>
      <c r="AC108" t="s">
        <v>74</v>
      </c>
      <c r="AD108" t="s">
        <v>74</v>
      </c>
      <c r="AE108" t="s">
        <v>74</v>
      </c>
      <c r="AF108" t="s">
        <v>74</v>
      </c>
      <c r="AG108" t="s">
        <v>74</v>
      </c>
      <c r="AH108" t="s">
        <v>74</v>
      </c>
      <c r="AI108" t="s">
        <v>74</v>
      </c>
      <c r="AJ108" t="s">
        <v>74</v>
      </c>
      <c r="AK108" t="s">
        <v>74</v>
      </c>
      <c r="AL108" t="s">
        <v>74</v>
      </c>
      <c r="AM108" t="s">
        <v>74</v>
      </c>
      <c r="AN108" t="s">
        <v>74</v>
      </c>
      <c r="AO108" t="s">
        <v>2269</v>
      </c>
      <c r="AP108" t="s">
        <v>2270</v>
      </c>
      <c r="AQ108" t="s">
        <v>74</v>
      </c>
      <c r="AR108" t="s">
        <v>74</v>
      </c>
      <c r="AS108" t="s">
        <v>74</v>
      </c>
      <c r="AT108" t="s">
        <v>624</v>
      </c>
      <c r="AU108">
        <v>2017</v>
      </c>
      <c r="AV108">
        <v>190</v>
      </c>
      <c r="AW108">
        <v>1</v>
      </c>
      <c r="AX108" t="s">
        <v>74</v>
      </c>
      <c r="AY108" t="s">
        <v>74</v>
      </c>
      <c r="AZ108" t="s">
        <v>74</v>
      </c>
      <c r="BA108" t="s">
        <v>74</v>
      </c>
      <c r="BB108" t="s">
        <v>3331</v>
      </c>
      <c r="BC108" t="s">
        <v>3332</v>
      </c>
      <c r="BD108" t="s">
        <v>74</v>
      </c>
      <c r="BE108" t="s">
        <v>3333</v>
      </c>
      <c r="BF108" t="str">
        <f>HYPERLINK("http://dx.doi.org/10.1086/691779","http://dx.doi.org/10.1086/691779")</f>
        <v>http://dx.doi.org/10.1086/691779</v>
      </c>
      <c r="BG108" t="s">
        <v>74</v>
      </c>
      <c r="BH108" t="s">
        <v>74</v>
      </c>
      <c r="BI108" t="s">
        <v>74</v>
      </c>
      <c r="BJ108" t="s">
        <v>74</v>
      </c>
      <c r="BK108" t="s">
        <v>74</v>
      </c>
      <c r="BL108" t="s">
        <v>74</v>
      </c>
      <c r="BM108" t="s">
        <v>74</v>
      </c>
      <c r="BN108">
        <v>28617635</v>
      </c>
      <c r="BO108" t="s">
        <v>74</v>
      </c>
      <c r="BP108" t="s">
        <v>74</v>
      </c>
      <c r="BQ108" t="s">
        <v>74</v>
      </c>
      <c r="BR108" t="s">
        <v>74</v>
      </c>
      <c r="BS108" t="s">
        <v>3334</v>
      </c>
      <c r="BT108" t="str">
        <f>HYPERLINK("https%3A%2F%2Fwww.webofscience.com%2Fwos%2Fwoscc%2Ffull-record%2FWOS:000403565000003","View Full Record in Web of Science")</f>
        <v>View Full Record in Web of Science</v>
      </c>
    </row>
    <row r="109" spans="1:72" x14ac:dyDescent="0.2">
      <c r="A109" t="s">
        <v>72</v>
      </c>
      <c r="B109" t="s">
        <v>3387</v>
      </c>
      <c r="C109" t="s">
        <v>74</v>
      </c>
      <c r="D109" t="s">
        <v>74</v>
      </c>
      <c r="E109" t="s">
        <v>74</v>
      </c>
      <c r="F109" t="s">
        <v>3388</v>
      </c>
      <c r="G109" t="s">
        <v>74</v>
      </c>
      <c r="H109" t="s">
        <v>74</v>
      </c>
      <c r="I109" t="s">
        <v>3389</v>
      </c>
      <c r="J109" t="s">
        <v>124</v>
      </c>
      <c r="K109" t="s">
        <v>74</v>
      </c>
      <c r="L109" t="s">
        <v>74</v>
      </c>
      <c r="M109" t="s">
        <v>74</v>
      </c>
      <c r="N109" t="s">
        <v>74</v>
      </c>
      <c r="O109" t="s">
        <v>74</v>
      </c>
      <c r="P109" t="s">
        <v>74</v>
      </c>
      <c r="Q109" t="s">
        <v>74</v>
      </c>
      <c r="R109" t="s">
        <v>74</v>
      </c>
      <c r="S109" t="s">
        <v>74</v>
      </c>
      <c r="T109" t="s">
        <v>74</v>
      </c>
      <c r="U109" t="s">
        <v>74</v>
      </c>
      <c r="V109" t="s">
        <v>74</v>
      </c>
      <c r="W109" t="s">
        <v>74</v>
      </c>
      <c r="X109" t="s">
        <v>74</v>
      </c>
      <c r="Y109" t="s">
        <v>74</v>
      </c>
      <c r="Z109" t="s">
        <v>74</v>
      </c>
      <c r="AA109" t="s">
        <v>7027</v>
      </c>
      <c r="AB109" t="s">
        <v>3390</v>
      </c>
      <c r="AC109" t="s">
        <v>74</v>
      </c>
      <c r="AD109" t="s">
        <v>74</v>
      </c>
      <c r="AE109" t="s">
        <v>74</v>
      </c>
      <c r="AF109" t="s">
        <v>74</v>
      </c>
      <c r="AG109" t="s">
        <v>74</v>
      </c>
      <c r="AH109" t="s">
        <v>74</v>
      </c>
      <c r="AI109" t="s">
        <v>74</v>
      </c>
      <c r="AJ109" t="s">
        <v>74</v>
      </c>
      <c r="AK109" t="s">
        <v>74</v>
      </c>
      <c r="AL109" t="s">
        <v>74</v>
      </c>
      <c r="AM109" t="s">
        <v>74</v>
      </c>
      <c r="AN109" t="s">
        <v>74</v>
      </c>
      <c r="AO109" t="s">
        <v>127</v>
      </c>
      <c r="AP109" t="s">
        <v>128</v>
      </c>
      <c r="AQ109" t="s">
        <v>74</v>
      </c>
      <c r="AR109" t="s">
        <v>74</v>
      </c>
      <c r="AS109" t="s">
        <v>74</v>
      </c>
      <c r="AT109" t="s">
        <v>569</v>
      </c>
      <c r="AU109">
        <v>2017</v>
      </c>
      <c r="AV109">
        <v>794</v>
      </c>
      <c r="AW109">
        <v>1</v>
      </c>
      <c r="AX109" t="s">
        <v>74</v>
      </c>
      <c r="AY109" t="s">
        <v>74</v>
      </c>
      <c r="AZ109" t="s">
        <v>74</v>
      </c>
      <c r="BA109" t="s">
        <v>74</v>
      </c>
      <c r="BB109">
        <v>317</v>
      </c>
      <c r="BC109">
        <v>332</v>
      </c>
      <c r="BD109" t="s">
        <v>74</v>
      </c>
      <c r="BE109" t="s">
        <v>3391</v>
      </c>
      <c r="BF109" t="str">
        <f>HYPERLINK("http://dx.doi.org/10.1007/s10750-017-3137-z","http://dx.doi.org/10.1007/s10750-017-3137-z")</f>
        <v>http://dx.doi.org/10.1007/s10750-017-3137-z</v>
      </c>
      <c r="BG109" t="s">
        <v>74</v>
      </c>
      <c r="BH109" t="s">
        <v>74</v>
      </c>
      <c r="BI109" t="s">
        <v>74</v>
      </c>
      <c r="BJ109" t="s">
        <v>74</v>
      </c>
      <c r="BK109" t="s">
        <v>74</v>
      </c>
      <c r="BL109" t="s">
        <v>74</v>
      </c>
      <c r="BM109" t="s">
        <v>74</v>
      </c>
      <c r="BN109" t="s">
        <v>74</v>
      </c>
      <c r="BO109" t="s">
        <v>74</v>
      </c>
      <c r="BP109" t="s">
        <v>74</v>
      </c>
      <c r="BQ109" t="s">
        <v>74</v>
      </c>
      <c r="BR109" t="s">
        <v>74</v>
      </c>
      <c r="BS109" t="s">
        <v>3392</v>
      </c>
      <c r="BT109" t="str">
        <f>HYPERLINK("https%3A%2F%2Fwww.webofscience.com%2Fwos%2Fwoscc%2Ffull-record%2FWOS:000401474400021","View Full Record in Web of Science")</f>
        <v>View Full Record in Web of Science</v>
      </c>
    </row>
    <row r="110" spans="1:72" x14ac:dyDescent="0.2">
      <c r="A110" t="s">
        <v>72</v>
      </c>
      <c r="B110" t="s">
        <v>3440</v>
      </c>
      <c r="C110" t="s">
        <v>74</v>
      </c>
      <c r="D110" t="s">
        <v>74</v>
      </c>
      <c r="E110" t="s">
        <v>74</v>
      </c>
      <c r="F110" t="s">
        <v>3441</v>
      </c>
      <c r="G110" t="s">
        <v>74</v>
      </c>
      <c r="H110" t="s">
        <v>74</v>
      </c>
      <c r="I110" t="s">
        <v>3442</v>
      </c>
      <c r="J110" t="s">
        <v>3443</v>
      </c>
      <c r="K110" t="s">
        <v>74</v>
      </c>
      <c r="L110" t="s">
        <v>74</v>
      </c>
      <c r="M110" t="s">
        <v>74</v>
      </c>
      <c r="N110" t="s">
        <v>74</v>
      </c>
      <c r="O110" t="s">
        <v>74</v>
      </c>
      <c r="P110" t="s">
        <v>74</v>
      </c>
      <c r="Q110" t="s">
        <v>74</v>
      </c>
      <c r="R110" t="s">
        <v>74</v>
      </c>
      <c r="S110" t="s">
        <v>74</v>
      </c>
      <c r="T110" t="s">
        <v>74</v>
      </c>
      <c r="U110" t="s">
        <v>74</v>
      </c>
      <c r="V110" t="s">
        <v>74</v>
      </c>
      <c r="W110" t="s">
        <v>74</v>
      </c>
      <c r="X110" t="s">
        <v>74</v>
      </c>
      <c r="Y110" t="s">
        <v>74</v>
      </c>
      <c r="Z110" t="s">
        <v>74</v>
      </c>
      <c r="AA110" t="s">
        <v>74</v>
      </c>
      <c r="AB110" t="s">
        <v>3444</v>
      </c>
      <c r="AC110" t="s">
        <v>74</v>
      </c>
      <c r="AD110" t="s">
        <v>74</v>
      </c>
      <c r="AE110" t="s">
        <v>74</v>
      </c>
      <c r="AF110" t="s">
        <v>74</v>
      </c>
      <c r="AG110" t="s">
        <v>74</v>
      </c>
      <c r="AH110" t="s">
        <v>74</v>
      </c>
      <c r="AI110" t="s">
        <v>74</v>
      </c>
      <c r="AJ110" t="s">
        <v>74</v>
      </c>
      <c r="AK110" t="s">
        <v>74</v>
      </c>
      <c r="AL110" t="s">
        <v>74</v>
      </c>
      <c r="AM110" t="s">
        <v>74</v>
      </c>
      <c r="AN110" t="s">
        <v>74</v>
      </c>
      <c r="AO110" t="s">
        <v>3445</v>
      </c>
      <c r="AP110" t="s">
        <v>74</v>
      </c>
      <c r="AQ110" t="s">
        <v>74</v>
      </c>
      <c r="AR110" t="s">
        <v>74</v>
      </c>
      <c r="AS110" t="s">
        <v>74</v>
      </c>
      <c r="AT110" t="s">
        <v>3446</v>
      </c>
      <c r="AU110">
        <v>2017</v>
      </c>
      <c r="AV110">
        <v>12</v>
      </c>
      <c r="AW110">
        <v>3</v>
      </c>
      <c r="AX110" t="s">
        <v>74</v>
      </c>
      <c r="AY110" t="s">
        <v>74</v>
      </c>
      <c r="AZ110" t="s">
        <v>74</v>
      </c>
      <c r="BA110" t="s">
        <v>74</v>
      </c>
      <c r="BB110" t="s">
        <v>74</v>
      </c>
      <c r="BC110" t="s">
        <v>74</v>
      </c>
      <c r="BD110" t="s">
        <v>3447</v>
      </c>
      <c r="BE110" t="s">
        <v>3448</v>
      </c>
      <c r="BF110" t="str">
        <f>HYPERLINK("http://dx.doi.org/10.1371/journal.pone.0173419","http://dx.doi.org/10.1371/journal.pone.0173419")</f>
        <v>http://dx.doi.org/10.1371/journal.pone.0173419</v>
      </c>
      <c r="BG110" t="s">
        <v>74</v>
      </c>
      <c r="BH110" t="s">
        <v>74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>
        <v>28267810</v>
      </c>
      <c r="BO110" t="s">
        <v>74</v>
      </c>
      <c r="BP110" t="s">
        <v>74</v>
      </c>
      <c r="BQ110" t="s">
        <v>74</v>
      </c>
      <c r="BR110" t="s">
        <v>74</v>
      </c>
      <c r="BS110" t="s">
        <v>3449</v>
      </c>
      <c r="BT110" t="str">
        <f>HYPERLINK("https%3A%2F%2Fwww.webofscience.com%2Fwos%2Fwoscc%2Ffull-record%2FWOS:000396060600030","View Full Record in Web of Science")</f>
        <v>View Full Record in Web of Science</v>
      </c>
    </row>
    <row r="111" spans="1:72" x14ac:dyDescent="0.2">
      <c r="A111" t="s">
        <v>72</v>
      </c>
      <c r="B111" t="s">
        <v>3456</v>
      </c>
      <c r="C111" t="s">
        <v>74</v>
      </c>
      <c r="D111" t="s">
        <v>74</v>
      </c>
      <c r="E111" t="s">
        <v>74</v>
      </c>
      <c r="F111" t="s">
        <v>3457</v>
      </c>
      <c r="G111" t="s">
        <v>74</v>
      </c>
      <c r="H111" t="s">
        <v>74</v>
      </c>
      <c r="I111" t="s">
        <v>3458</v>
      </c>
      <c r="J111" t="s">
        <v>1569</v>
      </c>
      <c r="K111" t="s">
        <v>74</v>
      </c>
      <c r="L111" t="s">
        <v>74</v>
      </c>
      <c r="M111" t="s">
        <v>74</v>
      </c>
      <c r="N111" t="s">
        <v>74</v>
      </c>
      <c r="O111" t="s">
        <v>74</v>
      </c>
      <c r="P111" t="s">
        <v>74</v>
      </c>
      <c r="Q111" t="s">
        <v>74</v>
      </c>
      <c r="R111" t="s">
        <v>74</v>
      </c>
      <c r="S111" t="s">
        <v>74</v>
      </c>
      <c r="T111" t="s">
        <v>74</v>
      </c>
      <c r="U111" t="s">
        <v>74</v>
      </c>
      <c r="V111" t="s">
        <v>74</v>
      </c>
      <c r="W111" t="s">
        <v>74</v>
      </c>
      <c r="X111" t="s">
        <v>74</v>
      </c>
      <c r="Y111" t="s">
        <v>74</v>
      </c>
      <c r="Z111" t="s">
        <v>74</v>
      </c>
      <c r="AA111" t="s">
        <v>7031</v>
      </c>
      <c r="AB111" t="s">
        <v>7032</v>
      </c>
      <c r="AC111" t="s">
        <v>74</v>
      </c>
      <c r="AD111" t="s">
        <v>74</v>
      </c>
      <c r="AE111" t="s">
        <v>74</v>
      </c>
      <c r="AF111" t="s">
        <v>74</v>
      </c>
      <c r="AG111" t="s">
        <v>74</v>
      </c>
      <c r="AH111" t="s">
        <v>74</v>
      </c>
      <c r="AI111" t="s">
        <v>74</v>
      </c>
      <c r="AJ111" t="s">
        <v>74</v>
      </c>
      <c r="AK111" t="s">
        <v>74</v>
      </c>
      <c r="AL111" t="s">
        <v>74</v>
      </c>
      <c r="AM111" t="s">
        <v>74</v>
      </c>
      <c r="AN111" t="s">
        <v>74</v>
      </c>
      <c r="AO111" t="s">
        <v>1571</v>
      </c>
      <c r="AP111" t="s">
        <v>1572</v>
      </c>
      <c r="AQ111" t="s">
        <v>74</v>
      </c>
      <c r="AR111" t="s">
        <v>74</v>
      </c>
      <c r="AS111" t="s">
        <v>74</v>
      </c>
      <c r="AT111" t="s">
        <v>157</v>
      </c>
      <c r="AU111">
        <v>2017</v>
      </c>
      <c r="AV111">
        <v>36</v>
      </c>
      <c r="AW111">
        <v>1</v>
      </c>
      <c r="AX111" t="s">
        <v>74</v>
      </c>
      <c r="AY111" t="s">
        <v>74</v>
      </c>
      <c r="AZ111" t="s">
        <v>74</v>
      </c>
      <c r="BA111" t="s">
        <v>74</v>
      </c>
      <c r="BB111">
        <v>124</v>
      </c>
      <c r="BC111">
        <v>137</v>
      </c>
      <c r="BD111" t="s">
        <v>74</v>
      </c>
      <c r="BE111" t="s">
        <v>3459</v>
      </c>
      <c r="BF111" t="str">
        <f>HYPERLINK("http://dx.doi.org/10.1086/690675","http://dx.doi.org/10.1086/690675")</f>
        <v>http://dx.doi.org/10.1086/690675</v>
      </c>
      <c r="BG111" t="s">
        <v>74</v>
      </c>
      <c r="BH111" t="s">
        <v>74</v>
      </c>
      <c r="BI111" t="s">
        <v>74</v>
      </c>
      <c r="BJ111" t="s">
        <v>74</v>
      </c>
      <c r="BK111" t="s">
        <v>74</v>
      </c>
      <c r="BL111" t="s">
        <v>74</v>
      </c>
      <c r="BM111" t="s">
        <v>74</v>
      </c>
      <c r="BN111" t="s">
        <v>74</v>
      </c>
      <c r="BO111" t="s">
        <v>74</v>
      </c>
      <c r="BP111" t="s">
        <v>74</v>
      </c>
      <c r="BQ111" t="s">
        <v>74</v>
      </c>
      <c r="BR111" t="s">
        <v>74</v>
      </c>
      <c r="BS111" t="s">
        <v>3460</v>
      </c>
      <c r="BT111" t="str">
        <f>HYPERLINK("https%3A%2F%2Fwww.webofscience.com%2Fwos%2Fwoscc%2Ffull-record%2FWOS:000394633500011","View Full Record in Web of Science")</f>
        <v>View Full Record in Web of Science</v>
      </c>
    </row>
    <row r="112" spans="1:72" x14ac:dyDescent="0.2">
      <c r="A112" t="s">
        <v>72</v>
      </c>
      <c r="B112" t="s">
        <v>3488</v>
      </c>
      <c r="C112" t="s">
        <v>74</v>
      </c>
      <c r="D112" t="s">
        <v>74</v>
      </c>
      <c r="E112" t="s">
        <v>74</v>
      </c>
      <c r="F112" t="s">
        <v>3489</v>
      </c>
      <c r="G112" t="s">
        <v>74</v>
      </c>
      <c r="H112" t="s">
        <v>74</v>
      </c>
      <c r="I112" t="s">
        <v>3490</v>
      </c>
      <c r="J112" t="s">
        <v>124</v>
      </c>
      <c r="K112" t="s">
        <v>74</v>
      </c>
      <c r="L112" t="s">
        <v>74</v>
      </c>
      <c r="M112" t="s">
        <v>74</v>
      </c>
      <c r="N112" t="s">
        <v>74</v>
      </c>
      <c r="O112" t="s">
        <v>74</v>
      </c>
      <c r="P112" t="s">
        <v>74</v>
      </c>
      <c r="Q112" t="s">
        <v>74</v>
      </c>
      <c r="R112" t="s">
        <v>74</v>
      </c>
      <c r="S112" t="s">
        <v>74</v>
      </c>
      <c r="T112" t="s">
        <v>74</v>
      </c>
      <c r="U112" t="s">
        <v>74</v>
      </c>
      <c r="V112" t="s">
        <v>74</v>
      </c>
      <c r="W112" t="s">
        <v>74</v>
      </c>
      <c r="X112" t="s">
        <v>74</v>
      </c>
      <c r="Y112" t="s">
        <v>74</v>
      </c>
      <c r="Z112" t="s">
        <v>74</v>
      </c>
      <c r="AA112" t="s">
        <v>74</v>
      </c>
      <c r="AB112" t="s">
        <v>3491</v>
      </c>
      <c r="AC112" t="s">
        <v>74</v>
      </c>
      <c r="AD112" t="s">
        <v>74</v>
      </c>
      <c r="AE112" t="s">
        <v>74</v>
      </c>
      <c r="AF112" t="s">
        <v>74</v>
      </c>
      <c r="AG112" t="s">
        <v>74</v>
      </c>
      <c r="AH112" t="s">
        <v>74</v>
      </c>
      <c r="AI112" t="s">
        <v>74</v>
      </c>
      <c r="AJ112" t="s">
        <v>74</v>
      </c>
      <c r="AK112" t="s">
        <v>74</v>
      </c>
      <c r="AL112" t="s">
        <v>74</v>
      </c>
      <c r="AM112" t="s">
        <v>74</v>
      </c>
      <c r="AN112" t="s">
        <v>74</v>
      </c>
      <c r="AO112" t="s">
        <v>127</v>
      </c>
      <c r="AP112" t="s">
        <v>128</v>
      </c>
      <c r="AQ112" t="s">
        <v>74</v>
      </c>
      <c r="AR112" t="s">
        <v>74</v>
      </c>
      <c r="AS112" t="s">
        <v>74</v>
      </c>
      <c r="AT112" t="s">
        <v>315</v>
      </c>
      <c r="AU112">
        <v>2017</v>
      </c>
      <c r="AV112">
        <v>784</v>
      </c>
      <c r="AW112">
        <v>1</v>
      </c>
      <c r="AX112" t="s">
        <v>74</v>
      </c>
      <c r="AY112" t="s">
        <v>74</v>
      </c>
      <c r="AZ112" t="s">
        <v>74</v>
      </c>
      <c r="BA112" t="s">
        <v>74</v>
      </c>
      <c r="BB112">
        <v>51</v>
      </c>
      <c r="BC112">
        <v>63</v>
      </c>
      <c r="BD112" t="s">
        <v>74</v>
      </c>
      <c r="BE112" t="s">
        <v>3492</v>
      </c>
      <c r="BF112" t="str">
        <f>HYPERLINK("http://dx.doi.org/10.1007/s10750-016-2851-2","http://dx.doi.org/10.1007/s10750-016-2851-2")</f>
        <v>http://dx.doi.org/10.1007/s10750-016-2851-2</v>
      </c>
      <c r="BG112" t="s">
        <v>74</v>
      </c>
      <c r="BH112" t="s">
        <v>74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 t="s">
        <v>74</v>
      </c>
      <c r="BO112" t="s">
        <v>74</v>
      </c>
      <c r="BP112" t="s">
        <v>74</v>
      </c>
      <c r="BQ112" t="s">
        <v>74</v>
      </c>
      <c r="BR112" t="s">
        <v>74</v>
      </c>
      <c r="BS112" t="s">
        <v>3493</v>
      </c>
      <c r="BT112" t="str">
        <f>HYPERLINK("https%3A%2F%2Fwww.webofscience.com%2Fwos%2Fwoscc%2Ffull-record%2FWOS:000387484100005","View Full Record in Web of Science")</f>
        <v>View Full Record in Web of Science</v>
      </c>
    </row>
    <row r="113" spans="1:72" x14ac:dyDescent="0.2">
      <c r="A113" t="s">
        <v>72</v>
      </c>
      <c r="B113" t="s">
        <v>3504</v>
      </c>
      <c r="C113" t="s">
        <v>74</v>
      </c>
      <c r="D113" t="s">
        <v>74</v>
      </c>
      <c r="E113" t="s">
        <v>74</v>
      </c>
      <c r="F113" t="s">
        <v>3505</v>
      </c>
      <c r="G113" t="s">
        <v>74</v>
      </c>
      <c r="H113" t="s">
        <v>74</v>
      </c>
      <c r="I113" t="s">
        <v>3506</v>
      </c>
      <c r="J113" t="s">
        <v>3507</v>
      </c>
      <c r="K113" t="s">
        <v>74</v>
      </c>
      <c r="L113" t="s">
        <v>74</v>
      </c>
      <c r="M113" t="s">
        <v>74</v>
      </c>
      <c r="N113" t="s">
        <v>74</v>
      </c>
      <c r="O113" t="s">
        <v>74</v>
      </c>
      <c r="P113" t="s">
        <v>74</v>
      </c>
      <c r="Q113" t="s">
        <v>74</v>
      </c>
      <c r="R113" t="s">
        <v>74</v>
      </c>
      <c r="S113" t="s">
        <v>74</v>
      </c>
      <c r="T113" t="s">
        <v>74</v>
      </c>
      <c r="U113" t="s">
        <v>74</v>
      </c>
      <c r="V113" t="s">
        <v>74</v>
      </c>
      <c r="W113" t="s">
        <v>74</v>
      </c>
      <c r="X113" t="s">
        <v>74</v>
      </c>
      <c r="Y113" t="s">
        <v>74</v>
      </c>
      <c r="Z113" t="s">
        <v>74</v>
      </c>
      <c r="AA113" t="s">
        <v>7038</v>
      </c>
      <c r="AB113" t="s">
        <v>7039</v>
      </c>
      <c r="AC113" t="s">
        <v>74</v>
      </c>
      <c r="AD113" t="s">
        <v>74</v>
      </c>
      <c r="AE113" t="s">
        <v>74</v>
      </c>
      <c r="AF113" t="s">
        <v>74</v>
      </c>
      <c r="AG113" t="s">
        <v>74</v>
      </c>
      <c r="AH113" t="s">
        <v>74</v>
      </c>
      <c r="AI113" t="s">
        <v>74</v>
      </c>
      <c r="AJ113" t="s">
        <v>74</v>
      </c>
      <c r="AK113" t="s">
        <v>74</v>
      </c>
      <c r="AL113" t="s">
        <v>74</v>
      </c>
      <c r="AM113" t="s">
        <v>74</v>
      </c>
      <c r="AN113" t="s">
        <v>74</v>
      </c>
      <c r="AO113" t="s">
        <v>3508</v>
      </c>
      <c r="AP113" t="s">
        <v>74</v>
      </c>
      <c r="AQ113" t="s">
        <v>74</v>
      </c>
      <c r="AR113" t="s">
        <v>74</v>
      </c>
      <c r="AS113" t="s">
        <v>74</v>
      </c>
      <c r="AT113" t="s">
        <v>74</v>
      </c>
      <c r="AU113">
        <v>2017</v>
      </c>
      <c r="AV113" t="s">
        <v>74</v>
      </c>
      <c r="AW113">
        <v>418</v>
      </c>
      <c r="AX113" t="s">
        <v>74</v>
      </c>
      <c r="AY113" t="s">
        <v>74</v>
      </c>
      <c r="AZ113" t="s">
        <v>74</v>
      </c>
      <c r="BA113" t="s">
        <v>74</v>
      </c>
      <c r="BB113" t="s">
        <v>74</v>
      </c>
      <c r="BC113" t="s">
        <v>74</v>
      </c>
      <c r="BD113">
        <v>15</v>
      </c>
      <c r="BE113" t="s">
        <v>3509</v>
      </c>
      <c r="BF113" t="str">
        <f>HYPERLINK("http://dx.doi.org/10.1051/kmae/2017006","http://dx.doi.org/10.1051/kmae/2017006")</f>
        <v>http://dx.doi.org/10.1051/kmae/2017006</v>
      </c>
      <c r="BG113" t="s">
        <v>74</v>
      </c>
      <c r="BH113" t="s">
        <v>74</v>
      </c>
      <c r="BI113" t="s">
        <v>74</v>
      </c>
      <c r="BJ113" t="s">
        <v>74</v>
      </c>
      <c r="BK113" t="s">
        <v>74</v>
      </c>
      <c r="BL113" t="s">
        <v>74</v>
      </c>
      <c r="BM113" t="s">
        <v>74</v>
      </c>
      <c r="BN113" t="s">
        <v>74</v>
      </c>
      <c r="BO113" t="s">
        <v>74</v>
      </c>
      <c r="BP113" t="s">
        <v>74</v>
      </c>
      <c r="BQ113" t="s">
        <v>74</v>
      </c>
      <c r="BR113" t="s">
        <v>74</v>
      </c>
      <c r="BS113" t="s">
        <v>3510</v>
      </c>
      <c r="BT113" t="str">
        <f>HYPERLINK("https%3A%2F%2Fwww.webofscience.com%2Fwos%2Fwoscc%2Ffull-record%2FWOS:000399051100015","View Full Record in Web of Science")</f>
        <v>View Full Record in Web of Science</v>
      </c>
    </row>
    <row r="114" spans="1:72" x14ac:dyDescent="0.2">
      <c r="A114" t="s">
        <v>72</v>
      </c>
      <c r="B114" t="s">
        <v>3534</v>
      </c>
      <c r="C114" t="s">
        <v>74</v>
      </c>
      <c r="D114" t="s">
        <v>74</v>
      </c>
      <c r="E114" t="s">
        <v>74</v>
      </c>
      <c r="F114" t="s">
        <v>3535</v>
      </c>
      <c r="G114" t="s">
        <v>74</v>
      </c>
      <c r="H114" t="s">
        <v>74</v>
      </c>
      <c r="I114" t="s">
        <v>3536</v>
      </c>
      <c r="J114" t="s">
        <v>423</v>
      </c>
      <c r="K114" t="s">
        <v>74</v>
      </c>
      <c r="L114" t="s">
        <v>74</v>
      </c>
      <c r="M114" t="s">
        <v>74</v>
      </c>
      <c r="N114" t="s">
        <v>74</v>
      </c>
      <c r="O114" t="s">
        <v>74</v>
      </c>
      <c r="P114" t="s">
        <v>74</v>
      </c>
      <c r="Q114" t="s">
        <v>74</v>
      </c>
      <c r="R114" t="s">
        <v>74</v>
      </c>
      <c r="S114" t="s">
        <v>74</v>
      </c>
      <c r="T114" t="s">
        <v>74</v>
      </c>
      <c r="U114" t="s">
        <v>74</v>
      </c>
      <c r="V114" t="s">
        <v>74</v>
      </c>
      <c r="W114" t="s">
        <v>74</v>
      </c>
      <c r="X114" t="s">
        <v>74</v>
      </c>
      <c r="Y114" t="s">
        <v>74</v>
      </c>
      <c r="Z114" t="s">
        <v>74</v>
      </c>
      <c r="AA114" t="s">
        <v>74</v>
      </c>
      <c r="AB114" t="s">
        <v>74</v>
      </c>
      <c r="AC114" t="s">
        <v>74</v>
      </c>
      <c r="AD114" t="s">
        <v>74</v>
      </c>
      <c r="AE114" t="s">
        <v>74</v>
      </c>
      <c r="AF114" t="s">
        <v>74</v>
      </c>
      <c r="AG114" t="s">
        <v>74</v>
      </c>
      <c r="AH114" t="s">
        <v>74</v>
      </c>
      <c r="AI114" t="s">
        <v>74</v>
      </c>
      <c r="AJ114" t="s">
        <v>74</v>
      </c>
      <c r="AK114" t="s">
        <v>74</v>
      </c>
      <c r="AL114" t="s">
        <v>74</v>
      </c>
      <c r="AM114" t="s">
        <v>74</v>
      </c>
      <c r="AN114" t="s">
        <v>74</v>
      </c>
      <c r="AO114" t="s">
        <v>425</v>
      </c>
      <c r="AP114" t="s">
        <v>426</v>
      </c>
      <c r="AQ114" t="s">
        <v>74</v>
      </c>
      <c r="AR114" t="s">
        <v>74</v>
      </c>
      <c r="AS114" t="s">
        <v>74</v>
      </c>
      <c r="AT114" t="s">
        <v>335</v>
      </c>
      <c r="AU114">
        <v>2016</v>
      </c>
      <c r="AV114">
        <v>61</v>
      </c>
      <c r="AW114">
        <v>11</v>
      </c>
      <c r="AX114" t="s">
        <v>74</v>
      </c>
      <c r="AY114" t="s">
        <v>74</v>
      </c>
      <c r="AZ114" t="s">
        <v>74</v>
      </c>
      <c r="BA114" t="s">
        <v>74</v>
      </c>
      <c r="BB114">
        <v>1966</v>
      </c>
      <c r="BC114">
        <v>1980</v>
      </c>
      <c r="BD114" t="s">
        <v>74</v>
      </c>
      <c r="BE114" t="s">
        <v>3537</v>
      </c>
      <c r="BF114" t="str">
        <f>HYPERLINK("http://dx.doi.org/10.1111/fwb.12829","http://dx.doi.org/10.1111/fwb.12829")</f>
        <v>http://dx.doi.org/10.1111/fwb.12829</v>
      </c>
      <c r="BG114" t="s">
        <v>74</v>
      </c>
      <c r="BH114" t="s">
        <v>74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 t="s">
        <v>74</v>
      </c>
      <c r="BO114" t="s">
        <v>74</v>
      </c>
      <c r="BP114" t="s">
        <v>74</v>
      </c>
      <c r="BQ114" t="s">
        <v>74</v>
      </c>
      <c r="BR114" t="s">
        <v>74</v>
      </c>
      <c r="BS114" t="s">
        <v>3538</v>
      </c>
      <c r="BT114" t="str">
        <f>HYPERLINK("https%3A%2F%2Fwww.webofscience.com%2Fwos%2Fwoscc%2Ffull-record%2FWOS:000386022200012","View Full Record in Web of Science")</f>
        <v>View Full Record in Web of Science</v>
      </c>
    </row>
    <row r="115" spans="1:72" x14ac:dyDescent="0.2">
      <c r="A115" t="s">
        <v>72</v>
      </c>
      <c r="B115" t="s">
        <v>3697</v>
      </c>
      <c r="C115" t="s">
        <v>74</v>
      </c>
      <c r="D115" t="s">
        <v>74</v>
      </c>
      <c r="E115" t="s">
        <v>74</v>
      </c>
      <c r="F115" t="s">
        <v>3698</v>
      </c>
      <c r="G115" t="s">
        <v>74</v>
      </c>
      <c r="H115" t="s">
        <v>74</v>
      </c>
      <c r="I115" t="s">
        <v>3699</v>
      </c>
      <c r="J115" t="s">
        <v>124</v>
      </c>
      <c r="K115" t="s">
        <v>74</v>
      </c>
      <c r="L115" t="s">
        <v>74</v>
      </c>
      <c r="M115" t="s">
        <v>74</v>
      </c>
      <c r="N115" t="s">
        <v>74</v>
      </c>
      <c r="O115" t="s">
        <v>74</v>
      </c>
      <c r="P115" t="s">
        <v>74</v>
      </c>
      <c r="Q115" t="s">
        <v>74</v>
      </c>
      <c r="R115" t="s">
        <v>74</v>
      </c>
      <c r="S115" t="s">
        <v>74</v>
      </c>
      <c r="T115" t="s">
        <v>74</v>
      </c>
      <c r="U115" t="s">
        <v>74</v>
      </c>
      <c r="V115" t="s">
        <v>74</v>
      </c>
      <c r="W115" t="s">
        <v>74</v>
      </c>
      <c r="X115" t="s">
        <v>74</v>
      </c>
      <c r="Y115" t="s">
        <v>74</v>
      </c>
      <c r="Z115" t="s">
        <v>74</v>
      </c>
      <c r="AA115" t="s">
        <v>7048</v>
      </c>
      <c r="AB115" t="s">
        <v>7049</v>
      </c>
      <c r="AC115" t="s">
        <v>74</v>
      </c>
      <c r="AD115" t="s">
        <v>74</v>
      </c>
      <c r="AE115" t="s">
        <v>74</v>
      </c>
      <c r="AF115" t="s">
        <v>74</v>
      </c>
      <c r="AG115" t="s">
        <v>74</v>
      </c>
      <c r="AH115" t="s">
        <v>74</v>
      </c>
      <c r="AI115" t="s">
        <v>74</v>
      </c>
      <c r="AJ115" t="s">
        <v>74</v>
      </c>
      <c r="AK115" t="s">
        <v>74</v>
      </c>
      <c r="AL115" t="s">
        <v>74</v>
      </c>
      <c r="AM115" t="s">
        <v>74</v>
      </c>
      <c r="AN115" t="s">
        <v>74</v>
      </c>
      <c r="AO115" t="s">
        <v>127</v>
      </c>
      <c r="AP115" t="s">
        <v>128</v>
      </c>
      <c r="AQ115" t="s">
        <v>74</v>
      </c>
      <c r="AR115" t="s">
        <v>74</v>
      </c>
      <c r="AS115" t="s">
        <v>74</v>
      </c>
      <c r="AT115" t="s">
        <v>575</v>
      </c>
      <c r="AU115">
        <v>2016</v>
      </c>
      <c r="AV115">
        <v>771</v>
      </c>
      <c r="AW115">
        <v>1</v>
      </c>
      <c r="AX115" t="s">
        <v>74</v>
      </c>
      <c r="AY115" t="s">
        <v>74</v>
      </c>
      <c r="AZ115" t="s">
        <v>74</v>
      </c>
      <c r="BA115" t="s">
        <v>74</v>
      </c>
      <c r="BB115">
        <v>265</v>
      </c>
      <c r="BC115">
        <v>280</v>
      </c>
      <c r="BD115" t="s">
        <v>74</v>
      </c>
      <c r="BE115" t="s">
        <v>3700</v>
      </c>
      <c r="BF115" t="str">
        <f>HYPERLINK("http://dx.doi.org/10.1007/s10750-015-2638-x","http://dx.doi.org/10.1007/s10750-015-2638-x")</f>
        <v>http://dx.doi.org/10.1007/s10750-015-2638-x</v>
      </c>
      <c r="BG115" t="s">
        <v>74</v>
      </c>
      <c r="BH115" t="s">
        <v>74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 t="s">
        <v>74</v>
      </c>
      <c r="BO115" t="s">
        <v>74</v>
      </c>
      <c r="BP115" t="s">
        <v>74</v>
      </c>
      <c r="BQ115" t="s">
        <v>74</v>
      </c>
      <c r="BR115" t="s">
        <v>74</v>
      </c>
      <c r="BS115" t="s">
        <v>3701</v>
      </c>
      <c r="BT115" t="str">
        <f>HYPERLINK("https%3A%2F%2Fwww.webofscience.com%2Fwos%2Fwoscc%2Ffull-record%2FWOS:000372798500019","View Full Record in Web of Science")</f>
        <v>View Full Record in Web of Science</v>
      </c>
    </row>
    <row r="116" spans="1:72" x14ac:dyDescent="0.2">
      <c r="A116" t="s">
        <v>72</v>
      </c>
      <c r="B116" t="s">
        <v>3702</v>
      </c>
      <c r="C116" t="s">
        <v>74</v>
      </c>
      <c r="D116" t="s">
        <v>74</v>
      </c>
      <c r="E116" t="s">
        <v>74</v>
      </c>
      <c r="F116" t="s">
        <v>3703</v>
      </c>
      <c r="G116" t="s">
        <v>74</v>
      </c>
      <c r="H116" t="s">
        <v>74</v>
      </c>
      <c r="I116" t="s">
        <v>3704</v>
      </c>
      <c r="J116" t="s">
        <v>1523</v>
      </c>
      <c r="K116" t="s">
        <v>74</v>
      </c>
      <c r="L116" t="s">
        <v>74</v>
      </c>
      <c r="M116" t="s">
        <v>74</v>
      </c>
      <c r="N116" t="s">
        <v>74</v>
      </c>
      <c r="O116" t="s">
        <v>74</v>
      </c>
      <c r="P116" t="s">
        <v>74</v>
      </c>
      <c r="Q116" t="s">
        <v>74</v>
      </c>
      <c r="R116" t="s">
        <v>74</v>
      </c>
      <c r="S116" t="s">
        <v>74</v>
      </c>
      <c r="T116" t="s">
        <v>74</v>
      </c>
      <c r="U116" t="s">
        <v>74</v>
      </c>
      <c r="V116" t="s">
        <v>74</v>
      </c>
      <c r="W116" t="s">
        <v>74</v>
      </c>
      <c r="X116" t="s">
        <v>74</v>
      </c>
      <c r="Y116" t="s">
        <v>74</v>
      </c>
      <c r="Z116" t="s">
        <v>74</v>
      </c>
      <c r="AA116" t="s">
        <v>74</v>
      </c>
      <c r="AB116" t="s">
        <v>3705</v>
      </c>
      <c r="AC116" t="s">
        <v>74</v>
      </c>
      <c r="AD116" t="s">
        <v>74</v>
      </c>
      <c r="AE116" t="s">
        <v>74</v>
      </c>
      <c r="AF116" t="s">
        <v>74</v>
      </c>
      <c r="AG116" t="s">
        <v>74</v>
      </c>
      <c r="AH116" t="s">
        <v>74</v>
      </c>
      <c r="AI116" t="s">
        <v>74</v>
      </c>
      <c r="AJ116" t="s">
        <v>74</v>
      </c>
      <c r="AK116" t="s">
        <v>74</v>
      </c>
      <c r="AL116" t="s">
        <v>74</v>
      </c>
      <c r="AM116" t="s">
        <v>74</v>
      </c>
      <c r="AN116" t="s">
        <v>74</v>
      </c>
      <c r="AO116" t="s">
        <v>1524</v>
      </c>
      <c r="AP116" t="s">
        <v>1525</v>
      </c>
      <c r="AQ116" t="s">
        <v>74</v>
      </c>
      <c r="AR116" t="s">
        <v>74</v>
      </c>
      <c r="AS116" t="s">
        <v>74</v>
      </c>
      <c r="AT116" t="s">
        <v>575</v>
      </c>
      <c r="AU116">
        <v>2016</v>
      </c>
      <c r="AV116">
        <v>97</v>
      </c>
      <c r="AW116">
        <v>5</v>
      </c>
      <c r="AX116" t="s">
        <v>74</v>
      </c>
      <c r="AY116" t="s">
        <v>74</v>
      </c>
      <c r="AZ116" t="s">
        <v>74</v>
      </c>
      <c r="BA116" t="s">
        <v>74</v>
      </c>
      <c r="BB116">
        <v>1239</v>
      </c>
      <c r="BC116">
        <v>1250</v>
      </c>
      <c r="BD116" t="s">
        <v>74</v>
      </c>
      <c r="BE116" t="s">
        <v>3706</v>
      </c>
      <c r="BF116" t="str">
        <f>HYPERLINK("http://dx.doi.org/10.1890/15-0794.1","http://dx.doi.org/10.1890/15-0794.1")</f>
        <v>http://dx.doi.org/10.1890/15-0794.1</v>
      </c>
      <c r="BG116" t="s">
        <v>74</v>
      </c>
      <c r="BH116" t="s">
        <v>74</v>
      </c>
      <c r="BI116" t="s">
        <v>74</v>
      </c>
      <c r="BJ116" t="s">
        <v>74</v>
      </c>
      <c r="BK116" t="s">
        <v>74</v>
      </c>
      <c r="BL116" t="s">
        <v>74</v>
      </c>
      <c r="BM116" t="s">
        <v>74</v>
      </c>
      <c r="BN116">
        <v>27349100</v>
      </c>
      <c r="BO116" t="s">
        <v>74</v>
      </c>
      <c r="BP116" t="s">
        <v>74</v>
      </c>
      <c r="BQ116" t="s">
        <v>74</v>
      </c>
      <c r="BR116" t="s">
        <v>74</v>
      </c>
      <c r="BS116" t="s">
        <v>3707</v>
      </c>
      <c r="BT116" t="str">
        <f>HYPERLINK("https%3A%2F%2Fwww.webofscience.com%2Fwos%2Fwoscc%2Ffull-record%2FWOS:000375566800013","View Full Record in Web of Science")</f>
        <v>View Full Record in Web of Science</v>
      </c>
    </row>
    <row r="117" spans="1:72" x14ac:dyDescent="0.2">
      <c r="A117" t="s">
        <v>72</v>
      </c>
      <c r="B117" t="s">
        <v>3714</v>
      </c>
      <c r="C117" t="s">
        <v>74</v>
      </c>
      <c r="D117" t="s">
        <v>74</v>
      </c>
      <c r="E117" t="s">
        <v>74</v>
      </c>
      <c r="F117" t="s">
        <v>3715</v>
      </c>
      <c r="G117" t="s">
        <v>74</v>
      </c>
      <c r="H117" t="s">
        <v>74</v>
      </c>
      <c r="I117" t="s">
        <v>3716</v>
      </c>
      <c r="J117" t="s">
        <v>124</v>
      </c>
      <c r="K117" t="s">
        <v>74</v>
      </c>
      <c r="L117" t="s">
        <v>74</v>
      </c>
      <c r="M117" t="s">
        <v>74</v>
      </c>
      <c r="N117" t="s">
        <v>74</v>
      </c>
      <c r="O117" t="s">
        <v>74</v>
      </c>
      <c r="P117" t="s">
        <v>74</v>
      </c>
      <c r="Q117" t="s">
        <v>74</v>
      </c>
      <c r="R117" t="s">
        <v>74</v>
      </c>
      <c r="S117" t="s">
        <v>74</v>
      </c>
      <c r="T117" t="s">
        <v>74</v>
      </c>
      <c r="U117" t="s">
        <v>74</v>
      </c>
      <c r="V117" t="s">
        <v>74</v>
      </c>
      <c r="W117" t="s">
        <v>74</v>
      </c>
      <c r="X117" t="s">
        <v>74</v>
      </c>
      <c r="Y117" t="s">
        <v>74</v>
      </c>
      <c r="Z117" t="s">
        <v>74</v>
      </c>
      <c r="AA117" t="s">
        <v>7051</v>
      </c>
      <c r="AB117" t="s">
        <v>3717</v>
      </c>
      <c r="AC117" t="s">
        <v>74</v>
      </c>
      <c r="AD117" t="s">
        <v>74</v>
      </c>
      <c r="AE117" t="s">
        <v>74</v>
      </c>
      <c r="AF117" t="s">
        <v>74</v>
      </c>
      <c r="AG117" t="s">
        <v>74</v>
      </c>
      <c r="AH117" t="s">
        <v>74</v>
      </c>
      <c r="AI117" t="s">
        <v>74</v>
      </c>
      <c r="AJ117" t="s">
        <v>74</v>
      </c>
      <c r="AK117" t="s">
        <v>74</v>
      </c>
      <c r="AL117" t="s">
        <v>74</v>
      </c>
      <c r="AM117" t="s">
        <v>74</v>
      </c>
      <c r="AN117" t="s">
        <v>74</v>
      </c>
      <c r="AO117" t="s">
        <v>127</v>
      </c>
      <c r="AP117" t="s">
        <v>128</v>
      </c>
      <c r="AQ117" t="s">
        <v>74</v>
      </c>
      <c r="AR117" t="s">
        <v>74</v>
      </c>
      <c r="AS117" t="s">
        <v>74</v>
      </c>
      <c r="AT117" t="s">
        <v>575</v>
      </c>
      <c r="AU117">
        <v>2016</v>
      </c>
      <c r="AV117">
        <v>770</v>
      </c>
      <c r="AW117">
        <v>1</v>
      </c>
      <c r="AX117" t="s">
        <v>74</v>
      </c>
      <c r="AY117" t="s">
        <v>74</v>
      </c>
      <c r="AZ117" t="s">
        <v>74</v>
      </c>
      <c r="BA117" t="s">
        <v>74</v>
      </c>
      <c r="BB117">
        <v>165</v>
      </c>
      <c r="BC117">
        <v>172</v>
      </c>
      <c r="BD117" t="s">
        <v>74</v>
      </c>
      <c r="BE117" t="s">
        <v>3718</v>
      </c>
      <c r="BF117" t="str">
        <f>HYPERLINK("http://dx.doi.org/10.1007/s10750-015-2579-4","http://dx.doi.org/10.1007/s10750-015-2579-4")</f>
        <v>http://dx.doi.org/10.1007/s10750-015-2579-4</v>
      </c>
      <c r="BG117" t="s">
        <v>74</v>
      </c>
      <c r="BH117" t="s">
        <v>74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 t="s">
        <v>74</v>
      </c>
      <c r="BR117" t="s">
        <v>74</v>
      </c>
      <c r="BS117" t="s">
        <v>3719</v>
      </c>
      <c r="BT117" t="str">
        <f>HYPERLINK("https%3A%2F%2Fwww.webofscience.com%2Fwos%2Fwoscc%2Ffull-record%2FWOS:000372555100012","View Full Record in Web of Science")</f>
        <v>View Full Record in Web of Science</v>
      </c>
    </row>
    <row r="118" spans="1:72" x14ac:dyDescent="0.2">
      <c r="A118" t="s">
        <v>72</v>
      </c>
      <c r="B118" t="s">
        <v>3720</v>
      </c>
      <c r="C118" t="s">
        <v>74</v>
      </c>
      <c r="D118" t="s">
        <v>74</v>
      </c>
      <c r="E118" t="s">
        <v>74</v>
      </c>
      <c r="F118" t="s">
        <v>3721</v>
      </c>
      <c r="G118" t="s">
        <v>74</v>
      </c>
      <c r="H118" t="s">
        <v>74</v>
      </c>
      <c r="I118" t="s">
        <v>3722</v>
      </c>
      <c r="J118" t="s">
        <v>106</v>
      </c>
      <c r="K118" t="s">
        <v>74</v>
      </c>
      <c r="L118" t="s">
        <v>74</v>
      </c>
      <c r="M118" t="s">
        <v>74</v>
      </c>
      <c r="N118" t="s">
        <v>74</v>
      </c>
      <c r="O118" t="s">
        <v>74</v>
      </c>
      <c r="P118" t="s">
        <v>74</v>
      </c>
      <c r="Q118" t="s">
        <v>74</v>
      </c>
      <c r="R118" t="s">
        <v>74</v>
      </c>
      <c r="S118" t="s">
        <v>74</v>
      </c>
      <c r="T118" t="s">
        <v>74</v>
      </c>
      <c r="U118" t="s">
        <v>74</v>
      </c>
      <c r="V118" t="s">
        <v>74</v>
      </c>
      <c r="W118" t="s">
        <v>74</v>
      </c>
      <c r="X118" t="s">
        <v>74</v>
      </c>
      <c r="Y118" t="s">
        <v>74</v>
      </c>
      <c r="Z118" t="s">
        <v>74</v>
      </c>
      <c r="AA118" t="s">
        <v>7052</v>
      </c>
      <c r="AB118" t="s">
        <v>3723</v>
      </c>
      <c r="AC118" t="s">
        <v>74</v>
      </c>
      <c r="AD118" t="s">
        <v>74</v>
      </c>
      <c r="AE118" t="s">
        <v>74</v>
      </c>
      <c r="AF118" t="s">
        <v>74</v>
      </c>
      <c r="AG118" t="s">
        <v>74</v>
      </c>
      <c r="AH118" t="s">
        <v>74</v>
      </c>
      <c r="AI118" t="s">
        <v>74</v>
      </c>
      <c r="AJ118" t="s">
        <v>74</v>
      </c>
      <c r="AK118" t="s">
        <v>74</v>
      </c>
      <c r="AL118" t="s">
        <v>74</v>
      </c>
      <c r="AM118" t="s">
        <v>74</v>
      </c>
      <c r="AN118" t="s">
        <v>74</v>
      </c>
      <c r="AO118" t="s">
        <v>107</v>
      </c>
      <c r="AP118" t="s">
        <v>108</v>
      </c>
      <c r="AQ118" t="s">
        <v>74</v>
      </c>
      <c r="AR118" t="s">
        <v>74</v>
      </c>
      <c r="AS118" t="s">
        <v>74</v>
      </c>
      <c r="AT118" t="s">
        <v>575</v>
      </c>
      <c r="AU118">
        <v>2016</v>
      </c>
      <c r="AV118">
        <v>38</v>
      </c>
      <c r="AW118">
        <v>3</v>
      </c>
      <c r="AX118" t="s">
        <v>74</v>
      </c>
      <c r="AY118" t="s">
        <v>74</v>
      </c>
      <c r="AZ118" t="s">
        <v>74</v>
      </c>
      <c r="BA118" t="s">
        <v>74</v>
      </c>
      <c r="BB118">
        <v>443</v>
      </c>
      <c r="BC118">
        <v>455</v>
      </c>
      <c r="BD118" t="s">
        <v>74</v>
      </c>
      <c r="BE118" t="s">
        <v>3724</v>
      </c>
      <c r="BF118" t="str">
        <f>HYPERLINK("http://dx.doi.org/10.1093/plankt/fbv118","http://dx.doi.org/10.1093/plankt/fbv118")</f>
        <v>http://dx.doi.org/10.1093/plankt/fbv118</v>
      </c>
      <c r="BG118" t="s">
        <v>74</v>
      </c>
      <c r="BH118" t="s">
        <v>74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 t="s">
        <v>74</v>
      </c>
      <c r="BO118" t="s">
        <v>74</v>
      </c>
      <c r="BP118" t="s">
        <v>74</v>
      </c>
      <c r="BQ118" t="s">
        <v>74</v>
      </c>
      <c r="BR118" t="s">
        <v>74</v>
      </c>
      <c r="BS118" t="s">
        <v>3725</v>
      </c>
      <c r="BT118" t="str">
        <f>HYPERLINK("https%3A%2F%2Fwww.webofscience.com%2Fwos%2Fwoscc%2Ffull-record%2FWOS:000377299000005","View Full Record in Web of Science")</f>
        <v>View Full Record in Web of Science</v>
      </c>
    </row>
    <row r="119" spans="1:72" x14ac:dyDescent="0.2">
      <c r="A119" t="s">
        <v>72</v>
      </c>
      <c r="B119" t="s">
        <v>3777</v>
      </c>
      <c r="C119" t="s">
        <v>74</v>
      </c>
      <c r="D119" t="s">
        <v>74</v>
      </c>
      <c r="E119" t="s">
        <v>74</v>
      </c>
      <c r="F119" t="s">
        <v>3778</v>
      </c>
      <c r="G119" t="s">
        <v>74</v>
      </c>
      <c r="H119" t="s">
        <v>74</v>
      </c>
      <c r="I119" t="s">
        <v>3779</v>
      </c>
      <c r="J119" t="s">
        <v>3780</v>
      </c>
      <c r="K119" t="s">
        <v>74</v>
      </c>
      <c r="L119" t="s">
        <v>74</v>
      </c>
      <c r="M119" t="s">
        <v>74</v>
      </c>
      <c r="N119" t="s">
        <v>74</v>
      </c>
      <c r="O119" t="s">
        <v>74</v>
      </c>
      <c r="P119" t="s">
        <v>74</v>
      </c>
      <c r="Q119" t="s">
        <v>74</v>
      </c>
      <c r="R119" t="s">
        <v>74</v>
      </c>
      <c r="S119" t="s">
        <v>74</v>
      </c>
      <c r="T119" t="s">
        <v>74</v>
      </c>
      <c r="U119" t="s">
        <v>74</v>
      </c>
      <c r="V119" t="s">
        <v>74</v>
      </c>
      <c r="W119" t="s">
        <v>74</v>
      </c>
      <c r="X119" t="s">
        <v>74</v>
      </c>
      <c r="Y119" t="s">
        <v>74</v>
      </c>
      <c r="Z119" t="s">
        <v>74</v>
      </c>
      <c r="AA119" t="s">
        <v>3781</v>
      </c>
      <c r="AB119" t="s">
        <v>74</v>
      </c>
      <c r="AC119" t="s">
        <v>74</v>
      </c>
      <c r="AD119" t="s">
        <v>74</v>
      </c>
      <c r="AE119" t="s">
        <v>74</v>
      </c>
      <c r="AF119" t="s">
        <v>74</v>
      </c>
      <c r="AG119" t="s">
        <v>74</v>
      </c>
      <c r="AH119" t="s">
        <v>74</v>
      </c>
      <c r="AI119" t="s">
        <v>74</v>
      </c>
      <c r="AJ119" t="s">
        <v>74</v>
      </c>
      <c r="AK119" t="s">
        <v>74</v>
      </c>
      <c r="AL119" t="s">
        <v>74</v>
      </c>
      <c r="AM119" t="s">
        <v>74</v>
      </c>
      <c r="AN119" t="s">
        <v>74</v>
      </c>
      <c r="AO119" t="s">
        <v>3782</v>
      </c>
      <c r="AP119" t="s">
        <v>3783</v>
      </c>
      <c r="AQ119" t="s">
        <v>74</v>
      </c>
      <c r="AR119" t="s">
        <v>74</v>
      </c>
      <c r="AS119" t="s">
        <v>74</v>
      </c>
      <c r="AT119" t="s">
        <v>416</v>
      </c>
      <c r="AU119">
        <v>2016</v>
      </c>
      <c r="AV119">
        <v>76</v>
      </c>
      <c r="AW119">
        <v>1</v>
      </c>
      <c r="AX119" t="s">
        <v>74</v>
      </c>
      <c r="AY119" t="s">
        <v>74</v>
      </c>
      <c r="AZ119" t="s">
        <v>74</v>
      </c>
      <c r="BA119" t="s">
        <v>74</v>
      </c>
      <c r="BB119">
        <v>154</v>
      </c>
      <c r="BC119">
        <v>161</v>
      </c>
      <c r="BD119" t="s">
        <v>74</v>
      </c>
      <c r="BE119" t="s">
        <v>3784</v>
      </c>
      <c r="BF119" t="str">
        <f>HYPERLINK("http://dx.doi.org/10.1590/1519-6984.15514","http://dx.doi.org/10.1590/1519-6984.15514")</f>
        <v>http://dx.doi.org/10.1590/1519-6984.15514</v>
      </c>
      <c r="BG119" t="s">
        <v>74</v>
      </c>
      <c r="BH119" t="s">
        <v>74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>
        <v>26871750</v>
      </c>
      <c r="BO119" t="s">
        <v>74</v>
      </c>
      <c r="BP119" t="s">
        <v>74</v>
      </c>
      <c r="BQ119" t="s">
        <v>74</v>
      </c>
      <c r="BR119" t="s">
        <v>74</v>
      </c>
      <c r="BS119" t="s">
        <v>3785</v>
      </c>
      <c r="BT119" t="str">
        <f>HYPERLINK("https%3A%2F%2Fwww.webofscience.com%2Fwos%2Fwoscc%2Ffull-record%2FWOS:000371732700019","View Full Record in Web of Science")</f>
        <v>View Full Record in Web of Science</v>
      </c>
    </row>
    <row r="120" spans="1:72" x14ac:dyDescent="0.2">
      <c r="A120" t="s">
        <v>72</v>
      </c>
      <c r="B120" t="s">
        <v>3791</v>
      </c>
      <c r="C120" t="s">
        <v>74</v>
      </c>
      <c r="D120" t="s">
        <v>74</v>
      </c>
      <c r="E120" t="s">
        <v>74</v>
      </c>
      <c r="F120" t="s">
        <v>3792</v>
      </c>
      <c r="G120" t="s">
        <v>74</v>
      </c>
      <c r="H120" t="s">
        <v>74</v>
      </c>
      <c r="I120" t="s">
        <v>3793</v>
      </c>
      <c r="J120" t="s">
        <v>1716</v>
      </c>
      <c r="K120" t="s">
        <v>74</v>
      </c>
      <c r="L120" t="s">
        <v>74</v>
      </c>
      <c r="M120" t="s">
        <v>74</v>
      </c>
      <c r="N120" t="s">
        <v>74</v>
      </c>
      <c r="O120" t="s">
        <v>74</v>
      </c>
      <c r="P120" t="s">
        <v>74</v>
      </c>
      <c r="Q120" t="s">
        <v>74</v>
      </c>
      <c r="R120" t="s">
        <v>74</v>
      </c>
      <c r="S120" t="s">
        <v>74</v>
      </c>
      <c r="T120" t="s">
        <v>74</v>
      </c>
      <c r="U120" t="s">
        <v>74</v>
      </c>
      <c r="V120" t="s">
        <v>74</v>
      </c>
      <c r="W120" t="s">
        <v>74</v>
      </c>
      <c r="X120" t="s">
        <v>74</v>
      </c>
      <c r="Y120" t="s">
        <v>74</v>
      </c>
      <c r="Z120" t="s">
        <v>74</v>
      </c>
      <c r="AA120" t="s">
        <v>3794</v>
      </c>
      <c r="AB120" t="s">
        <v>7058</v>
      </c>
      <c r="AC120" t="s">
        <v>74</v>
      </c>
      <c r="AD120" t="s">
        <v>74</v>
      </c>
      <c r="AE120" t="s">
        <v>74</v>
      </c>
      <c r="AF120" t="s">
        <v>74</v>
      </c>
      <c r="AG120" t="s">
        <v>74</v>
      </c>
      <c r="AH120" t="s">
        <v>74</v>
      </c>
      <c r="AI120" t="s">
        <v>74</v>
      </c>
      <c r="AJ120" t="s">
        <v>74</v>
      </c>
      <c r="AK120" t="s">
        <v>74</v>
      </c>
      <c r="AL120" t="s">
        <v>74</v>
      </c>
      <c r="AM120" t="s">
        <v>74</v>
      </c>
      <c r="AN120" t="s">
        <v>74</v>
      </c>
      <c r="AO120" t="s">
        <v>1717</v>
      </c>
      <c r="AP120" t="s">
        <v>1718</v>
      </c>
      <c r="AQ120" t="s">
        <v>74</v>
      </c>
      <c r="AR120" t="s">
        <v>74</v>
      </c>
      <c r="AS120" t="s">
        <v>74</v>
      </c>
      <c r="AT120" t="s">
        <v>416</v>
      </c>
      <c r="AU120">
        <v>2016</v>
      </c>
      <c r="AV120">
        <v>52</v>
      </c>
      <c r="AW120">
        <v>1</v>
      </c>
      <c r="AX120" t="s">
        <v>74</v>
      </c>
      <c r="AY120" t="s">
        <v>74</v>
      </c>
      <c r="AZ120" t="s">
        <v>74</v>
      </c>
      <c r="BA120" t="s">
        <v>74</v>
      </c>
      <c r="BB120">
        <v>105</v>
      </c>
      <c r="BC120">
        <v>115</v>
      </c>
      <c r="BD120" t="s">
        <v>74</v>
      </c>
      <c r="BE120" t="s">
        <v>3795</v>
      </c>
      <c r="BF120" t="str">
        <f>HYPERLINK("http://dx.doi.org/10.1111/jpy.12372","http://dx.doi.org/10.1111/jpy.12372")</f>
        <v>http://dx.doi.org/10.1111/jpy.12372</v>
      </c>
      <c r="BG120" t="s">
        <v>74</v>
      </c>
      <c r="BH120" t="s">
        <v>74</v>
      </c>
      <c r="BI120" t="s">
        <v>74</v>
      </c>
      <c r="BJ120" t="s">
        <v>74</v>
      </c>
      <c r="BK120" t="s">
        <v>74</v>
      </c>
      <c r="BL120" t="s">
        <v>74</v>
      </c>
      <c r="BM120" t="s">
        <v>74</v>
      </c>
      <c r="BN120">
        <v>26987092</v>
      </c>
      <c r="BO120" t="s">
        <v>74</v>
      </c>
      <c r="BP120" t="s">
        <v>74</v>
      </c>
      <c r="BQ120" t="s">
        <v>74</v>
      </c>
      <c r="BR120" t="s">
        <v>74</v>
      </c>
      <c r="BS120" t="s">
        <v>3796</v>
      </c>
      <c r="BT120" t="str">
        <f>HYPERLINK("https%3A%2F%2Fwww.webofscience.com%2Fwos%2Fwoscc%2Ffull-record%2FWOS:000370005000009","View Full Record in Web of Science")</f>
        <v>View Full Record in Web of Science</v>
      </c>
    </row>
    <row r="121" spans="1:72" x14ac:dyDescent="0.2">
      <c r="A121" t="s">
        <v>72</v>
      </c>
      <c r="B121" t="s">
        <v>3822</v>
      </c>
      <c r="C121" t="s">
        <v>74</v>
      </c>
      <c r="D121" t="s">
        <v>74</v>
      </c>
      <c r="E121" t="s">
        <v>74</v>
      </c>
      <c r="F121" t="s">
        <v>3823</v>
      </c>
      <c r="G121" t="s">
        <v>74</v>
      </c>
      <c r="H121" t="s">
        <v>74</v>
      </c>
      <c r="I121" t="s">
        <v>3824</v>
      </c>
      <c r="J121" t="s">
        <v>310</v>
      </c>
      <c r="K121" t="s">
        <v>74</v>
      </c>
      <c r="L121" t="s">
        <v>74</v>
      </c>
      <c r="M121" t="s">
        <v>74</v>
      </c>
      <c r="N121" t="s">
        <v>74</v>
      </c>
      <c r="O121" t="s">
        <v>74</v>
      </c>
      <c r="P121" t="s">
        <v>74</v>
      </c>
      <c r="Q121" t="s">
        <v>74</v>
      </c>
      <c r="R121" t="s">
        <v>74</v>
      </c>
      <c r="S121" t="s">
        <v>74</v>
      </c>
      <c r="T121" t="s">
        <v>74</v>
      </c>
      <c r="U121" t="s">
        <v>74</v>
      </c>
      <c r="V121" t="s">
        <v>74</v>
      </c>
      <c r="W121" t="s">
        <v>74</v>
      </c>
      <c r="X121" t="s">
        <v>74</v>
      </c>
      <c r="Y121" t="s">
        <v>74</v>
      </c>
      <c r="Z121" t="s">
        <v>74</v>
      </c>
      <c r="AA121" t="s">
        <v>7059</v>
      </c>
      <c r="AB121" t="s">
        <v>7060</v>
      </c>
      <c r="AC121" t="s">
        <v>74</v>
      </c>
      <c r="AD121" t="s">
        <v>74</v>
      </c>
      <c r="AE121" t="s">
        <v>74</v>
      </c>
      <c r="AF121" t="s">
        <v>74</v>
      </c>
      <c r="AG121" t="s">
        <v>74</v>
      </c>
      <c r="AH121" t="s">
        <v>74</v>
      </c>
      <c r="AI121" t="s">
        <v>74</v>
      </c>
      <c r="AJ121" t="s">
        <v>74</v>
      </c>
      <c r="AK121" t="s">
        <v>74</v>
      </c>
      <c r="AL121" t="s">
        <v>74</v>
      </c>
      <c r="AM121" t="s">
        <v>74</v>
      </c>
      <c r="AN121" t="s">
        <v>74</v>
      </c>
      <c r="AO121" t="s">
        <v>313</v>
      </c>
      <c r="AP121" t="s">
        <v>314</v>
      </c>
      <c r="AQ121" t="s">
        <v>74</v>
      </c>
      <c r="AR121" t="s">
        <v>74</v>
      </c>
      <c r="AS121" t="s">
        <v>74</v>
      </c>
      <c r="AT121" t="s">
        <v>315</v>
      </c>
      <c r="AU121">
        <v>2016</v>
      </c>
      <c r="AV121">
        <v>22</v>
      </c>
      <c r="AW121">
        <v>1</v>
      </c>
      <c r="AX121" t="s">
        <v>74</v>
      </c>
      <c r="AY121" t="s">
        <v>74</v>
      </c>
      <c r="AZ121" t="s">
        <v>74</v>
      </c>
      <c r="BA121" t="s">
        <v>74</v>
      </c>
      <c r="BB121">
        <v>299</v>
      </c>
      <c r="BC121">
        <v>309</v>
      </c>
      <c r="BD121" t="s">
        <v>74</v>
      </c>
      <c r="BE121" t="s">
        <v>3825</v>
      </c>
      <c r="BF121" t="str">
        <f>HYPERLINK("http://dx.doi.org/10.1111/gcb.13095","http://dx.doi.org/10.1111/gcb.13095")</f>
        <v>http://dx.doi.org/10.1111/gcb.13095</v>
      </c>
      <c r="BG121" t="s">
        <v>74</v>
      </c>
      <c r="BH121" t="s">
        <v>74</v>
      </c>
      <c r="BI121" t="s">
        <v>74</v>
      </c>
      <c r="BJ121" t="s">
        <v>74</v>
      </c>
      <c r="BK121" t="s">
        <v>74</v>
      </c>
      <c r="BL121" t="s">
        <v>74</v>
      </c>
      <c r="BM121" t="s">
        <v>74</v>
      </c>
      <c r="BN121">
        <v>26488235</v>
      </c>
      <c r="BO121" t="s">
        <v>74</v>
      </c>
      <c r="BP121" t="s">
        <v>74</v>
      </c>
      <c r="BQ121" t="s">
        <v>74</v>
      </c>
      <c r="BR121" t="s">
        <v>74</v>
      </c>
      <c r="BS121" t="s">
        <v>3826</v>
      </c>
      <c r="BT121" t="str">
        <f>HYPERLINK("https%3A%2F%2Fwww.webofscience.com%2Fwos%2Fwoscc%2Ffull-record%2FWOS:000367982900024","View Full Record in Web of Science")</f>
        <v>View Full Record in Web of Science</v>
      </c>
    </row>
    <row r="122" spans="1:72" x14ac:dyDescent="0.2">
      <c r="A122" t="s">
        <v>72</v>
      </c>
      <c r="B122" t="s">
        <v>3884</v>
      </c>
      <c r="C122" t="s">
        <v>74</v>
      </c>
      <c r="D122" t="s">
        <v>74</v>
      </c>
      <c r="E122" t="s">
        <v>74</v>
      </c>
      <c r="F122" t="s">
        <v>3885</v>
      </c>
      <c r="G122" t="s">
        <v>74</v>
      </c>
      <c r="H122" t="s">
        <v>74</v>
      </c>
      <c r="I122" t="s">
        <v>3886</v>
      </c>
      <c r="J122" t="s">
        <v>423</v>
      </c>
      <c r="K122" t="s">
        <v>74</v>
      </c>
      <c r="L122" t="s">
        <v>74</v>
      </c>
      <c r="M122" t="s">
        <v>74</v>
      </c>
      <c r="N122" t="s">
        <v>74</v>
      </c>
      <c r="O122" t="s">
        <v>74</v>
      </c>
      <c r="P122" t="s">
        <v>74</v>
      </c>
      <c r="Q122" t="s">
        <v>74</v>
      </c>
      <c r="R122" t="s">
        <v>74</v>
      </c>
      <c r="S122" t="s">
        <v>74</v>
      </c>
      <c r="T122" t="s">
        <v>74</v>
      </c>
      <c r="U122" t="s">
        <v>74</v>
      </c>
      <c r="V122" t="s">
        <v>74</v>
      </c>
      <c r="W122" t="s">
        <v>74</v>
      </c>
      <c r="X122" t="s">
        <v>74</v>
      </c>
      <c r="Y122" t="s">
        <v>74</v>
      </c>
      <c r="Z122" t="s">
        <v>74</v>
      </c>
      <c r="AA122" t="s">
        <v>3887</v>
      </c>
      <c r="AB122" t="s">
        <v>3888</v>
      </c>
      <c r="AC122" t="s">
        <v>74</v>
      </c>
      <c r="AD122" t="s">
        <v>74</v>
      </c>
      <c r="AE122" t="s">
        <v>74</v>
      </c>
      <c r="AF122" t="s">
        <v>74</v>
      </c>
      <c r="AG122" t="s">
        <v>74</v>
      </c>
      <c r="AH122" t="s">
        <v>74</v>
      </c>
      <c r="AI122" t="s">
        <v>74</v>
      </c>
      <c r="AJ122" t="s">
        <v>74</v>
      </c>
      <c r="AK122" t="s">
        <v>74</v>
      </c>
      <c r="AL122" t="s">
        <v>74</v>
      </c>
      <c r="AM122" t="s">
        <v>74</v>
      </c>
      <c r="AN122" t="s">
        <v>74</v>
      </c>
      <c r="AO122" t="s">
        <v>425</v>
      </c>
      <c r="AP122" t="s">
        <v>426</v>
      </c>
      <c r="AQ122" t="s">
        <v>74</v>
      </c>
      <c r="AR122" t="s">
        <v>74</v>
      </c>
      <c r="AS122" t="s">
        <v>74</v>
      </c>
      <c r="AT122" t="s">
        <v>406</v>
      </c>
      <c r="AU122">
        <v>2015</v>
      </c>
      <c r="AV122">
        <v>60</v>
      </c>
      <c r="AW122">
        <v>10</v>
      </c>
      <c r="AX122" t="s">
        <v>74</v>
      </c>
      <c r="AY122" t="s">
        <v>74</v>
      </c>
      <c r="AZ122" t="s">
        <v>74</v>
      </c>
      <c r="BA122" t="s">
        <v>74</v>
      </c>
      <c r="BB122">
        <v>2113</v>
      </c>
      <c r="BC122">
        <v>2126</v>
      </c>
      <c r="BD122" t="s">
        <v>74</v>
      </c>
      <c r="BE122" t="s">
        <v>3889</v>
      </c>
      <c r="BF122" t="str">
        <f>HYPERLINK("http://dx.doi.org/10.1111/fwb.12636","http://dx.doi.org/10.1111/fwb.12636")</f>
        <v>http://dx.doi.org/10.1111/fwb.12636</v>
      </c>
      <c r="BG122" t="s">
        <v>74</v>
      </c>
      <c r="BH122" t="s">
        <v>74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 t="s">
        <v>74</v>
      </c>
      <c r="BO122" t="s">
        <v>74</v>
      </c>
      <c r="BP122" t="s">
        <v>74</v>
      </c>
      <c r="BQ122" t="s">
        <v>74</v>
      </c>
      <c r="BR122" t="s">
        <v>74</v>
      </c>
      <c r="BS122" t="s">
        <v>3890</v>
      </c>
      <c r="BT122" t="str">
        <f>HYPERLINK("https%3A%2F%2Fwww.webofscience.com%2Fwos%2Fwoscc%2Ffull-record%2FWOS:000361037900010","View Full Record in Web of Science")</f>
        <v>View Full Record in Web of Science</v>
      </c>
    </row>
    <row r="123" spans="1:72" x14ac:dyDescent="0.2">
      <c r="A123" t="s">
        <v>72</v>
      </c>
      <c r="B123" t="s">
        <v>3958</v>
      </c>
      <c r="C123" t="s">
        <v>74</v>
      </c>
      <c r="D123" t="s">
        <v>74</v>
      </c>
      <c r="E123" t="s">
        <v>74</v>
      </c>
      <c r="F123" t="s">
        <v>3959</v>
      </c>
      <c r="G123" t="s">
        <v>74</v>
      </c>
      <c r="H123" t="s">
        <v>74</v>
      </c>
      <c r="I123" t="s">
        <v>3960</v>
      </c>
      <c r="J123" t="s">
        <v>1299</v>
      </c>
      <c r="K123" t="s">
        <v>74</v>
      </c>
      <c r="L123" t="s">
        <v>74</v>
      </c>
      <c r="M123" t="s">
        <v>74</v>
      </c>
      <c r="N123" t="s">
        <v>74</v>
      </c>
      <c r="O123" t="s">
        <v>74</v>
      </c>
      <c r="P123" t="s">
        <v>74</v>
      </c>
      <c r="Q123" t="s">
        <v>74</v>
      </c>
      <c r="R123" t="s">
        <v>74</v>
      </c>
      <c r="S123" t="s">
        <v>74</v>
      </c>
      <c r="T123" t="s">
        <v>74</v>
      </c>
      <c r="U123" t="s">
        <v>74</v>
      </c>
      <c r="V123" t="s">
        <v>74</v>
      </c>
      <c r="W123" t="s">
        <v>74</v>
      </c>
      <c r="X123" t="s">
        <v>74</v>
      </c>
      <c r="Y123" t="s">
        <v>74</v>
      </c>
      <c r="Z123" t="s">
        <v>74</v>
      </c>
      <c r="AA123" t="s">
        <v>74</v>
      </c>
      <c r="AB123" t="s">
        <v>74</v>
      </c>
      <c r="AC123" t="s">
        <v>74</v>
      </c>
      <c r="AD123" t="s">
        <v>74</v>
      </c>
      <c r="AE123" t="s">
        <v>74</v>
      </c>
      <c r="AF123" t="s">
        <v>74</v>
      </c>
      <c r="AG123" t="s">
        <v>74</v>
      </c>
      <c r="AH123" t="s">
        <v>74</v>
      </c>
      <c r="AI123" t="s">
        <v>74</v>
      </c>
      <c r="AJ123" t="s">
        <v>74</v>
      </c>
      <c r="AK123" t="s">
        <v>74</v>
      </c>
      <c r="AL123" t="s">
        <v>74</v>
      </c>
      <c r="AM123" t="s">
        <v>74</v>
      </c>
      <c r="AN123" t="s">
        <v>74</v>
      </c>
      <c r="AO123" t="s">
        <v>1302</v>
      </c>
      <c r="AP123" t="s">
        <v>1303</v>
      </c>
      <c r="AQ123" t="s">
        <v>74</v>
      </c>
      <c r="AR123" t="s">
        <v>74</v>
      </c>
      <c r="AS123" t="s">
        <v>74</v>
      </c>
      <c r="AT123" t="s">
        <v>569</v>
      </c>
      <c r="AU123">
        <v>2015</v>
      </c>
      <c r="AV123">
        <v>178</v>
      </c>
      <c r="AW123">
        <v>2</v>
      </c>
      <c r="AX123" t="s">
        <v>74</v>
      </c>
      <c r="AY123" t="s">
        <v>74</v>
      </c>
      <c r="AZ123" t="s">
        <v>74</v>
      </c>
      <c r="BA123" t="s">
        <v>74</v>
      </c>
      <c r="BB123">
        <v>485</v>
      </c>
      <c r="BC123">
        <v>496</v>
      </c>
      <c r="BD123" t="s">
        <v>74</v>
      </c>
      <c r="BE123" t="s">
        <v>3961</v>
      </c>
      <c r="BF123" t="str">
        <f>HYPERLINK("http://dx.doi.org/10.1007/s00442-014-3211-4","http://dx.doi.org/10.1007/s00442-014-3211-4")</f>
        <v>http://dx.doi.org/10.1007/s00442-014-3211-4</v>
      </c>
      <c r="BG123" t="s">
        <v>74</v>
      </c>
      <c r="BH123" t="s">
        <v>74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>
        <v>25564019</v>
      </c>
      <c r="BO123" t="s">
        <v>74</v>
      </c>
      <c r="BP123" t="s">
        <v>74</v>
      </c>
      <c r="BQ123" t="s">
        <v>74</v>
      </c>
      <c r="BR123" t="s">
        <v>74</v>
      </c>
      <c r="BS123" t="s">
        <v>3962</v>
      </c>
      <c r="BT123" t="str">
        <f>HYPERLINK("https%3A%2F%2Fwww.webofscience.com%2Fwos%2Fwoscc%2Ffull-record%2FWOS:000354900700016","View Full Record in Web of Science")</f>
        <v>View Full Record in Web of Science</v>
      </c>
    </row>
    <row r="124" spans="1:72" x14ac:dyDescent="0.2">
      <c r="A124" t="s">
        <v>72</v>
      </c>
      <c r="B124" t="s">
        <v>3971</v>
      </c>
      <c r="C124" t="s">
        <v>74</v>
      </c>
      <c r="D124" t="s">
        <v>74</v>
      </c>
      <c r="E124" t="s">
        <v>74</v>
      </c>
      <c r="F124" t="s">
        <v>3972</v>
      </c>
      <c r="G124" t="s">
        <v>74</v>
      </c>
      <c r="H124" t="s">
        <v>74</v>
      </c>
      <c r="I124" t="s">
        <v>3973</v>
      </c>
      <c r="J124" t="s">
        <v>3443</v>
      </c>
      <c r="K124" t="s">
        <v>74</v>
      </c>
      <c r="L124" t="s">
        <v>74</v>
      </c>
      <c r="M124" t="s">
        <v>74</v>
      </c>
      <c r="N124" t="s">
        <v>74</v>
      </c>
      <c r="O124" t="s">
        <v>74</v>
      </c>
      <c r="P124" t="s">
        <v>74</v>
      </c>
      <c r="Q124" t="s">
        <v>74</v>
      </c>
      <c r="R124" t="s">
        <v>74</v>
      </c>
      <c r="S124" t="s">
        <v>74</v>
      </c>
      <c r="T124" t="s">
        <v>74</v>
      </c>
      <c r="U124" t="s">
        <v>74</v>
      </c>
      <c r="V124" t="s">
        <v>74</v>
      </c>
      <c r="W124" t="s">
        <v>74</v>
      </c>
      <c r="X124" t="s">
        <v>74</v>
      </c>
      <c r="Y124" t="s">
        <v>74</v>
      </c>
      <c r="Z124" t="s">
        <v>74</v>
      </c>
      <c r="AA124" t="s">
        <v>3974</v>
      </c>
      <c r="AB124" t="s">
        <v>3975</v>
      </c>
      <c r="AC124" t="s">
        <v>74</v>
      </c>
      <c r="AD124" t="s">
        <v>74</v>
      </c>
      <c r="AE124" t="s">
        <v>74</v>
      </c>
      <c r="AF124" t="s">
        <v>74</v>
      </c>
      <c r="AG124" t="s">
        <v>74</v>
      </c>
      <c r="AH124" t="s">
        <v>74</v>
      </c>
      <c r="AI124" t="s">
        <v>74</v>
      </c>
      <c r="AJ124" t="s">
        <v>74</v>
      </c>
      <c r="AK124" t="s">
        <v>74</v>
      </c>
      <c r="AL124" t="s">
        <v>74</v>
      </c>
      <c r="AM124" t="s">
        <v>74</v>
      </c>
      <c r="AN124" t="s">
        <v>74</v>
      </c>
      <c r="AO124" t="s">
        <v>3445</v>
      </c>
      <c r="AP124" t="s">
        <v>74</v>
      </c>
      <c r="AQ124" t="s">
        <v>74</v>
      </c>
      <c r="AR124" t="s">
        <v>74</v>
      </c>
      <c r="AS124" t="s">
        <v>74</v>
      </c>
      <c r="AT124" t="s">
        <v>3976</v>
      </c>
      <c r="AU124">
        <v>2015</v>
      </c>
      <c r="AV124">
        <v>10</v>
      </c>
      <c r="AW124">
        <v>5</v>
      </c>
      <c r="AX124" t="s">
        <v>74</v>
      </c>
      <c r="AY124" t="s">
        <v>74</v>
      </c>
      <c r="AZ124" t="s">
        <v>74</v>
      </c>
      <c r="BA124" t="s">
        <v>74</v>
      </c>
      <c r="BB124" t="s">
        <v>74</v>
      </c>
      <c r="BC124" t="s">
        <v>74</v>
      </c>
      <c r="BD124" t="s">
        <v>3977</v>
      </c>
      <c r="BE124" t="s">
        <v>3978</v>
      </c>
      <c r="BF124" t="str">
        <f>HYPERLINK("http://dx.doi.org/10.1371/journal.pone.0126231","http://dx.doi.org/10.1371/journal.pone.0126231")</f>
        <v>http://dx.doi.org/10.1371/journal.pone.0126231</v>
      </c>
      <c r="BG124" t="s">
        <v>74</v>
      </c>
      <c r="BH124" t="s">
        <v>74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>
        <v>25970289</v>
      </c>
      <c r="BO124" t="s">
        <v>74</v>
      </c>
      <c r="BP124" t="s">
        <v>74</v>
      </c>
      <c r="BQ124" t="s">
        <v>74</v>
      </c>
      <c r="BR124" t="s">
        <v>74</v>
      </c>
      <c r="BS124" t="s">
        <v>3979</v>
      </c>
      <c r="BT124" t="str">
        <f>HYPERLINK("https%3A%2F%2Fwww.webofscience.com%2Fwos%2Fwoscc%2Ffull-record%2FWOS:000354544200100","View Full Record in Web of Science")</f>
        <v>View Full Record in Web of Science</v>
      </c>
    </row>
    <row r="125" spans="1:72" x14ac:dyDescent="0.2">
      <c r="A125" t="s">
        <v>72</v>
      </c>
      <c r="B125" t="s">
        <v>4001</v>
      </c>
      <c r="C125" t="s">
        <v>74</v>
      </c>
      <c r="D125" t="s">
        <v>74</v>
      </c>
      <c r="E125" t="s">
        <v>74</v>
      </c>
      <c r="F125" t="s">
        <v>4002</v>
      </c>
      <c r="G125" t="s">
        <v>74</v>
      </c>
      <c r="H125" t="s">
        <v>74</v>
      </c>
      <c r="I125" t="s">
        <v>4003</v>
      </c>
      <c r="J125" t="s">
        <v>1789</v>
      </c>
      <c r="K125" t="s">
        <v>74</v>
      </c>
      <c r="L125" t="s">
        <v>74</v>
      </c>
      <c r="M125" t="s">
        <v>74</v>
      </c>
      <c r="N125" t="s">
        <v>74</v>
      </c>
      <c r="O125" t="s">
        <v>74</v>
      </c>
      <c r="P125" t="s">
        <v>74</v>
      </c>
      <c r="Q125" t="s">
        <v>74</v>
      </c>
      <c r="R125" t="s">
        <v>74</v>
      </c>
      <c r="S125" t="s">
        <v>74</v>
      </c>
      <c r="T125" t="s">
        <v>74</v>
      </c>
      <c r="U125" t="s">
        <v>74</v>
      </c>
      <c r="V125" t="s">
        <v>74</v>
      </c>
      <c r="W125" t="s">
        <v>74</v>
      </c>
      <c r="X125" t="s">
        <v>74</v>
      </c>
      <c r="Y125" t="s">
        <v>74</v>
      </c>
      <c r="Z125" t="s">
        <v>74</v>
      </c>
      <c r="AA125" t="s">
        <v>4004</v>
      </c>
      <c r="AB125" t="s">
        <v>4005</v>
      </c>
      <c r="AC125" t="s">
        <v>74</v>
      </c>
      <c r="AD125" t="s">
        <v>74</v>
      </c>
      <c r="AE125" t="s">
        <v>74</v>
      </c>
      <c r="AF125" t="s">
        <v>74</v>
      </c>
      <c r="AG125" t="s">
        <v>74</v>
      </c>
      <c r="AH125" t="s">
        <v>74</v>
      </c>
      <c r="AI125" t="s">
        <v>74</v>
      </c>
      <c r="AJ125" t="s">
        <v>74</v>
      </c>
      <c r="AK125" t="s">
        <v>74</v>
      </c>
      <c r="AL125" t="s">
        <v>74</v>
      </c>
      <c r="AM125" t="s">
        <v>74</v>
      </c>
      <c r="AN125" t="s">
        <v>74</v>
      </c>
      <c r="AO125" t="s">
        <v>1791</v>
      </c>
      <c r="AP125" t="s">
        <v>1792</v>
      </c>
      <c r="AQ125" t="s">
        <v>74</v>
      </c>
      <c r="AR125" t="s">
        <v>74</v>
      </c>
      <c r="AS125" t="s">
        <v>74</v>
      </c>
      <c r="AT125" t="s">
        <v>575</v>
      </c>
      <c r="AU125">
        <v>2015</v>
      </c>
      <c r="AV125">
        <v>30</v>
      </c>
      <c r="AW125">
        <v>3</v>
      </c>
      <c r="AX125" t="s">
        <v>74</v>
      </c>
      <c r="AY125" t="s">
        <v>74</v>
      </c>
      <c r="AZ125" t="s">
        <v>74</v>
      </c>
      <c r="BA125" t="s">
        <v>74</v>
      </c>
      <c r="BB125">
        <v>451</v>
      </c>
      <c r="BC125">
        <v>460</v>
      </c>
      <c r="BD125" t="s">
        <v>74</v>
      </c>
      <c r="BE125" t="s">
        <v>4006</v>
      </c>
      <c r="BF125" t="str">
        <f>HYPERLINK("http://dx.doi.org/10.1007/s11284-014-1240-4","http://dx.doi.org/10.1007/s11284-014-1240-4")</f>
        <v>http://dx.doi.org/10.1007/s11284-014-1240-4</v>
      </c>
      <c r="BG125" t="s">
        <v>74</v>
      </c>
      <c r="BH125" t="s">
        <v>74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 t="s">
        <v>74</v>
      </c>
      <c r="BR125" t="s">
        <v>74</v>
      </c>
      <c r="BS125" t="s">
        <v>4007</v>
      </c>
      <c r="BT125" t="str">
        <f>HYPERLINK("https%3A%2F%2Fwww.webofscience.com%2Fwos%2Fwoscc%2Ffull-record%2FWOS:000354817700005","View Full Record in Web of Science")</f>
        <v>View Full Record in Web of Science</v>
      </c>
    </row>
    <row r="126" spans="1:72" x14ac:dyDescent="0.2">
      <c r="A126" t="s">
        <v>72</v>
      </c>
      <c r="B126" t="s">
        <v>4085</v>
      </c>
      <c r="C126" t="s">
        <v>74</v>
      </c>
      <c r="D126" t="s">
        <v>74</v>
      </c>
      <c r="E126" t="s">
        <v>74</v>
      </c>
      <c r="F126" t="s">
        <v>4086</v>
      </c>
      <c r="G126" t="s">
        <v>74</v>
      </c>
      <c r="H126" t="s">
        <v>74</v>
      </c>
      <c r="I126" t="s">
        <v>4087</v>
      </c>
      <c r="J126" t="s">
        <v>124</v>
      </c>
      <c r="K126" t="s">
        <v>74</v>
      </c>
      <c r="L126" t="s">
        <v>74</v>
      </c>
      <c r="M126" t="s">
        <v>74</v>
      </c>
      <c r="N126" t="s">
        <v>74</v>
      </c>
      <c r="O126" t="s">
        <v>74</v>
      </c>
      <c r="P126" t="s">
        <v>74</v>
      </c>
      <c r="Q126" t="s">
        <v>74</v>
      </c>
      <c r="R126" t="s">
        <v>74</v>
      </c>
      <c r="S126" t="s">
        <v>74</v>
      </c>
      <c r="T126" t="s">
        <v>74</v>
      </c>
      <c r="U126" t="s">
        <v>74</v>
      </c>
      <c r="V126" t="s">
        <v>74</v>
      </c>
      <c r="W126" t="s">
        <v>74</v>
      </c>
      <c r="X126" t="s">
        <v>74</v>
      </c>
      <c r="Y126" t="s">
        <v>74</v>
      </c>
      <c r="Z126" t="s">
        <v>74</v>
      </c>
      <c r="AA126" t="s">
        <v>7079</v>
      </c>
      <c r="AB126" t="s">
        <v>7080</v>
      </c>
      <c r="AC126" t="s">
        <v>74</v>
      </c>
      <c r="AD126" t="s">
        <v>74</v>
      </c>
      <c r="AE126" t="s">
        <v>74</v>
      </c>
      <c r="AF126" t="s">
        <v>74</v>
      </c>
      <c r="AG126" t="s">
        <v>74</v>
      </c>
      <c r="AH126" t="s">
        <v>74</v>
      </c>
      <c r="AI126" t="s">
        <v>74</v>
      </c>
      <c r="AJ126" t="s">
        <v>74</v>
      </c>
      <c r="AK126" t="s">
        <v>74</v>
      </c>
      <c r="AL126" t="s">
        <v>74</v>
      </c>
      <c r="AM126" t="s">
        <v>74</v>
      </c>
      <c r="AN126" t="s">
        <v>74</v>
      </c>
      <c r="AO126" t="s">
        <v>127</v>
      </c>
      <c r="AP126" t="s">
        <v>128</v>
      </c>
      <c r="AQ126" t="s">
        <v>74</v>
      </c>
      <c r="AR126" t="s">
        <v>74</v>
      </c>
      <c r="AS126" t="s">
        <v>74</v>
      </c>
      <c r="AT126" t="s">
        <v>315</v>
      </c>
      <c r="AU126">
        <v>2015</v>
      </c>
      <c r="AV126">
        <v>743</v>
      </c>
      <c r="AW126">
        <v>1</v>
      </c>
      <c r="AX126" t="s">
        <v>74</v>
      </c>
      <c r="AY126" t="s">
        <v>74</v>
      </c>
      <c r="AZ126" t="s">
        <v>74</v>
      </c>
      <c r="BA126" t="s">
        <v>74</v>
      </c>
      <c r="BB126">
        <v>27</v>
      </c>
      <c r="BC126">
        <v>35</v>
      </c>
      <c r="BD126" t="s">
        <v>74</v>
      </c>
      <c r="BE126" t="s">
        <v>4088</v>
      </c>
      <c r="BF126" t="str">
        <f>HYPERLINK("http://dx.doi.org/10.1007/s10750-014-2000-8","http://dx.doi.org/10.1007/s10750-014-2000-8")</f>
        <v>http://dx.doi.org/10.1007/s10750-014-2000-8</v>
      </c>
      <c r="BG126" t="s">
        <v>74</v>
      </c>
      <c r="BH126" t="s">
        <v>74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 t="s">
        <v>74</v>
      </c>
      <c r="BR126" t="s">
        <v>74</v>
      </c>
      <c r="BS126" t="s">
        <v>4089</v>
      </c>
      <c r="BT126" t="str">
        <f>HYPERLINK("https%3A%2F%2Fwww.webofscience.com%2Fwos%2Fwoscc%2Ffull-record%2FWOS:000345036000003","View Full Record in Web of Science")</f>
        <v>View Full Record in Web of Science</v>
      </c>
    </row>
    <row r="127" spans="1:72" x14ac:dyDescent="0.2">
      <c r="A127" t="s">
        <v>72</v>
      </c>
      <c r="B127" t="s">
        <v>4090</v>
      </c>
      <c r="C127" t="s">
        <v>74</v>
      </c>
      <c r="D127" t="s">
        <v>74</v>
      </c>
      <c r="E127" t="s">
        <v>74</v>
      </c>
      <c r="F127" t="s">
        <v>4091</v>
      </c>
      <c r="G127" t="s">
        <v>74</v>
      </c>
      <c r="H127" t="s">
        <v>74</v>
      </c>
      <c r="I127" t="s">
        <v>4092</v>
      </c>
      <c r="J127" t="s">
        <v>106</v>
      </c>
      <c r="K127" t="s">
        <v>74</v>
      </c>
      <c r="L127" t="s">
        <v>74</v>
      </c>
      <c r="M127" t="s">
        <v>74</v>
      </c>
      <c r="N127" t="s">
        <v>74</v>
      </c>
      <c r="O127" t="s">
        <v>74</v>
      </c>
      <c r="P127" t="s">
        <v>74</v>
      </c>
      <c r="Q127" t="s">
        <v>74</v>
      </c>
      <c r="R127" t="s">
        <v>74</v>
      </c>
      <c r="S127" t="s">
        <v>74</v>
      </c>
      <c r="T127" t="s">
        <v>74</v>
      </c>
      <c r="U127" t="s">
        <v>74</v>
      </c>
      <c r="V127" t="s">
        <v>74</v>
      </c>
      <c r="W127" t="s">
        <v>74</v>
      </c>
      <c r="X127" t="s">
        <v>74</v>
      </c>
      <c r="Y127" t="s">
        <v>74</v>
      </c>
      <c r="Z127" t="s">
        <v>74</v>
      </c>
      <c r="AA127" t="s">
        <v>74</v>
      </c>
      <c r="AB127" t="s">
        <v>4093</v>
      </c>
      <c r="AC127" t="s">
        <v>74</v>
      </c>
      <c r="AD127" t="s">
        <v>74</v>
      </c>
      <c r="AE127" t="s">
        <v>74</v>
      </c>
      <c r="AF127" t="s">
        <v>74</v>
      </c>
      <c r="AG127" t="s">
        <v>74</v>
      </c>
      <c r="AH127" t="s">
        <v>74</v>
      </c>
      <c r="AI127" t="s">
        <v>74</v>
      </c>
      <c r="AJ127" t="s">
        <v>74</v>
      </c>
      <c r="AK127" t="s">
        <v>74</v>
      </c>
      <c r="AL127" t="s">
        <v>74</v>
      </c>
      <c r="AM127" t="s">
        <v>74</v>
      </c>
      <c r="AN127" t="s">
        <v>74</v>
      </c>
      <c r="AO127" t="s">
        <v>107</v>
      </c>
      <c r="AP127" t="s">
        <v>108</v>
      </c>
      <c r="AQ127" t="s">
        <v>74</v>
      </c>
      <c r="AR127" t="s">
        <v>74</v>
      </c>
      <c r="AS127" t="s">
        <v>74</v>
      </c>
      <c r="AT127" t="s">
        <v>3834</v>
      </c>
      <c r="AU127">
        <v>2015</v>
      </c>
      <c r="AV127">
        <v>37</v>
      </c>
      <c r="AW127">
        <v>1</v>
      </c>
      <c r="AX127" t="s">
        <v>74</v>
      </c>
      <c r="AY127" t="s">
        <v>74</v>
      </c>
      <c r="AZ127" t="s">
        <v>74</v>
      </c>
      <c r="BA127" t="s">
        <v>74</v>
      </c>
      <c r="BB127">
        <v>248</v>
      </c>
      <c r="BC127">
        <v>257</v>
      </c>
      <c r="BD127" t="s">
        <v>74</v>
      </c>
      <c r="BE127" t="s">
        <v>4094</v>
      </c>
      <c r="BF127" t="str">
        <f>HYPERLINK("http://dx.doi.org/10.1093/plankt/fbu096","http://dx.doi.org/10.1093/plankt/fbu096")</f>
        <v>http://dx.doi.org/10.1093/plankt/fbu096</v>
      </c>
      <c r="BG127" t="s">
        <v>74</v>
      </c>
      <c r="BH127" t="s">
        <v>74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 t="s">
        <v>74</v>
      </c>
      <c r="BO127" t="s">
        <v>74</v>
      </c>
      <c r="BP127" t="s">
        <v>74</v>
      </c>
      <c r="BQ127" t="s">
        <v>74</v>
      </c>
      <c r="BR127" t="s">
        <v>74</v>
      </c>
      <c r="BS127" t="s">
        <v>4095</v>
      </c>
      <c r="BT127" t="str">
        <f>HYPERLINK("https%3A%2F%2Fwww.webofscience.com%2Fwos%2Fwoscc%2Ffull-record%2FWOS:000350124100023","View Full Record in Web of Science")</f>
        <v>View Full Record in Web of Science</v>
      </c>
    </row>
    <row r="128" spans="1:72" x14ac:dyDescent="0.2">
      <c r="A128" t="s">
        <v>72</v>
      </c>
      <c r="B128" t="s">
        <v>4108</v>
      </c>
      <c r="C128" t="s">
        <v>74</v>
      </c>
      <c r="D128" t="s">
        <v>74</v>
      </c>
      <c r="E128" t="s">
        <v>74</v>
      </c>
      <c r="F128" t="s">
        <v>4109</v>
      </c>
      <c r="G128" t="s">
        <v>74</v>
      </c>
      <c r="H128" t="s">
        <v>74</v>
      </c>
      <c r="I128" t="s">
        <v>4110</v>
      </c>
      <c r="J128" t="s">
        <v>2769</v>
      </c>
      <c r="K128" t="s">
        <v>74</v>
      </c>
      <c r="L128" t="s">
        <v>74</v>
      </c>
      <c r="M128" t="s">
        <v>74</v>
      </c>
      <c r="N128" t="s">
        <v>74</v>
      </c>
      <c r="O128" t="s">
        <v>74</v>
      </c>
      <c r="P128" t="s">
        <v>74</v>
      </c>
      <c r="Q128" t="s">
        <v>74</v>
      </c>
      <c r="R128" t="s">
        <v>74</v>
      </c>
      <c r="S128" t="s">
        <v>74</v>
      </c>
      <c r="T128" t="s">
        <v>74</v>
      </c>
      <c r="U128" t="s">
        <v>74</v>
      </c>
      <c r="V128" t="s">
        <v>74</v>
      </c>
      <c r="W128" t="s">
        <v>74</v>
      </c>
      <c r="X128" t="s">
        <v>74</v>
      </c>
      <c r="Y128" t="s">
        <v>74</v>
      </c>
      <c r="Z128" t="s">
        <v>74</v>
      </c>
      <c r="AA128" t="s">
        <v>7083</v>
      </c>
      <c r="AB128" t="s">
        <v>7084</v>
      </c>
      <c r="AC128" t="s">
        <v>74</v>
      </c>
      <c r="AD128" t="s">
        <v>74</v>
      </c>
      <c r="AE128" t="s">
        <v>74</v>
      </c>
      <c r="AF128" t="s">
        <v>74</v>
      </c>
      <c r="AG128" t="s">
        <v>74</v>
      </c>
      <c r="AH128" t="s">
        <v>74</v>
      </c>
      <c r="AI128" t="s">
        <v>74</v>
      </c>
      <c r="AJ128" t="s">
        <v>74</v>
      </c>
      <c r="AK128" t="s">
        <v>74</v>
      </c>
      <c r="AL128" t="s">
        <v>74</v>
      </c>
      <c r="AM128" t="s">
        <v>74</v>
      </c>
      <c r="AN128" t="s">
        <v>74</v>
      </c>
      <c r="AO128" t="s">
        <v>2772</v>
      </c>
      <c r="AP128" t="s">
        <v>2773</v>
      </c>
      <c r="AQ128" t="s">
        <v>74</v>
      </c>
      <c r="AR128" t="s">
        <v>74</v>
      </c>
      <c r="AS128" t="s">
        <v>74</v>
      </c>
      <c r="AT128" t="s">
        <v>74</v>
      </c>
      <c r="AU128">
        <v>2015</v>
      </c>
      <c r="AV128">
        <v>75</v>
      </c>
      <c r="AW128">
        <v>1</v>
      </c>
      <c r="AX128" t="s">
        <v>74</v>
      </c>
      <c r="AY128" t="s">
        <v>74</v>
      </c>
      <c r="AZ128" t="s">
        <v>74</v>
      </c>
      <c r="BA128" t="s">
        <v>74</v>
      </c>
      <c r="BB128">
        <v>69</v>
      </c>
      <c r="BC128">
        <v>79</v>
      </c>
      <c r="BD128" t="s">
        <v>74</v>
      </c>
      <c r="BE128" t="s">
        <v>4111</v>
      </c>
      <c r="BF128" t="str">
        <f>HYPERLINK("http://dx.doi.org/10.3354/ame01749","http://dx.doi.org/10.3354/ame01749")</f>
        <v>http://dx.doi.org/10.3354/ame01749</v>
      </c>
      <c r="BG128" t="s">
        <v>74</v>
      </c>
      <c r="BH128" t="s">
        <v>74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 t="s">
        <v>74</v>
      </c>
      <c r="BR128" t="s">
        <v>74</v>
      </c>
      <c r="BS128" t="s">
        <v>4112</v>
      </c>
      <c r="BT128" t="str">
        <f>HYPERLINK("https%3A%2F%2Fwww.webofscience.com%2Fwos%2Fwoscc%2Ffull-record%2FWOS:000354392600006","View Full Record in Web of Science")</f>
        <v>View Full Record in Web of Science</v>
      </c>
    </row>
    <row r="129" spans="1:72" x14ac:dyDescent="0.2">
      <c r="A129" t="s">
        <v>72</v>
      </c>
      <c r="B129" t="s">
        <v>4156</v>
      </c>
      <c r="C129" t="s">
        <v>74</v>
      </c>
      <c r="D129" t="s">
        <v>74</v>
      </c>
      <c r="E129" t="s">
        <v>74</v>
      </c>
      <c r="F129" t="s">
        <v>4157</v>
      </c>
      <c r="G129" t="s">
        <v>74</v>
      </c>
      <c r="H129" t="s">
        <v>74</v>
      </c>
      <c r="I129" t="s">
        <v>4158</v>
      </c>
      <c r="J129" t="s">
        <v>1063</v>
      </c>
      <c r="K129" t="s">
        <v>74</v>
      </c>
      <c r="L129" t="s">
        <v>74</v>
      </c>
      <c r="M129" t="s">
        <v>74</v>
      </c>
      <c r="N129" t="s">
        <v>74</v>
      </c>
      <c r="O129" t="s">
        <v>74</v>
      </c>
      <c r="P129" t="s">
        <v>74</v>
      </c>
      <c r="Q129" t="s">
        <v>74</v>
      </c>
      <c r="R129" t="s">
        <v>74</v>
      </c>
      <c r="S129" t="s">
        <v>74</v>
      </c>
      <c r="T129" t="s">
        <v>74</v>
      </c>
      <c r="U129" t="s">
        <v>74</v>
      </c>
      <c r="V129" t="s">
        <v>74</v>
      </c>
      <c r="W129" t="s">
        <v>74</v>
      </c>
      <c r="X129" t="s">
        <v>74</v>
      </c>
      <c r="Y129" t="s">
        <v>74</v>
      </c>
      <c r="Z129" t="s">
        <v>74</v>
      </c>
      <c r="AA129" t="s">
        <v>4159</v>
      </c>
      <c r="AB129" t="s">
        <v>4160</v>
      </c>
      <c r="AC129" t="s">
        <v>74</v>
      </c>
      <c r="AD129" t="s">
        <v>74</v>
      </c>
      <c r="AE129" t="s">
        <v>74</v>
      </c>
      <c r="AF129" t="s">
        <v>74</v>
      </c>
      <c r="AG129" t="s">
        <v>74</v>
      </c>
      <c r="AH129" t="s">
        <v>74</v>
      </c>
      <c r="AI129" t="s">
        <v>74</v>
      </c>
      <c r="AJ129" t="s">
        <v>74</v>
      </c>
      <c r="AK129" t="s">
        <v>74</v>
      </c>
      <c r="AL129" t="s">
        <v>74</v>
      </c>
      <c r="AM129" t="s">
        <v>74</v>
      </c>
      <c r="AN129" t="s">
        <v>74</v>
      </c>
      <c r="AO129" t="s">
        <v>1065</v>
      </c>
      <c r="AP129" t="s">
        <v>1066</v>
      </c>
      <c r="AQ129" t="s">
        <v>74</v>
      </c>
      <c r="AR129" t="s">
        <v>74</v>
      </c>
      <c r="AS129" t="s">
        <v>74</v>
      </c>
      <c r="AT129" t="s">
        <v>569</v>
      </c>
      <c r="AU129">
        <v>2014</v>
      </c>
      <c r="AV129">
        <v>104</v>
      </c>
      <c r="AW129" t="s">
        <v>74</v>
      </c>
      <c r="AX129" t="s">
        <v>74</v>
      </c>
      <c r="AY129" t="s">
        <v>74</v>
      </c>
      <c r="AZ129" t="s">
        <v>74</v>
      </c>
      <c r="BA129" t="s">
        <v>74</v>
      </c>
      <c r="BB129">
        <v>212</v>
      </c>
      <c r="BC129">
        <v>220</v>
      </c>
      <c r="BD129" t="s">
        <v>74</v>
      </c>
      <c r="BE129" t="s">
        <v>4161</v>
      </c>
      <c r="BF129" t="str">
        <f>HYPERLINK("http://dx.doi.org/10.1016/j.chemosphere.2013.11.029","http://dx.doi.org/10.1016/j.chemosphere.2013.11.029")</f>
        <v>http://dx.doi.org/10.1016/j.chemosphere.2013.11.029</v>
      </c>
      <c r="BG129" t="s">
        <v>74</v>
      </c>
      <c r="BH129" t="s">
        <v>74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>
        <v>24332729</v>
      </c>
      <c r="BO129" t="s">
        <v>74</v>
      </c>
      <c r="BP129" t="s">
        <v>74</v>
      </c>
      <c r="BQ129" t="s">
        <v>74</v>
      </c>
      <c r="BR129" t="s">
        <v>74</v>
      </c>
      <c r="BS129" t="s">
        <v>4162</v>
      </c>
      <c r="BT129" t="str">
        <f>HYPERLINK("https%3A%2F%2Fwww.webofscience.com%2Fwos%2Fwoscc%2Ffull-record%2FWOS:000334084500031","View Full Record in Web of Science")</f>
        <v>View Full Record in Web of Science</v>
      </c>
    </row>
    <row r="130" spans="1:72" x14ac:dyDescent="0.2">
      <c r="A130" t="s">
        <v>72</v>
      </c>
      <c r="B130" t="s">
        <v>4163</v>
      </c>
      <c r="C130" t="s">
        <v>74</v>
      </c>
      <c r="D130" t="s">
        <v>74</v>
      </c>
      <c r="E130" t="s">
        <v>74</v>
      </c>
      <c r="F130" t="s">
        <v>4164</v>
      </c>
      <c r="G130" t="s">
        <v>74</v>
      </c>
      <c r="H130" t="s">
        <v>74</v>
      </c>
      <c r="I130" t="s">
        <v>4165</v>
      </c>
      <c r="J130" t="s">
        <v>1532</v>
      </c>
      <c r="K130" t="s">
        <v>74</v>
      </c>
      <c r="L130" t="s">
        <v>74</v>
      </c>
      <c r="M130" t="s">
        <v>74</v>
      </c>
      <c r="N130" t="s">
        <v>74</v>
      </c>
      <c r="O130" t="s">
        <v>74</v>
      </c>
      <c r="P130" t="s">
        <v>74</v>
      </c>
      <c r="Q130" t="s">
        <v>74</v>
      </c>
      <c r="R130" t="s">
        <v>74</v>
      </c>
      <c r="S130" t="s">
        <v>74</v>
      </c>
      <c r="T130" t="s">
        <v>74</v>
      </c>
      <c r="U130" t="s">
        <v>74</v>
      </c>
      <c r="V130" t="s">
        <v>74</v>
      </c>
      <c r="W130" t="s">
        <v>74</v>
      </c>
      <c r="X130" t="s">
        <v>74</v>
      </c>
      <c r="Y130" t="s">
        <v>74</v>
      </c>
      <c r="Z130" t="s">
        <v>74</v>
      </c>
      <c r="AA130" t="s">
        <v>4166</v>
      </c>
      <c r="AB130" t="s">
        <v>4167</v>
      </c>
      <c r="AC130" t="s">
        <v>74</v>
      </c>
      <c r="AD130" t="s">
        <v>74</v>
      </c>
      <c r="AE130" t="s">
        <v>74</v>
      </c>
      <c r="AF130" t="s">
        <v>74</v>
      </c>
      <c r="AG130" t="s">
        <v>74</v>
      </c>
      <c r="AH130" t="s">
        <v>74</v>
      </c>
      <c r="AI130" t="s">
        <v>74</v>
      </c>
      <c r="AJ130" t="s">
        <v>74</v>
      </c>
      <c r="AK130" t="s">
        <v>74</v>
      </c>
      <c r="AL130" t="s">
        <v>74</v>
      </c>
      <c r="AM130" t="s">
        <v>74</v>
      </c>
      <c r="AN130" t="s">
        <v>74</v>
      </c>
      <c r="AO130" t="s">
        <v>1535</v>
      </c>
      <c r="AP130" t="s">
        <v>1536</v>
      </c>
      <c r="AQ130" t="s">
        <v>74</v>
      </c>
      <c r="AR130" t="s">
        <v>74</v>
      </c>
      <c r="AS130" t="s">
        <v>74</v>
      </c>
      <c r="AT130" t="s">
        <v>569</v>
      </c>
      <c r="AU130">
        <v>2014</v>
      </c>
      <c r="AV130">
        <v>99</v>
      </c>
      <c r="AW130">
        <v>3</v>
      </c>
      <c r="AX130" t="s">
        <v>74</v>
      </c>
      <c r="AY130" t="s">
        <v>74</v>
      </c>
      <c r="AZ130" t="s">
        <v>74</v>
      </c>
      <c r="BA130" t="s">
        <v>74</v>
      </c>
      <c r="BB130">
        <v>212</v>
      </c>
      <c r="BC130">
        <v>221</v>
      </c>
      <c r="BD130" t="s">
        <v>74</v>
      </c>
      <c r="BE130" t="s">
        <v>4168</v>
      </c>
      <c r="BF130" t="str">
        <f>HYPERLINK("http://dx.doi.org/10.1002/iroh.201301644","http://dx.doi.org/10.1002/iroh.201301644")</f>
        <v>http://dx.doi.org/10.1002/iroh.201301644</v>
      </c>
      <c r="BG130" t="s">
        <v>74</v>
      </c>
      <c r="BH130" t="s">
        <v>74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 t="s">
        <v>74</v>
      </c>
      <c r="BO130" t="s">
        <v>74</v>
      </c>
      <c r="BP130" t="s">
        <v>74</v>
      </c>
      <c r="BQ130" t="s">
        <v>74</v>
      </c>
      <c r="BR130" t="s">
        <v>74</v>
      </c>
      <c r="BS130" t="s">
        <v>4169</v>
      </c>
      <c r="BT130" t="str">
        <f>HYPERLINK("https%3A%2F%2Fwww.webofscience.com%2Fwos%2Fwoscc%2Ffull-record%2FWOS:000337684700002","View Full Record in Web of Science")</f>
        <v>View Full Record in Web of Science</v>
      </c>
    </row>
    <row r="131" spans="1:72" x14ac:dyDescent="0.2">
      <c r="A131" t="s">
        <v>72</v>
      </c>
      <c r="B131" t="s">
        <v>4170</v>
      </c>
      <c r="C131" t="s">
        <v>74</v>
      </c>
      <c r="D131" t="s">
        <v>74</v>
      </c>
      <c r="E131" t="s">
        <v>74</v>
      </c>
      <c r="F131" t="s">
        <v>4171</v>
      </c>
      <c r="G131" t="s">
        <v>74</v>
      </c>
      <c r="H131" t="s">
        <v>74</v>
      </c>
      <c r="I131" t="s">
        <v>4172</v>
      </c>
      <c r="J131" t="s">
        <v>190</v>
      </c>
      <c r="K131" t="s">
        <v>74</v>
      </c>
      <c r="L131" t="s">
        <v>74</v>
      </c>
      <c r="M131" t="s">
        <v>74</v>
      </c>
      <c r="N131" t="s">
        <v>74</v>
      </c>
      <c r="O131" t="s">
        <v>74</v>
      </c>
      <c r="P131" t="s">
        <v>74</v>
      </c>
      <c r="Q131" t="s">
        <v>74</v>
      </c>
      <c r="R131" t="s">
        <v>74</v>
      </c>
      <c r="S131" t="s">
        <v>74</v>
      </c>
      <c r="T131" t="s">
        <v>74</v>
      </c>
      <c r="U131" t="s">
        <v>74</v>
      </c>
      <c r="V131" t="s">
        <v>74</v>
      </c>
      <c r="W131" t="s">
        <v>74</v>
      </c>
      <c r="X131" t="s">
        <v>74</v>
      </c>
      <c r="Y131" t="s">
        <v>74</v>
      </c>
      <c r="Z131" t="s">
        <v>74</v>
      </c>
      <c r="AA131" t="s">
        <v>4173</v>
      </c>
      <c r="AB131" t="s">
        <v>4174</v>
      </c>
      <c r="AC131" t="s">
        <v>74</v>
      </c>
      <c r="AD131" t="s">
        <v>74</v>
      </c>
      <c r="AE131" t="s">
        <v>74</v>
      </c>
      <c r="AF131" t="s">
        <v>74</v>
      </c>
      <c r="AG131" t="s">
        <v>74</v>
      </c>
      <c r="AH131" t="s">
        <v>74</v>
      </c>
      <c r="AI131" t="s">
        <v>74</v>
      </c>
      <c r="AJ131" t="s">
        <v>74</v>
      </c>
      <c r="AK131" t="s">
        <v>74</v>
      </c>
      <c r="AL131" t="s">
        <v>74</v>
      </c>
      <c r="AM131" t="s">
        <v>74</v>
      </c>
      <c r="AN131" t="s">
        <v>74</v>
      </c>
      <c r="AO131" t="s">
        <v>191</v>
      </c>
      <c r="AP131" t="s">
        <v>74</v>
      </c>
      <c r="AQ131" t="s">
        <v>74</v>
      </c>
      <c r="AR131" t="s">
        <v>74</v>
      </c>
      <c r="AS131" t="s">
        <v>74</v>
      </c>
      <c r="AT131" t="s">
        <v>4175</v>
      </c>
      <c r="AU131">
        <v>2014</v>
      </c>
      <c r="AV131">
        <v>5</v>
      </c>
      <c r="AW131" t="s">
        <v>74</v>
      </c>
      <c r="AX131" t="s">
        <v>74</v>
      </c>
      <c r="AY131" t="s">
        <v>74</v>
      </c>
      <c r="AZ131" t="s">
        <v>74</v>
      </c>
      <c r="BA131" t="s">
        <v>74</v>
      </c>
      <c r="BB131" t="s">
        <v>74</v>
      </c>
      <c r="BC131" t="s">
        <v>74</v>
      </c>
      <c r="BD131">
        <v>229</v>
      </c>
      <c r="BE131" t="s">
        <v>4176</v>
      </c>
      <c r="BF131" t="str">
        <f>HYPERLINK("http://dx.doi.org/10.3389/fmicb.2014.00229","http://dx.doi.org/10.3389/fmicb.2014.00229")</f>
        <v>http://dx.doi.org/10.3389/fmicb.2014.00229</v>
      </c>
      <c r="BG131" t="s">
        <v>74</v>
      </c>
      <c r="BH131" t="s">
        <v>74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>
        <v>24904543</v>
      </c>
      <c r="BO131" t="s">
        <v>74</v>
      </c>
      <c r="BP131" t="s">
        <v>74</v>
      </c>
      <c r="BQ131" t="s">
        <v>74</v>
      </c>
      <c r="BR131" t="s">
        <v>74</v>
      </c>
      <c r="BS131" t="s">
        <v>4177</v>
      </c>
      <c r="BT131" t="str">
        <f>HYPERLINK("https%3A%2F%2Fwww.webofscience.com%2Fwos%2Fwoscc%2Ffull-record%2FWOS:000336656400001","View Full Record in Web of Science")</f>
        <v>View Full Record in Web of Science</v>
      </c>
    </row>
    <row r="132" spans="1:72" x14ac:dyDescent="0.2">
      <c r="A132" t="s">
        <v>72</v>
      </c>
      <c r="B132" t="s">
        <v>4192</v>
      </c>
      <c r="C132" t="s">
        <v>74</v>
      </c>
      <c r="D132" t="s">
        <v>74</v>
      </c>
      <c r="E132" t="s">
        <v>74</v>
      </c>
      <c r="F132" t="s">
        <v>4193</v>
      </c>
      <c r="G132" t="s">
        <v>74</v>
      </c>
      <c r="H132" t="s">
        <v>74</v>
      </c>
      <c r="I132" t="s">
        <v>4194</v>
      </c>
      <c r="J132" t="s">
        <v>1523</v>
      </c>
      <c r="K132" t="s">
        <v>74</v>
      </c>
      <c r="L132" t="s">
        <v>74</v>
      </c>
      <c r="M132" t="s">
        <v>74</v>
      </c>
      <c r="N132" t="s">
        <v>74</v>
      </c>
      <c r="O132" t="s">
        <v>74</v>
      </c>
      <c r="P132" t="s">
        <v>74</v>
      </c>
      <c r="Q132" t="s">
        <v>74</v>
      </c>
      <c r="R132" t="s">
        <v>74</v>
      </c>
      <c r="S132" t="s">
        <v>74</v>
      </c>
      <c r="T132" t="s">
        <v>74</v>
      </c>
      <c r="U132" t="s">
        <v>74</v>
      </c>
      <c r="V132" t="s">
        <v>74</v>
      </c>
      <c r="W132" t="s">
        <v>74</v>
      </c>
      <c r="X132" t="s">
        <v>74</v>
      </c>
      <c r="Y132" t="s">
        <v>74</v>
      </c>
      <c r="Z132" t="s">
        <v>74</v>
      </c>
      <c r="AA132" t="s">
        <v>7089</v>
      </c>
      <c r="AB132" t="s">
        <v>7090</v>
      </c>
      <c r="AC132" t="s">
        <v>74</v>
      </c>
      <c r="AD132" t="s">
        <v>74</v>
      </c>
      <c r="AE132" t="s">
        <v>74</v>
      </c>
      <c r="AF132" t="s">
        <v>74</v>
      </c>
      <c r="AG132" t="s">
        <v>74</v>
      </c>
      <c r="AH132" t="s">
        <v>74</v>
      </c>
      <c r="AI132" t="s">
        <v>74</v>
      </c>
      <c r="AJ132" t="s">
        <v>74</v>
      </c>
      <c r="AK132" t="s">
        <v>74</v>
      </c>
      <c r="AL132" t="s">
        <v>74</v>
      </c>
      <c r="AM132" t="s">
        <v>74</v>
      </c>
      <c r="AN132" t="s">
        <v>74</v>
      </c>
      <c r="AO132" t="s">
        <v>1524</v>
      </c>
      <c r="AP132" t="s">
        <v>1525</v>
      </c>
      <c r="AQ132" t="s">
        <v>74</v>
      </c>
      <c r="AR132" t="s">
        <v>74</v>
      </c>
      <c r="AS132" t="s">
        <v>74</v>
      </c>
      <c r="AT132" t="s">
        <v>203</v>
      </c>
      <c r="AU132">
        <v>2014</v>
      </c>
      <c r="AV132">
        <v>95</v>
      </c>
      <c r="AW132">
        <v>4</v>
      </c>
      <c r="AX132" t="s">
        <v>74</v>
      </c>
      <c r="AY132" t="s">
        <v>74</v>
      </c>
      <c r="AZ132" t="s">
        <v>74</v>
      </c>
      <c r="BA132" t="s">
        <v>74</v>
      </c>
      <c r="BB132">
        <v>897</v>
      </c>
      <c r="BC132">
        <v>909</v>
      </c>
      <c r="BD132" t="s">
        <v>74</v>
      </c>
      <c r="BE132" t="s">
        <v>4195</v>
      </c>
      <c r="BF132" t="str">
        <f>HYPERLINK("http://dx.doi.org/10.1890/13-0742.1","http://dx.doi.org/10.1890/13-0742.1")</f>
        <v>http://dx.doi.org/10.1890/13-0742.1</v>
      </c>
      <c r="BG132" t="s">
        <v>74</v>
      </c>
      <c r="BH132" t="s">
        <v>74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>
        <v>24933809</v>
      </c>
      <c r="BO132" t="s">
        <v>74</v>
      </c>
      <c r="BP132" t="s">
        <v>74</v>
      </c>
      <c r="BQ132" t="s">
        <v>74</v>
      </c>
      <c r="BR132" t="s">
        <v>74</v>
      </c>
      <c r="BS132" t="s">
        <v>4196</v>
      </c>
      <c r="BT132" t="str">
        <f>HYPERLINK("https%3A%2F%2Fwww.webofscience.com%2Fwos%2Fwoscc%2Ffull-record%2FWOS:000334573600010","View Full Record in Web of Science")</f>
        <v>View Full Record in Web of Science</v>
      </c>
    </row>
    <row r="133" spans="1:72" x14ac:dyDescent="0.2">
      <c r="A133" t="s">
        <v>72</v>
      </c>
      <c r="B133" t="s">
        <v>4197</v>
      </c>
      <c r="C133" t="s">
        <v>74</v>
      </c>
      <c r="D133" t="s">
        <v>74</v>
      </c>
      <c r="E133" t="s">
        <v>74</v>
      </c>
      <c r="F133" t="s">
        <v>4198</v>
      </c>
      <c r="G133" t="s">
        <v>74</v>
      </c>
      <c r="H133" t="s">
        <v>74</v>
      </c>
      <c r="I133" t="s">
        <v>4199</v>
      </c>
      <c r="J133" t="s">
        <v>106</v>
      </c>
      <c r="K133" t="s">
        <v>74</v>
      </c>
      <c r="L133" t="s">
        <v>74</v>
      </c>
      <c r="M133" t="s">
        <v>74</v>
      </c>
      <c r="N133" t="s">
        <v>74</v>
      </c>
      <c r="O133" t="s">
        <v>74</v>
      </c>
      <c r="P133" t="s">
        <v>74</v>
      </c>
      <c r="Q133" t="s">
        <v>74</v>
      </c>
      <c r="R133" t="s">
        <v>74</v>
      </c>
      <c r="S133" t="s">
        <v>74</v>
      </c>
      <c r="T133" t="s">
        <v>74</v>
      </c>
      <c r="U133" t="s">
        <v>74</v>
      </c>
      <c r="V133" t="s">
        <v>74</v>
      </c>
      <c r="W133" t="s">
        <v>74</v>
      </c>
      <c r="X133" t="s">
        <v>74</v>
      </c>
      <c r="Y133" t="s">
        <v>74</v>
      </c>
      <c r="Z133" t="s">
        <v>74</v>
      </c>
      <c r="AA133" t="s">
        <v>4200</v>
      </c>
      <c r="AB133" t="s">
        <v>4201</v>
      </c>
      <c r="AC133" t="s">
        <v>74</v>
      </c>
      <c r="AD133" t="s">
        <v>74</v>
      </c>
      <c r="AE133" t="s">
        <v>74</v>
      </c>
      <c r="AF133" t="s">
        <v>74</v>
      </c>
      <c r="AG133" t="s">
        <v>74</v>
      </c>
      <c r="AH133" t="s">
        <v>74</v>
      </c>
      <c r="AI133" t="s">
        <v>74</v>
      </c>
      <c r="AJ133" t="s">
        <v>74</v>
      </c>
      <c r="AK133" t="s">
        <v>74</v>
      </c>
      <c r="AL133" t="s">
        <v>74</v>
      </c>
      <c r="AM133" t="s">
        <v>74</v>
      </c>
      <c r="AN133" t="s">
        <v>74</v>
      </c>
      <c r="AO133" t="s">
        <v>107</v>
      </c>
      <c r="AP133" t="s">
        <v>108</v>
      </c>
      <c r="AQ133" t="s">
        <v>74</v>
      </c>
      <c r="AR133" t="s">
        <v>74</v>
      </c>
      <c r="AS133" t="s">
        <v>74</v>
      </c>
      <c r="AT133" t="s">
        <v>3094</v>
      </c>
      <c r="AU133">
        <v>2014</v>
      </c>
      <c r="AV133">
        <v>36</v>
      </c>
      <c r="AW133">
        <v>2</v>
      </c>
      <c r="AX133" t="s">
        <v>74</v>
      </c>
      <c r="AY133" t="s">
        <v>74</v>
      </c>
      <c r="AZ133" t="s">
        <v>74</v>
      </c>
      <c r="BA133" t="s">
        <v>74</v>
      </c>
      <c r="BB133">
        <v>364</v>
      </c>
      <c r="BC133">
        <v>377</v>
      </c>
      <c r="BD133" t="s">
        <v>74</v>
      </c>
      <c r="BE133" t="s">
        <v>4202</v>
      </c>
      <c r="BF133" t="str">
        <f>HYPERLINK("http://dx.doi.org/10.1093/plankt/fbt105","http://dx.doi.org/10.1093/plankt/fbt105")</f>
        <v>http://dx.doi.org/10.1093/plankt/fbt105</v>
      </c>
      <c r="BG133" t="s">
        <v>74</v>
      </c>
      <c r="BH133" t="s">
        <v>74</v>
      </c>
      <c r="BI133" t="s">
        <v>74</v>
      </c>
      <c r="BJ133" t="s">
        <v>74</v>
      </c>
      <c r="BK133" t="s">
        <v>74</v>
      </c>
      <c r="BL133" t="s">
        <v>74</v>
      </c>
      <c r="BM133" t="s">
        <v>74</v>
      </c>
      <c r="BN133" t="s">
        <v>74</v>
      </c>
      <c r="BO133" t="s">
        <v>74</v>
      </c>
      <c r="BP133" t="s">
        <v>74</v>
      </c>
      <c r="BQ133" t="s">
        <v>74</v>
      </c>
      <c r="BR133" t="s">
        <v>74</v>
      </c>
      <c r="BS133" t="s">
        <v>4203</v>
      </c>
      <c r="BT133" t="str">
        <f>HYPERLINK("https%3A%2F%2Fwww.webofscience.com%2Fwos%2Fwoscc%2Ffull-record%2FWOS:000336489800006","View Full Record in Web of Science")</f>
        <v>View Full Record in Web of Science</v>
      </c>
    </row>
    <row r="134" spans="1:72" x14ac:dyDescent="0.2">
      <c r="A134" t="s">
        <v>72</v>
      </c>
      <c r="B134" t="s">
        <v>4204</v>
      </c>
      <c r="C134" t="s">
        <v>74</v>
      </c>
      <c r="D134" t="s">
        <v>74</v>
      </c>
      <c r="E134" t="s">
        <v>74</v>
      </c>
      <c r="F134" t="s">
        <v>4205</v>
      </c>
      <c r="G134" t="s">
        <v>74</v>
      </c>
      <c r="H134" t="s">
        <v>74</v>
      </c>
      <c r="I134" t="s">
        <v>4206</v>
      </c>
      <c r="J134" t="s">
        <v>854</v>
      </c>
      <c r="K134" t="s">
        <v>74</v>
      </c>
      <c r="L134" t="s">
        <v>74</v>
      </c>
      <c r="M134" t="s">
        <v>74</v>
      </c>
      <c r="N134" t="s">
        <v>74</v>
      </c>
      <c r="O134" t="s">
        <v>74</v>
      </c>
      <c r="P134" t="s">
        <v>74</v>
      </c>
      <c r="Q134" t="s">
        <v>74</v>
      </c>
      <c r="R134" t="s">
        <v>74</v>
      </c>
      <c r="S134" t="s">
        <v>74</v>
      </c>
      <c r="T134" t="s">
        <v>74</v>
      </c>
      <c r="U134" t="s">
        <v>74</v>
      </c>
      <c r="V134" t="s">
        <v>74</v>
      </c>
      <c r="W134" t="s">
        <v>74</v>
      </c>
      <c r="X134" t="s">
        <v>74</v>
      </c>
      <c r="Y134" t="s">
        <v>74</v>
      </c>
      <c r="Z134" t="s">
        <v>74</v>
      </c>
      <c r="AA134" t="s">
        <v>4207</v>
      </c>
      <c r="AB134" t="s">
        <v>4208</v>
      </c>
      <c r="AC134" t="s">
        <v>74</v>
      </c>
      <c r="AD134" t="s">
        <v>74</v>
      </c>
      <c r="AE134" t="s">
        <v>74</v>
      </c>
      <c r="AF134" t="s">
        <v>74</v>
      </c>
      <c r="AG134" t="s">
        <v>74</v>
      </c>
      <c r="AH134" t="s">
        <v>74</v>
      </c>
      <c r="AI134" t="s">
        <v>74</v>
      </c>
      <c r="AJ134" t="s">
        <v>74</v>
      </c>
      <c r="AK134" t="s">
        <v>74</v>
      </c>
      <c r="AL134" t="s">
        <v>74</v>
      </c>
      <c r="AM134" t="s">
        <v>74</v>
      </c>
      <c r="AN134" t="s">
        <v>74</v>
      </c>
      <c r="AO134" t="s">
        <v>855</v>
      </c>
      <c r="AP134" t="s">
        <v>856</v>
      </c>
      <c r="AQ134" t="s">
        <v>74</v>
      </c>
      <c r="AR134" t="s">
        <v>74</v>
      </c>
      <c r="AS134" t="s">
        <v>74</v>
      </c>
      <c r="AT134" t="s">
        <v>157</v>
      </c>
      <c r="AU134">
        <v>2014</v>
      </c>
      <c r="AV134">
        <v>87</v>
      </c>
      <c r="AW134">
        <v>3</v>
      </c>
      <c r="AX134" t="s">
        <v>74</v>
      </c>
      <c r="AY134" t="s">
        <v>74</v>
      </c>
      <c r="AZ134" t="s">
        <v>74</v>
      </c>
      <c r="BA134" t="s">
        <v>74</v>
      </c>
      <c r="BB134">
        <v>557</v>
      </c>
      <c r="BC134">
        <v>567</v>
      </c>
      <c r="BD134" t="s">
        <v>74</v>
      </c>
      <c r="BE134" t="s">
        <v>4209</v>
      </c>
      <c r="BF134" t="str">
        <f>HYPERLINK("http://dx.doi.org/10.1111/1574-6941.12243","http://dx.doi.org/10.1111/1574-6941.12243")</f>
        <v>http://dx.doi.org/10.1111/1574-6941.12243</v>
      </c>
      <c r="BG134" t="s">
        <v>74</v>
      </c>
      <c r="BH134" t="s">
        <v>74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>
        <v>24329601</v>
      </c>
      <c r="BO134" t="s">
        <v>74</v>
      </c>
      <c r="BP134" t="s">
        <v>74</v>
      </c>
      <c r="BQ134" t="s">
        <v>74</v>
      </c>
      <c r="BR134" t="s">
        <v>74</v>
      </c>
      <c r="BS134" t="s">
        <v>4210</v>
      </c>
      <c r="BT134" t="str">
        <f>HYPERLINK("https%3A%2F%2Fwww.webofscience.com%2Fwos%2Fwoscc%2Ffull-record%2FWOS:000332207200001","View Full Record in Web of Science")</f>
        <v>View Full Record in Web of Science</v>
      </c>
    </row>
    <row r="135" spans="1:72" x14ac:dyDescent="0.2">
      <c r="A135" t="s">
        <v>72</v>
      </c>
      <c r="B135" t="s">
        <v>4211</v>
      </c>
      <c r="C135" t="s">
        <v>74</v>
      </c>
      <c r="D135" t="s">
        <v>74</v>
      </c>
      <c r="E135" t="s">
        <v>74</v>
      </c>
      <c r="F135" t="s">
        <v>4212</v>
      </c>
      <c r="G135" t="s">
        <v>74</v>
      </c>
      <c r="H135" t="s">
        <v>74</v>
      </c>
      <c r="I135" t="s">
        <v>4213</v>
      </c>
      <c r="J135" t="s">
        <v>1569</v>
      </c>
      <c r="K135" t="s">
        <v>74</v>
      </c>
      <c r="L135" t="s">
        <v>74</v>
      </c>
      <c r="M135" t="s">
        <v>74</v>
      </c>
      <c r="N135" t="s">
        <v>74</v>
      </c>
      <c r="O135" t="s">
        <v>74</v>
      </c>
      <c r="P135" t="s">
        <v>74</v>
      </c>
      <c r="Q135" t="s">
        <v>74</v>
      </c>
      <c r="R135" t="s">
        <v>74</v>
      </c>
      <c r="S135" t="s">
        <v>74</v>
      </c>
      <c r="T135" t="s">
        <v>74</v>
      </c>
      <c r="U135" t="s">
        <v>74</v>
      </c>
      <c r="V135" t="s">
        <v>74</v>
      </c>
      <c r="W135" t="s">
        <v>74</v>
      </c>
      <c r="X135" t="s">
        <v>74</v>
      </c>
      <c r="Y135" t="s">
        <v>74</v>
      </c>
      <c r="Z135" t="s">
        <v>74</v>
      </c>
      <c r="AA135" t="s">
        <v>74</v>
      </c>
      <c r="AB135" t="s">
        <v>74</v>
      </c>
      <c r="AC135" t="s">
        <v>74</v>
      </c>
      <c r="AD135" t="s">
        <v>74</v>
      </c>
      <c r="AE135" t="s">
        <v>74</v>
      </c>
      <c r="AF135" t="s">
        <v>74</v>
      </c>
      <c r="AG135" t="s">
        <v>74</v>
      </c>
      <c r="AH135" t="s">
        <v>74</v>
      </c>
      <c r="AI135" t="s">
        <v>74</v>
      </c>
      <c r="AJ135" t="s">
        <v>74</v>
      </c>
      <c r="AK135" t="s">
        <v>74</v>
      </c>
      <c r="AL135" t="s">
        <v>74</v>
      </c>
      <c r="AM135" t="s">
        <v>74</v>
      </c>
      <c r="AN135" t="s">
        <v>74</v>
      </c>
      <c r="AO135" t="s">
        <v>1571</v>
      </c>
      <c r="AP135" t="s">
        <v>1572</v>
      </c>
      <c r="AQ135" t="s">
        <v>74</v>
      </c>
      <c r="AR135" t="s">
        <v>74</v>
      </c>
      <c r="AS135" t="s">
        <v>74</v>
      </c>
      <c r="AT135" t="s">
        <v>157</v>
      </c>
      <c r="AU135">
        <v>2014</v>
      </c>
      <c r="AV135">
        <v>33</v>
      </c>
      <c r="AW135">
        <v>1</v>
      </c>
      <c r="AX135" t="s">
        <v>74</v>
      </c>
      <c r="AY135" t="s">
        <v>74</v>
      </c>
      <c r="AZ135" t="s">
        <v>74</v>
      </c>
      <c r="BA135" t="s">
        <v>74</v>
      </c>
      <c r="BB135">
        <v>66</v>
      </c>
      <c r="BC135">
        <v>72</v>
      </c>
      <c r="BD135" t="s">
        <v>74</v>
      </c>
      <c r="BE135" t="s">
        <v>4214</v>
      </c>
      <c r="BF135" t="str">
        <f>HYPERLINK("http://dx.doi.org/10.1086/674341","http://dx.doi.org/10.1086/674341")</f>
        <v>http://dx.doi.org/10.1086/674341</v>
      </c>
      <c r="BG135" t="s">
        <v>74</v>
      </c>
      <c r="BH135" t="s">
        <v>74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 t="s">
        <v>74</v>
      </c>
      <c r="BO135" t="s">
        <v>74</v>
      </c>
      <c r="BP135" t="s">
        <v>74</v>
      </c>
      <c r="BQ135" t="s">
        <v>74</v>
      </c>
      <c r="BR135" t="s">
        <v>74</v>
      </c>
      <c r="BS135" t="s">
        <v>4215</v>
      </c>
      <c r="BT135" t="str">
        <f>HYPERLINK("https%3A%2F%2Fwww.webofscience.com%2Fwos%2Fwoscc%2Ffull-record%2FWOS:000332322400006","View Full Record in Web of Science")</f>
        <v>View Full Record in Web of Science</v>
      </c>
    </row>
    <row r="136" spans="1:72" x14ac:dyDescent="0.2">
      <c r="A136" t="s">
        <v>72</v>
      </c>
      <c r="B136" t="s">
        <v>4216</v>
      </c>
      <c r="C136" t="s">
        <v>74</v>
      </c>
      <c r="D136" t="s">
        <v>74</v>
      </c>
      <c r="E136" t="s">
        <v>74</v>
      </c>
      <c r="F136" t="s">
        <v>4217</v>
      </c>
      <c r="G136" t="s">
        <v>74</v>
      </c>
      <c r="H136" t="s">
        <v>74</v>
      </c>
      <c r="I136" t="s">
        <v>4218</v>
      </c>
      <c r="J136" t="s">
        <v>3443</v>
      </c>
      <c r="K136" t="s">
        <v>74</v>
      </c>
      <c r="L136" t="s">
        <v>74</v>
      </c>
      <c r="M136" t="s">
        <v>74</v>
      </c>
      <c r="N136" t="s">
        <v>74</v>
      </c>
      <c r="O136" t="s">
        <v>74</v>
      </c>
      <c r="P136" t="s">
        <v>74</v>
      </c>
      <c r="Q136" t="s">
        <v>74</v>
      </c>
      <c r="R136" t="s">
        <v>74</v>
      </c>
      <c r="S136" t="s">
        <v>74</v>
      </c>
      <c r="T136" t="s">
        <v>74</v>
      </c>
      <c r="U136" t="s">
        <v>74</v>
      </c>
      <c r="V136" t="s">
        <v>74</v>
      </c>
      <c r="W136" t="s">
        <v>74</v>
      </c>
      <c r="X136" t="s">
        <v>74</v>
      </c>
      <c r="Y136" t="s">
        <v>74</v>
      </c>
      <c r="Z136" t="s">
        <v>74</v>
      </c>
      <c r="AA136" t="s">
        <v>4219</v>
      </c>
      <c r="AB136" t="s">
        <v>4220</v>
      </c>
      <c r="AC136" t="s">
        <v>74</v>
      </c>
      <c r="AD136" t="s">
        <v>74</v>
      </c>
      <c r="AE136" t="s">
        <v>74</v>
      </c>
      <c r="AF136" t="s">
        <v>74</v>
      </c>
      <c r="AG136" t="s">
        <v>74</v>
      </c>
      <c r="AH136" t="s">
        <v>74</v>
      </c>
      <c r="AI136" t="s">
        <v>74</v>
      </c>
      <c r="AJ136" t="s">
        <v>74</v>
      </c>
      <c r="AK136" t="s">
        <v>74</v>
      </c>
      <c r="AL136" t="s">
        <v>74</v>
      </c>
      <c r="AM136" t="s">
        <v>74</v>
      </c>
      <c r="AN136" t="s">
        <v>74</v>
      </c>
      <c r="AO136" t="s">
        <v>3445</v>
      </c>
      <c r="AP136" t="s">
        <v>74</v>
      </c>
      <c r="AQ136" t="s">
        <v>74</v>
      </c>
      <c r="AR136" t="s">
        <v>74</v>
      </c>
      <c r="AS136" t="s">
        <v>74</v>
      </c>
      <c r="AT136" t="s">
        <v>4221</v>
      </c>
      <c r="AU136">
        <v>2014</v>
      </c>
      <c r="AV136">
        <v>9</v>
      </c>
      <c r="AW136">
        <v>2</v>
      </c>
      <c r="AX136" t="s">
        <v>74</v>
      </c>
      <c r="AY136" t="s">
        <v>74</v>
      </c>
      <c r="AZ136" t="s">
        <v>74</v>
      </c>
      <c r="BA136" t="s">
        <v>74</v>
      </c>
      <c r="BB136" t="s">
        <v>74</v>
      </c>
      <c r="BC136" t="s">
        <v>74</v>
      </c>
      <c r="BD136" t="s">
        <v>4222</v>
      </c>
      <c r="BE136" t="s">
        <v>4223</v>
      </c>
      <c r="BF136" t="str">
        <f>HYPERLINK("http://dx.doi.org/10.1371/journal.pone.0090010","http://dx.doi.org/10.1371/journal.pone.0090010")</f>
        <v>http://dx.doi.org/10.1371/journal.pone.0090010</v>
      </c>
      <c r="BG136" t="s">
        <v>74</v>
      </c>
      <c r="BH136" t="s">
        <v>74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>
        <v>24587186</v>
      </c>
      <c r="BO136" t="s">
        <v>74</v>
      </c>
      <c r="BP136" t="s">
        <v>74</v>
      </c>
      <c r="BQ136" t="s">
        <v>74</v>
      </c>
      <c r="BR136" t="s">
        <v>74</v>
      </c>
      <c r="BS136" t="s">
        <v>4224</v>
      </c>
      <c r="BT136" t="str">
        <f>HYPERLINK("https%3A%2F%2Fwww.webofscience.com%2Fwos%2Fwoscc%2Ffull-record%2FWOS:000332389000128","View Full Record in Web of Science")</f>
        <v>View Full Record in Web of Science</v>
      </c>
    </row>
    <row r="137" spans="1:72" x14ac:dyDescent="0.2">
      <c r="A137" t="s">
        <v>72</v>
      </c>
      <c r="B137" t="s">
        <v>4237</v>
      </c>
      <c r="C137" t="s">
        <v>74</v>
      </c>
      <c r="D137" t="s">
        <v>74</v>
      </c>
      <c r="E137" t="s">
        <v>74</v>
      </c>
      <c r="F137" t="s">
        <v>4238</v>
      </c>
      <c r="G137" t="s">
        <v>74</v>
      </c>
      <c r="H137" t="s">
        <v>74</v>
      </c>
      <c r="I137" t="s">
        <v>4239</v>
      </c>
      <c r="J137" t="s">
        <v>4240</v>
      </c>
      <c r="K137" t="s">
        <v>74</v>
      </c>
      <c r="L137" t="s">
        <v>74</v>
      </c>
      <c r="M137" t="s">
        <v>74</v>
      </c>
      <c r="N137" t="s">
        <v>74</v>
      </c>
      <c r="O137" t="s">
        <v>74</v>
      </c>
      <c r="P137" t="s">
        <v>74</v>
      </c>
      <c r="Q137" t="s">
        <v>74</v>
      </c>
      <c r="R137" t="s">
        <v>74</v>
      </c>
      <c r="S137" t="s">
        <v>74</v>
      </c>
      <c r="T137" t="s">
        <v>74</v>
      </c>
      <c r="U137" t="s">
        <v>74</v>
      </c>
      <c r="V137" t="s">
        <v>74</v>
      </c>
      <c r="W137" t="s">
        <v>74</v>
      </c>
      <c r="X137" t="s">
        <v>74</v>
      </c>
      <c r="Y137" t="s">
        <v>74</v>
      </c>
      <c r="Z137" t="s">
        <v>74</v>
      </c>
      <c r="AA137" t="s">
        <v>7091</v>
      </c>
      <c r="AB137" t="s">
        <v>7092</v>
      </c>
      <c r="AC137" t="s">
        <v>74</v>
      </c>
      <c r="AD137" t="s">
        <v>74</v>
      </c>
      <c r="AE137" t="s">
        <v>74</v>
      </c>
      <c r="AF137" t="s">
        <v>74</v>
      </c>
      <c r="AG137" t="s">
        <v>74</v>
      </c>
      <c r="AH137" t="s">
        <v>74</v>
      </c>
      <c r="AI137" t="s">
        <v>74</v>
      </c>
      <c r="AJ137" t="s">
        <v>74</v>
      </c>
      <c r="AK137" t="s">
        <v>74</v>
      </c>
      <c r="AL137" t="s">
        <v>74</v>
      </c>
      <c r="AM137" t="s">
        <v>74</v>
      </c>
      <c r="AN137" t="s">
        <v>74</v>
      </c>
      <c r="AO137" t="s">
        <v>4241</v>
      </c>
      <c r="AP137" t="s">
        <v>4242</v>
      </c>
      <c r="AQ137" t="s">
        <v>74</v>
      </c>
      <c r="AR137" t="s">
        <v>74</v>
      </c>
      <c r="AS137" t="s">
        <v>74</v>
      </c>
      <c r="AT137" t="s">
        <v>74</v>
      </c>
      <c r="AU137">
        <v>2014</v>
      </c>
      <c r="AV137">
        <v>38</v>
      </c>
      <c r="AW137">
        <v>3</v>
      </c>
      <c r="AX137" t="s">
        <v>74</v>
      </c>
      <c r="AY137" t="s">
        <v>74</v>
      </c>
      <c r="AZ137" t="s">
        <v>74</v>
      </c>
      <c r="BA137" t="s">
        <v>74</v>
      </c>
      <c r="BB137">
        <v>347</v>
      </c>
      <c r="BC137">
        <v>353</v>
      </c>
      <c r="BD137" t="s">
        <v>74</v>
      </c>
      <c r="BE137" t="s">
        <v>4243</v>
      </c>
      <c r="BF137" t="str">
        <f>HYPERLINK("http://dx.doi.org/10.3906/zoo-1304-21","http://dx.doi.org/10.3906/zoo-1304-21")</f>
        <v>http://dx.doi.org/10.3906/zoo-1304-21</v>
      </c>
      <c r="BG137" t="s">
        <v>74</v>
      </c>
      <c r="BH137" t="s">
        <v>74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74</v>
      </c>
      <c r="BO137" t="s">
        <v>74</v>
      </c>
      <c r="BP137" t="s">
        <v>74</v>
      </c>
      <c r="BQ137" t="s">
        <v>74</v>
      </c>
      <c r="BR137" t="s">
        <v>74</v>
      </c>
      <c r="BS137" t="s">
        <v>4244</v>
      </c>
      <c r="BT137" t="str">
        <f>HYPERLINK("https%3A%2F%2Fwww.webofscience.com%2Fwos%2Fwoscc%2Ffull-record%2FWOS:000332938000011","View Full Record in Web of Science")</f>
        <v>View Full Record in Web of Science</v>
      </c>
    </row>
    <row r="138" spans="1:72" x14ac:dyDescent="0.2">
      <c r="A138" t="s">
        <v>72</v>
      </c>
      <c r="B138" t="s">
        <v>4282</v>
      </c>
      <c r="C138" t="s">
        <v>74</v>
      </c>
      <c r="D138" t="s">
        <v>74</v>
      </c>
      <c r="E138" t="s">
        <v>74</v>
      </c>
      <c r="F138" t="s">
        <v>4283</v>
      </c>
      <c r="G138" t="s">
        <v>74</v>
      </c>
      <c r="H138" t="s">
        <v>74</v>
      </c>
      <c r="I138" t="s">
        <v>4284</v>
      </c>
      <c r="J138" t="s">
        <v>1543</v>
      </c>
      <c r="K138" t="s">
        <v>74</v>
      </c>
      <c r="L138" t="s">
        <v>74</v>
      </c>
      <c r="M138" t="s">
        <v>74</v>
      </c>
      <c r="N138" t="s">
        <v>74</v>
      </c>
      <c r="O138" t="s">
        <v>74</v>
      </c>
      <c r="P138" t="s">
        <v>74</v>
      </c>
      <c r="Q138" t="s">
        <v>74</v>
      </c>
      <c r="R138" t="s">
        <v>74</v>
      </c>
      <c r="S138" t="s">
        <v>74</v>
      </c>
      <c r="T138" t="s">
        <v>74</v>
      </c>
      <c r="U138" t="s">
        <v>74</v>
      </c>
      <c r="V138" t="s">
        <v>74</v>
      </c>
      <c r="W138" t="s">
        <v>74</v>
      </c>
      <c r="X138" t="s">
        <v>74</v>
      </c>
      <c r="Y138" t="s">
        <v>74</v>
      </c>
      <c r="Z138" t="s">
        <v>74</v>
      </c>
      <c r="AA138" t="s">
        <v>4285</v>
      </c>
      <c r="AB138" t="s">
        <v>4286</v>
      </c>
      <c r="AC138" t="s">
        <v>74</v>
      </c>
      <c r="AD138" t="s">
        <v>74</v>
      </c>
      <c r="AE138" t="s">
        <v>74</v>
      </c>
      <c r="AF138" t="s">
        <v>74</v>
      </c>
      <c r="AG138" t="s">
        <v>74</v>
      </c>
      <c r="AH138" t="s">
        <v>74</v>
      </c>
      <c r="AI138" t="s">
        <v>74</v>
      </c>
      <c r="AJ138" t="s">
        <v>74</v>
      </c>
      <c r="AK138" t="s">
        <v>74</v>
      </c>
      <c r="AL138" t="s">
        <v>74</v>
      </c>
      <c r="AM138" t="s">
        <v>74</v>
      </c>
      <c r="AN138" t="s">
        <v>74</v>
      </c>
      <c r="AO138" t="s">
        <v>1545</v>
      </c>
      <c r="AP138" t="s">
        <v>1546</v>
      </c>
      <c r="AQ138" t="s">
        <v>74</v>
      </c>
      <c r="AR138" t="s">
        <v>74</v>
      </c>
      <c r="AS138" t="s">
        <v>74</v>
      </c>
      <c r="AT138" t="s">
        <v>74</v>
      </c>
      <c r="AU138">
        <v>2014</v>
      </c>
      <c r="AV138">
        <v>4</v>
      </c>
      <c r="AW138">
        <v>1</v>
      </c>
      <c r="AX138" t="s">
        <v>74</v>
      </c>
      <c r="AY138" t="s">
        <v>74</v>
      </c>
      <c r="AZ138" t="s">
        <v>74</v>
      </c>
      <c r="BA138" t="s">
        <v>74</v>
      </c>
      <c r="BB138">
        <v>15</v>
      </c>
      <c r="BC138">
        <v>26</v>
      </c>
      <c r="BD138" t="s">
        <v>74</v>
      </c>
      <c r="BE138" t="s">
        <v>4287</v>
      </c>
      <c r="BF138" t="str">
        <f>HYPERLINK("http://dx.doi.org/10.5268/IW-4.1.686","http://dx.doi.org/10.5268/IW-4.1.686")</f>
        <v>http://dx.doi.org/10.5268/IW-4.1.686</v>
      </c>
      <c r="BG138" t="s">
        <v>74</v>
      </c>
      <c r="BH138" t="s">
        <v>74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 t="s">
        <v>74</v>
      </c>
      <c r="BR138" t="s">
        <v>74</v>
      </c>
      <c r="BS138" t="s">
        <v>4288</v>
      </c>
      <c r="BT138" t="str">
        <f>HYPERLINK("https%3A%2F%2Fwww.webofscience.com%2Fwos%2Fwoscc%2Ffull-record%2FWOS:000329978100002","View Full Record in Web of Science")</f>
        <v>View Full Record in Web of Science</v>
      </c>
    </row>
    <row r="139" spans="1:72" x14ac:dyDescent="0.2">
      <c r="A139" t="s">
        <v>72</v>
      </c>
      <c r="B139" t="s">
        <v>4380</v>
      </c>
      <c r="C139" t="s">
        <v>74</v>
      </c>
      <c r="D139" t="s">
        <v>74</v>
      </c>
      <c r="E139" t="s">
        <v>74</v>
      </c>
      <c r="F139" t="s">
        <v>4381</v>
      </c>
      <c r="G139" t="s">
        <v>74</v>
      </c>
      <c r="H139" t="s">
        <v>74</v>
      </c>
      <c r="I139" t="s">
        <v>4382</v>
      </c>
      <c r="J139" t="s">
        <v>1523</v>
      </c>
      <c r="K139" t="s">
        <v>74</v>
      </c>
      <c r="L139" t="s">
        <v>74</v>
      </c>
      <c r="M139" t="s">
        <v>74</v>
      </c>
      <c r="N139" t="s">
        <v>74</v>
      </c>
      <c r="O139" t="s">
        <v>74</v>
      </c>
      <c r="P139" t="s">
        <v>74</v>
      </c>
      <c r="Q139" t="s">
        <v>74</v>
      </c>
      <c r="R139" t="s">
        <v>74</v>
      </c>
      <c r="S139" t="s">
        <v>74</v>
      </c>
      <c r="T139" t="s">
        <v>74</v>
      </c>
      <c r="U139" t="s">
        <v>74</v>
      </c>
      <c r="V139" t="s">
        <v>74</v>
      </c>
      <c r="W139" t="s">
        <v>74</v>
      </c>
      <c r="X139" t="s">
        <v>74</v>
      </c>
      <c r="Y139" t="s">
        <v>74</v>
      </c>
      <c r="Z139" t="s">
        <v>74</v>
      </c>
      <c r="AA139" t="s">
        <v>4383</v>
      </c>
      <c r="AB139" t="s">
        <v>4384</v>
      </c>
      <c r="AC139" t="s">
        <v>74</v>
      </c>
      <c r="AD139" t="s">
        <v>74</v>
      </c>
      <c r="AE139" t="s">
        <v>74</v>
      </c>
      <c r="AF139" t="s">
        <v>74</v>
      </c>
      <c r="AG139" t="s">
        <v>74</v>
      </c>
      <c r="AH139" t="s">
        <v>74</v>
      </c>
      <c r="AI139" t="s">
        <v>74</v>
      </c>
      <c r="AJ139" t="s">
        <v>74</v>
      </c>
      <c r="AK139" t="s">
        <v>74</v>
      </c>
      <c r="AL139" t="s">
        <v>74</v>
      </c>
      <c r="AM139" t="s">
        <v>74</v>
      </c>
      <c r="AN139" t="s">
        <v>74</v>
      </c>
      <c r="AO139" t="s">
        <v>1524</v>
      </c>
      <c r="AP139" t="s">
        <v>1525</v>
      </c>
      <c r="AQ139" t="s">
        <v>74</v>
      </c>
      <c r="AR139" t="s">
        <v>74</v>
      </c>
      <c r="AS139" t="s">
        <v>74</v>
      </c>
      <c r="AT139" t="s">
        <v>624</v>
      </c>
      <c r="AU139">
        <v>2013</v>
      </c>
      <c r="AV139">
        <v>94</v>
      </c>
      <c r="AW139">
        <v>7</v>
      </c>
      <c r="AX139" t="s">
        <v>74</v>
      </c>
      <c r="AY139" t="s">
        <v>74</v>
      </c>
      <c r="AZ139" t="s">
        <v>74</v>
      </c>
      <c r="BA139" t="s">
        <v>74</v>
      </c>
      <c r="BB139">
        <v>1626</v>
      </c>
      <c r="BC139">
        <v>1635</v>
      </c>
      <c r="BD139" t="s">
        <v>74</v>
      </c>
      <c r="BE139" t="s">
        <v>4385</v>
      </c>
      <c r="BF139" t="str">
        <f>HYPERLINK("http://dx.doi.org/10.1890/12-1459.1","http://dx.doi.org/10.1890/12-1459.1")</f>
        <v>http://dx.doi.org/10.1890/12-1459.1</v>
      </c>
      <c r="BG139" t="s">
        <v>74</v>
      </c>
      <c r="BH139" t="s">
        <v>74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>
        <v>23951722</v>
      </c>
      <c r="BO139" t="s">
        <v>74</v>
      </c>
      <c r="BP139" t="s">
        <v>74</v>
      </c>
      <c r="BQ139" t="s">
        <v>74</v>
      </c>
      <c r="BR139" t="s">
        <v>74</v>
      </c>
      <c r="BS139" t="s">
        <v>4386</v>
      </c>
      <c r="BT139" t="str">
        <f>HYPERLINK("https%3A%2F%2Fwww.webofscience.com%2Fwos%2Fwoscc%2Ffull-record%2FWOS:000321618400020","View Full Record in Web of Science")</f>
        <v>View Full Record in Web of Science</v>
      </c>
    </row>
    <row r="140" spans="1:72" x14ac:dyDescent="0.2">
      <c r="A140" t="s">
        <v>72</v>
      </c>
      <c r="B140" t="s">
        <v>4387</v>
      </c>
      <c r="C140" t="s">
        <v>74</v>
      </c>
      <c r="D140" t="s">
        <v>74</v>
      </c>
      <c r="E140" t="s">
        <v>74</v>
      </c>
      <c r="F140" t="s">
        <v>4388</v>
      </c>
      <c r="G140" t="s">
        <v>74</v>
      </c>
      <c r="H140" t="s">
        <v>74</v>
      </c>
      <c r="I140" t="s">
        <v>4389</v>
      </c>
      <c r="J140" t="s">
        <v>3919</v>
      </c>
      <c r="K140" t="s">
        <v>74</v>
      </c>
      <c r="L140" t="s">
        <v>74</v>
      </c>
      <c r="M140" t="s">
        <v>74</v>
      </c>
      <c r="N140" t="s">
        <v>74</v>
      </c>
      <c r="O140" t="s">
        <v>74</v>
      </c>
      <c r="P140" t="s">
        <v>74</v>
      </c>
      <c r="Q140" t="s">
        <v>74</v>
      </c>
      <c r="R140" t="s">
        <v>74</v>
      </c>
      <c r="S140" t="s">
        <v>74</v>
      </c>
      <c r="T140" t="s">
        <v>74</v>
      </c>
      <c r="U140" t="s">
        <v>74</v>
      </c>
      <c r="V140" t="s">
        <v>74</v>
      </c>
      <c r="W140" t="s">
        <v>74</v>
      </c>
      <c r="X140" t="s">
        <v>74</v>
      </c>
      <c r="Y140" t="s">
        <v>74</v>
      </c>
      <c r="Z140" t="s">
        <v>74</v>
      </c>
      <c r="AA140" t="s">
        <v>7104</v>
      </c>
      <c r="AB140" t="s">
        <v>7105</v>
      </c>
      <c r="AC140" t="s">
        <v>74</v>
      </c>
      <c r="AD140" t="s">
        <v>74</v>
      </c>
      <c r="AE140" t="s">
        <v>74</v>
      </c>
      <c r="AF140" t="s">
        <v>74</v>
      </c>
      <c r="AG140" t="s">
        <v>74</v>
      </c>
      <c r="AH140" t="s">
        <v>74</v>
      </c>
      <c r="AI140" t="s">
        <v>74</v>
      </c>
      <c r="AJ140" t="s">
        <v>74</v>
      </c>
      <c r="AK140" t="s">
        <v>74</v>
      </c>
      <c r="AL140" t="s">
        <v>74</v>
      </c>
      <c r="AM140" t="s">
        <v>74</v>
      </c>
      <c r="AN140" t="s">
        <v>74</v>
      </c>
      <c r="AO140" t="s">
        <v>3920</v>
      </c>
      <c r="AP140" t="s">
        <v>3921</v>
      </c>
      <c r="AQ140" t="s">
        <v>74</v>
      </c>
      <c r="AR140" t="s">
        <v>74</v>
      </c>
      <c r="AS140" t="s">
        <v>74</v>
      </c>
      <c r="AT140" t="s">
        <v>624</v>
      </c>
      <c r="AU140">
        <v>2013</v>
      </c>
      <c r="AV140">
        <v>79</v>
      </c>
      <c r="AW140">
        <v>13</v>
      </c>
      <c r="AX140" t="s">
        <v>74</v>
      </c>
      <c r="AY140" t="s">
        <v>74</v>
      </c>
      <c r="AZ140" t="s">
        <v>74</v>
      </c>
      <c r="BA140" t="s">
        <v>74</v>
      </c>
      <c r="BB140">
        <v>3943</v>
      </c>
      <c r="BC140">
        <v>3951</v>
      </c>
      <c r="BD140" t="s">
        <v>74</v>
      </c>
      <c r="BE140" t="s">
        <v>4390</v>
      </c>
      <c r="BF140" t="str">
        <f>HYPERLINK("http://dx.doi.org/10.1128/AEM.00696-13","http://dx.doi.org/10.1128/AEM.00696-13")</f>
        <v>http://dx.doi.org/10.1128/AEM.00696-13</v>
      </c>
      <c r="BG140" t="s">
        <v>74</v>
      </c>
      <c r="BH140" t="s">
        <v>74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>
        <v>23603679</v>
      </c>
      <c r="BO140" t="s">
        <v>74</v>
      </c>
      <c r="BP140" t="s">
        <v>74</v>
      </c>
      <c r="BQ140" t="s">
        <v>74</v>
      </c>
      <c r="BR140" t="s">
        <v>74</v>
      </c>
      <c r="BS140" t="s">
        <v>4391</v>
      </c>
      <c r="BT140" t="str">
        <f>HYPERLINK("https%3A%2F%2Fwww.webofscience.com%2Fwos%2Fwoscc%2Ffull-record%2FWOS:000319986200006","View Full Record in Web of Science")</f>
        <v>View Full Record in Web of Science</v>
      </c>
    </row>
    <row r="141" spans="1:72" x14ac:dyDescent="0.2">
      <c r="A141" t="s">
        <v>72</v>
      </c>
      <c r="B141" t="s">
        <v>4406</v>
      </c>
      <c r="C141" t="s">
        <v>74</v>
      </c>
      <c r="D141" t="s">
        <v>74</v>
      </c>
      <c r="E141" t="s">
        <v>74</v>
      </c>
      <c r="F141" t="s">
        <v>4407</v>
      </c>
      <c r="G141" t="s">
        <v>74</v>
      </c>
      <c r="H141" t="s">
        <v>74</v>
      </c>
      <c r="I141" t="s">
        <v>4408</v>
      </c>
      <c r="J141" t="s">
        <v>596</v>
      </c>
      <c r="K141" t="s">
        <v>74</v>
      </c>
      <c r="L141" t="s">
        <v>74</v>
      </c>
      <c r="M141" t="s">
        <v>74</v>
      </c>
      <c r="N141" t="s">
        <v>74</v>
      </c>
      <c r="O141" t="s">
        <v>74</v>
      </c>
      <c r="P141" t="s">
        <v>74</v>
      </c>
      <c r="Q141" t="s">
        <v>74</v>
      </c>
      <c r="R141" t="s">
        <v>74</v>
      </c>
      <c r="S141" t="s">
        <v>74</v>
      </c>
      <c r="T141" t="s">
        <v>74</v>
      </c>
      <c r="U141" t="s">
        <v>74</v>
      </c>
      <c r="V141" t="s">
        <v>74</v>
      </c>
      <c r="W141" t="s">
        <v>74</v>
      </c>
      <c r="X141" t="s">
        <v>74</v>
      </c>
      <c r="Y141" t="s">
        <v>74</v>
      </c>
      <c r="Z141" t="s">
        <v>74</v>
      </c>
      <c r="AA141" t="s">
        <v>4409</v>
      </c>
      <c r="AB141" t="s">
        <v>4410</v>
      </c>
      <c r="AC141" t="s">
        <v>74</v>
      </c>
      <c r="AD141" t="s">
        <v>74</v>
      </c>
      <c r="AE141" t="s">
        <v>74</v>
      </c>
      <c r="AF141" t="s">
        <v>74</v>
      </c>
      <c r="AG141" t="s">
        <v>74</v>
      </c>
      <c r="AH141" t="s">
        <v>74</v>
      </c>
      <c r="AI141" t="s">
        <v>74</v>
      </c>
      <c r="AJ141" t="s">
        <v>74</v>
      </c>
      <c r="AK141" t="s">
        <v>74</v>
      </c>
      <c r="AL141" t="s">
        <v>74</v>
      </c>
      <c r="AM141" t="s">
        <v>74</v>
      </c>
      <c r="AN141" t="s">
        <v>74</v>
      </c>
      <c r="AO141" t="s">
        <v>597</v>
      </c>
      <c r="AP141" t="s">
        <v>74</v>
      </c>
      <c r="AQ141" t="s">
        <v>74</v>
      </c>
      <c r="AR141" t="s">
        <v>74</v>
      </c>
      <c r="AS141" t="s">
        <v>74</v>
      </c>
      <c r="AT141" t="s">
        <v>575</v>
      </c>
      <c r="AU141">
        <v>2013</v>
      </c>
      <c r="AV141">
        <v>4</v>
      </c>
      <c r="AW141">
        <v>5</v>
      </c>
      <c r="AX141" t="s">
        <v>74</v>
      </c>
      <c r="AY141" t="s">
        <v>74</v>
      </c>
      <c r="AZ141" t="s">
        <v>74</v>
      </c>
      <c r="BA141" t="s">
        <v>74</v>
      </c>
      <c r="BB141" t="s">
        <v>74</v>
      </c>
      <c r="BC141" t="s">
        <v>74</v>
      </c>
      <c r="BD141">
        <v>62</v>
      </c>
      <c r="BE141" t="s">
        <v>4411</v>
      </c>
      <c r="BF141" t="str">
        <f>HYPERLINK("http://dx.doi.org/10.1890/ES13-00019.1","http://dx.doi.org/10.1890/ES13-00019.1")</f>
        <v>http://dx.doi.org/10.1890/ES13-00019.1</v>
      </c>
      <c r="BG141" t="s">
        <v>74</v>
      </c>
      <c r="BH141" t="s">
        <v>74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 t="s">
        <v>74</v>
      </c>
      <c r="BO141" t="s">
        <v>74</v>
      </c>
      <c r="BP141" t="s">
        <v>74</v>
      </c>
      <c r="BQ141" t="s">
        <v>74</v>
      </c>
      <c r="BR141" t="s">
        <v>74</v>
      </c>
      <c r="BS141" t="s">
        <v>4412</v>
      </c>
      <c r="BT141" t="str">
        <f>HYPERLINK("https%3A%2F%2Fwww.webofscience.com%2Fwos%2Fwoscc%2Ffull-record%2FWOS:000327308300011","View Full Record in Web of Science")</f>
        <v>View Full Record in Web of Science</v>
      </c>
    </row>
    <row r="142" spans="1:72" x14ac:dyDescent="0.2">
      <c r="A142" t="s">
        <v>72</v>
      </c>
      <c r="B142" t="s">
        <v>4468</v>
      </c>
      <c r="C142" t="s">
        <v>74</v>
      </c>
      <c r="D142" t="s">
        <v>74</v>
      </c>
      <c r="E142" t="s">
        <v>74</v>
      </c>
      <c r="F142" t="s">
        <v>4469</v>
      </c>
      <c r="G142" t="s">
        <v>74</v>
      </c>
      <c r="H142" t="s">
        <v>74</v>
      </c>
      <c r="I142" t="s">
        <v>4470</v>
      </c>
      <c r="J142" t="s">
        <v>124</v>
      </c>
      <c r="K142" t="s">
        <v>74</v>
      </c>
      <c r="L142" t="s">
        <v>74</v>
      </c>
      <c r="M142" t="s">
        <v>74</v>
      </c>
      <c r="N142" t="s">
        <v>74</v>
      </c>
      <c r="O142" t="s">
        <v>74</v>
      </c>
      <c r="P142" t="s">
        <v>74</v>
      </c>
      <c r="Q142" t="s">
        <v>74</v>
      </c>
      <c r="R142" t="s">
        <v>74</v>
      </c>
      <c r="S142" t="s">
        <v>74</v>
      </c>
      <c r="T142" t="s">
        <v>74</v>
      </c>
      <c r="U142" t="s">
        <v>74</v>
      </c>
      <c r="V142" t="s">
        <v>74</v>
      </c>
      <c r="W142" t="s">
        <v>74</v>
      </c>
      <c r="X142" t="s">
        <v>74</v>
      </c>
      <c r="Y142" t="s">
        <v>74</v>
      </c>
      <c r="Z142" t="s">
        <v>74</v>
      </c>
      <c r="AA142" t="s">
        <v>4471</v>
      </c>
      <c r="AB142" t="s">
        <v>7107</v>
      </c>
      <c r="AC142" t="s">
        <v>74</v>
      </c>
      <c r="AD142" t="s">
        <v>74</v>
      </c>
      <c r="AE142" t="s">
        <v>74</v>
      </c>
      <c r="AF142" t="s">
        <v>74</v>
      </c>
      <c r="AG142" t="s">
        <v>74</v>
      </c>
      <c r="AH142" t="s">
        <v>74</v>
      </c>
      <c r="AI142" t="s">
        <v>74</v>
      </c>
      <c r="AJ142" t="s">
        <v>74</v>
      </c>
      <c r="AK142" t="s">
        <v>74</v>
      </c>
      <c r="AL142" t="s">
        <v>74</v>
      </c>
      <c r="AM142" t="s">
        <v>74</v>
      </c>
      <c r="AN142" t="s">
        <v>74</v>
      </c>
      <c r="AO142" t="s">
        <v>127</v>
      </c>
      <c r="AP142" t="s">
        <v>74</v>
      </c>
      <c r="AQ142" t="s">
        <v>74</v>
      </c>
      <c r="AR142" t="s">
        <v>74</v>
      </c>
      <c r="AS142" t="s">
        <v>74</v>
      </c>
      <c r="AT142" t="s">
        <v>416</v>
      </c>
      <c r="AU142">
        <v>2013</v>
      </c>
      <c r="AV142">
        <v>702</v>
      </c>
      <c r="AW142">
        <v>1</v>
      </c>
      <c r="AX142" t="s">
        <v>74</v>
      </c>
      <c r="AY142" t="s">
        <v>74</v>
      </c>
      <c r="AZ142" t="s">
        <v>74</v>
      </c>
      <c r="BA142" t="s">
        <v>74</v>
      </c>
      <c r="BB142">
        <v>73</v>
      </c>
      <c r="BC142">
        <v>82</v>
      </c>
      <c r="BD142" t="s">
        <v>74</v>
      </c>
      <c r="BE142" t="s">
        <v>4472</v>
      </c>
      <c r="BF142" t="str">
        <f>HYPERLINK("http://dx.doi.org/10.1007/s10750-012-1308-5","http://dx.doi.org/10.1007/s10750-012-1308-5")</f>
        <v>http://dx.doi.org/10.1007/s10750-012-1308-5</v>
      </c>
      <c r="BG142" t="s">
        <v>74</v>
      </c>
      <c r="BH142" t="s">
        <v>74</v>
      </c>
      <c r="BI142" t="s">
        <v>74</v>
      </c>
      <c r="BJ142" t="s">
        <v>74</v>
      </c>
      <c r="BK142" t="s">
        <v>74</v>
      </c>
      <c r="BL142" t="s">
        <v>74</v>
      </c>
      <c r="BM142" t="s">
        <v>74</v>
      </c>
      <c r="BN142" t="s">
        <v>74</v>
      </c>
      <c r="BO142" t="s">
        <v>74</v>
      </c>
      <c r="BP142" t="s">
        <v>74</v>
      </c>
      <c r="BQ142" t="s">
        <v>74</v>
      </c>
      <c r="BR142" t="s">
        <v>74</v>
      </c>
      <c r="BS142" t="s">
        <v>4473</v>
      </c>
      <c r="BT142" t="str">
        <f>HYPERLINK("https%3A%2F%2Fwww.webofscience.com%2Fwos%2Fwoscc%2Ffull-record%2FWOS:000312781200007","View Full Record in Web of Science")</f>
        <v>View Full Record in Web of Science</v>
      </c>
    </row>
    <row r="143" spans="1:72" x14ac:dyDescent="0.2">
      <c r="A143" t="s">
        <v>72</v>
      </c>
      <c r="B143" t="s">
        <v>4474</v>
      </c>
      <c r="C143" t="s">
        <v>74</v>
      </c>
      <c r="D143" t="s">
        <v>74</v>
      </c>
      <c r="E143" t="s">
        <v>74</v>
      </c>
      <c r="F143" t="s">
        <v>4475</v>
      </c>
      <c r="G143" t="s">
        <v>74</v>
      </c>
      <c r="H143" t="s">
        <v>74</v>
      </c>
      <c r="I143" t="s">
        <v>4476</v>
      </c>
      <c r="J143" t="s">
        <v>198</v>
      </c>
      <c r="K143" t="s">
        <v>74</v>
      </c>
      <c r="L143" t="s">
        <v>74</v>
      </c>
      <c r="M143" t="s">
        <v>74</v>
      </c>
      <c r="N143" t="s">
        <v>74</v>
      </c>
      <c r="O143" t="s">
        <v>74</v>
      </c>
      <c r="P143" t="s">
        <v>74</v>
      </c>
      <c r="Q143" t="s">
        <v>74</v>
      </c>
      <c r="R143" t="s">
        <v>74</v>
      </c>
      <c r="S143" t="s">
        <v>74</v>
      </c>
      <c r="T143" t="s">
        <v>74</v>
      </c>
      <c r="U143" t="s">
        <v>74</v>
      </c>
      <c r="V143" t="s">
        <v>74</v>
      </c>
      <c r="W143" t="s">
        <v>74</v>
      </c>
      <c r="X143" t="s">
        <v>74</v>
      </c>
      <c r="Y143" t="s">
        <v>74</v>
      </c>
      <c r="Z143" t="s">
        <v>74</v>
      </c>
      <c r="AA143" t="s">
        <v>3329</v>
      </c>
      <c r="AB143" t="s">
        <v>74</v>
      </c>
      <c r="AC143" t="s">
        <v>74</v>
      </c>
      <c r="AD143" t="s">
        <v>74</v>
      </c>
      <c r="AE143" t="s">
        <v>74</v>
      </c>
      <c r="AF143" t="s">
        <v>74</v>
      </c>
      <c r="AG143" t="s">
        <v>74</v>
      </c>
      <c r="AH143" t="s">
        <v>74</v>
      </c>
      <c r="AI143" t="s">
        <v>74</v>
      </c>
      <c r="AJ143" t="s">
        <v>74</v>
      </c>
      <c r="AK143" t="s">
        <v>74</v>
      </c>
      <c r="AL143" t="s">
        <v>74</v>
      </c>
      <c r="AM143" t="s">
        <v>74</v>
      </c>
      <c r="AN143" t="s">
        <v>74</v>
      </c>
      <c r="AO143" t="s">
        <v>201</v>
      </c>
      <c r="AP143" t="s">
        <v>202</v>
      </c>
      <c r="AQ143" t="s">
        <v>74</v>
      </c>
      <c r="AR143" t="s">
        <v>74</v>
      </c>
      <c r="AS143" t="s">
        <v>74</v>
      </c>
      <c r="AT143" t="s">
        <v>416</v>
      </c>
      <c r="AU143">
        <v>2013</v>
      </c>
      <c r="AV143">
        <v>27</v>
      </c>
      <c r="AW143">
        <v>1</v>
      </c>
      <c r="AX143" t="s">
        <v>74</v>
      </c>
      <c r="AY143" t="s">
        <v>74</v>
      </c>
      <c r="AZ143" t="s">
        <v>74</v>
      </c>
      <c r="BA143" t="s">
        <v>74</v>
      </c>
      <c r="BB143">
        <v>165</v>
      </c>
      <c r="BC143">
        <v>172</v>
      </c>
      <c r="BD143" t="s">
        <v>74</v>
      </c>
      <c r="BE143" t="s">
        <v>4477</v>
      </c>
      <c r="BF143" t="str">
        <f>HYPERLINK("http://dx.doi.org/10.1111/1365-2435.12015","http://dx.doi.org/10.1111/1365-2435.12015")</f>
        <v>http://dx.doi.org/10.1111/1365-2435.12015</v>
      </c>
      <c r="BG143" t="s">
        <v>74</v>
      </c>
      <c r="BH143" t="s">
        <v>74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 t="s">
        <v>74</v>
      </c>
      <c r="BO143" t="s">
        <v>74</v>
      </c>
      <c r="BP143" t="s">
        <v>74</v>
      </c>
      <c r="BQ143" t="s">
        <v>74</v>
      </c>
      <c r="BR143" t="s">
        <v>74</v>
      </c>
      <c r="BS143" t="s">
        <v>4478</v>
      </c>
      <c r="BT143" t="str">
        <f>HYPERLINK("https%3A%2F%2Fwww.webofscience.com%2Fwos%2Fwoscc%2Ffull-record%2FWOS:000314166500018","View Full Record in Web of Science")</f>
        <v>View Full Record in Web of Science</v>
      </c>
    </row>
    <row r="144" spans="1:72" x14ac:dyDescent="0.2">
      <c r="A144" t="s">
        <v>72</v>
      </c>
      <c r="B144" t="s">
        <v>4479</v>
      </c>
      <c r="C144" t="s">
        <v>74</v>
      </c>
      <c r="D144" t="s">
        <v>74</v>
      </c>
      <c r="E144" t="s">
        <v>74</v>
      </c>
      <c r="F144" t="s">
        <v>4480</v>
      </c>
      <c r="G144" t="s">
        <v>74</v>
      </c>
      <c r="H144" t="s">
        <v>74</v>
      </c>
      <c r="I144" t="s">
        <v>4481</v>
      </c>
      <c r="J144" t="s">
        <v>1299</v>
      </c>
      <c r="K144" t="s">
        <v>74</v>
      </c>
      <c r="L144" t="s">
        <v>74</v>
      </c>
      <c r="M144" t="s">
        <v>74</v>
      </c>
      <c r="N144" t="s">
        <v>74</v>
      </c>
      <c r="O144" t="s">
        <v>74</v>
      </c>
      <c r="P144" t="s">
        <v>74</v>
      </c>
      <c r="Q144" t="s">
        <v>74</v>
      </c>
      <c r="R144" t="s">
        <v>74</v>
      </c>
      <c r="S144" t="s">
        <v>74</v>
      </c>
      <c r="T144" t="s">
        <v>74</v>
      </c>
      <c r="U144" t="s">
        <v>74</v>
      </c>
      <c r="V144" t="s">
        <v>74</v>
      </c>
      <c r="W144" t="s">
        <v>74</v>
      </c>
      <c r="X144" t="s">
        <v>74</v>
      </c>
      <c r="Y144" t="s">
        <v>74</v>
      </c>
      <c r="Z144" t="s">
        <v>74</v>
      </c>
      <c r="AA144" t="s">
        <v>7108</v>
      </c>
      <c r="AB144" t="s">
        <v>7109</v>
      </c>
      <c r="AC144" t="s">
        <v>74</v>
      </c>
      <c r="AD144" t="s">
        <v>74</v>
      </c>
      <c r="AE144" t="s">
        <v>74</v>
      </c>
      <c r="AF144" t="s">
        <v>74</v>
      </c>
      <c r="AG144" t="s">
        <v>74</v>
      </c>
      <c r="AH144" t="s">
        <v>74</v>
      </c>
      <c r="AI144" t="s">
        <v>74</v>
      </c>
      <c r="AJ144" t="s">
        <v>74</v>
      </c>
      <c r="AK144" t="s">
        <v>74</v>
      </c>
      <c r="AL144" t="s">
        <v>74</v>
      </c>
      <c r="AM144" t="s">
        <v>74</v>
      </c>
      <c r="AN144" t="s">
        <v>74</v>
      </c>
      <c r="AO144" t="s">
        <v>1302</v>
      </c>
      <c r="AP144" t="s">
        <v>1303</v>
      </c>
      <c r="AQ144" t="s">
        <v>74</v>
      </c>
      <c r="AR144" t="s">
        <v>74</v>
      </c>
      <c r="AS144" t="s">
        <v>74</v>
      </c>
      <c r="AT144" t="s">
        <v>416</v>
      </c>
      <c r="AU144">
        <v>2013</v>
      </c>
      <c r="AV144">
        <v>171</v>
      </c>
      <c r="AW144">
        <v>2</v>
      </c>
      <c r="AX144" t="s">
        <v>74</v>
      </c>
      <c r="AY144" t="s">
        <v>74</v>
      </c>
      <c r="AZ144" t="s">
        <v>74</v>
      </c>
      <c r="BA144" t="s">
        <v>74</v>
      </c>
      <c r="BB144">
        <v>527</v>
      </c>
      <c r="BC144">
        <v>536</v>
      </c>
      <c r="BD144" t="s">
        <v>74</v>
      </c>
      <c r="BE144" t="s">
        <v>4482</v>
      </c>
      <c r="BF144" t="str">
        <f>HYPERLINK("http://dx.doi.org/10.1007/s00442-012-2419-4","http://dx.doi.org/10.1007/s00442-012-2419-4")</f>
        <v>http://dx.doi.org/10.1007/s00442-012-2419-4</v>
      </c>
      <c r="BG144" t="s">
        <v>74</v>
      </c>
      <c r="BH144" t="s">
        <v>74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>
        <v>22847329</v>
      </c>
      <c r="BO144" t="s">
        <v>74</v>
      </c>
      <c r="BP144" t="s">
        <v>74</v>
      </c>
      <c r="BQ144" t="s">
        <v>74</v>
      </c>
      <c r="BR144" t="s">
        <v>74</v>
      </c>
      <c r="BS144" t="s">
        <v>4483</v>
      </c>
      <c r="BT144" t="str">
        <f>HYPERLINK("https%3A%2F%2Fwww.webofscience.com%2Fwos%2Fwoscc%2Ffull-record%2FWOS:000313800600021","View Full Record in Web of Science")</f>
        <v>View Full Record in Web of Science</v>
      </c>
    </row>
    <row r="145" spans="1:72" x14ac:dyDescent="0.2">
      <c r="A145" t="s">
        <v>72</v>
      </c>
      <c r="B145" t="s">
        <v>4553</v>
      </c>
      <c r="C145" t="s">
        <v>74</v>
      </c>
      <c r="D145" t="s">
        <v>74</v>
      </c>
      <c r="E145" t="s">
        <v>74</v>
      </c>
      <c r="F145" t="s">
        <v>4554</v>
      </c>
      <c r="G145" t="s">
        <v>74</v>
      </c>
      <c r="H145" t="s">
        <v>74</v>
      </c>
      <c r="I145" t="s">
        <v>4555</v>
      </c>
      <c r="J145" t="s">
        <v>1716</v>
      </c>
      <c r="K145" t="s">
        <v>74</v>
      </c>
      <c r="L145" t="s">
        <v>74</v>
      </c>
      <c r="M145" t="s">
        <v>74</v>
      </c>
      <c r="N145" t="s">
        <v>74</v>
      </c>
      <c r="O145" t="s">
        <v>74</v>
      </c>
      <c r="P145" t="s">
        <v>74</v>
      </c>
      <c r="Q145" t="s">
        <v>74</v>
      </c>
      <c r="R145" t="s">
        <v>74</v>
      </c>
      <c r="S145" t="s">
        <v>74</v>
      </c>
      <c r="T145" t="s">
        <v>74</v>
      </c>
      <c r="U145" t="s">
        <v>74</v>
      </c>
      <c r="V145" t="s">
        <v>74</v>
      </c>
      <c r="W145" t="s">
        <v>74</v>
      </c>
      <c r="X145" t="s">
        <v>74</v>
      </c>
      <c r="Y145" t="s">
        <v>74</v>
      </c>
      <c r="Z145" t="s">
        <v>74</v>
      </c>
      <c r="AA145" t="s">
        <v>7113</v>
      </c>
      <c r="AB145" t="s">
        <v>7114</v>
      </c>
      <c r="AC145" t="s">
        <v>74</v>
      </c>
      <c r="AD145" t="s">
        <v>74</v>
      </c>
      <c r="AE145" t="s">
        <v>74</v>
      </c>
      <c r="AF145" t="s">
        <v>74</v>
      </c>
      <c r="AG145" t="s">
        <v>74</v>
      </c>
      <c r="AH145" t="s">
        <v>74</v>
      </c>
      <c r="AI145" t="s">
        <v>74</v>
      </c>
      <c r="AJ145" t="s">
        <v>74</v>
      </c>
      <c r="AK145" t="s">
        <v>74</v>
      </c>
      <c r="AL145" t="s">
        <v>74</v>
      </c>
      <c r="AM145" t="s">
        <v>74</v>
      </c>
      <c r="AN145" t="s">
        <v>74</v>
      </c>
      <c r="AO145" t="s">
        <v>1717</v>
      </c>
      <c r="AP145" t="s">
        <v>1718</v>
      </c>
      <c r="AQ145" t="s">
        <v>74</v>
      </c>
      <c r="AR145" t="s">
        <v>74</v>
      </c>
      <c r="AS145" t="s">
        <v>74</v>
      </c>
      <c r="AT145" t="s">
        <v>406</v>
      </c>
      <c r="AU145">
        <v>2012</v>
      </c>
      <c r="AV145">
        <v>48</v>
      </c>
      <c r="AW145">
        <v>5</v>
      </c>
      <c r="AX145" t="s">
        <v>74</v>
      </c>
      <c r="AY145" t="s">
        <v>74</v>
      </c>
      <c r="AZ145" t="s">
        <v>74</v>
      </c>
      <c r="BA145" t="s">
        <v>74</v>
      </c>
      <c r="BB145">
        <v>1197</v>
      </c>
      <c r="BC145">
        <v>1208</v>
      </c>
      <c r="BD145" t="s">
        <v>74</v>
      </c>
      <c r="BE145" t="s">
        <v>4556</v>
      </c>
      <c r="BF145" t="str">
        <f>HYPERLINK("http://dx.doi.org/10.1111/j.1529-8817.2012.01205.x","http://dx.doi.org/10.1111/j.1529-8817.2012.01205.x")</f>
        <v>http://dx.doi.org/10.1111/j.1529-8817.2012.01205.x</v>
      </c>
      <c r="BG145" t="s">
        <v>74</v>
      </c>
      <c r="BH145" t="s">
        <v>74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>
        <v>27011279</v>
      </c>
      <c r="BO145" t="s">
        <v>74</v>
      </c>
      <c r="BP145" t="s">
        <v>74</v>
      </c>
      <c r="BQ145" t="s">
        <v>74</v>
      </c>
      <c r="BR145" t="s">
        <v>74</v>
      </c>
      <c r="BS145" t="s">
        <v>4557</v>
      </c>
      <c r="BT145" t="str">
        <f>HYPERLINK("https%3A%2F%2Fwww.webofscience.com%2Fwos%2Fwoscc%2Ffull-record%2FWOS:000309462500014","View Full Record in Web of Science")</f>
        <v>View Full Record in Web of Science</v>
      </c>
    </row>
    <row r="146" spans="1:72" x14ac:dyDescent="0.2">
      <c r="A146" t="s">
        <v>72</v>
      </c>
      <c r="B146" t="s">
        <v>4564</v>
      </c>
      <c r="C146" t="s">
        <v>74</v>
      </c>
      <c r="D146" t="s">
        <v>74</v>
      </c>
      <c r="E146" t="s">
        <v>74</v>
      </c>
      <c r="F146" t="s">
        <v>4565</v>
      </c>
      <c r="G146" t="s">
        <v>74</v>
      </c>
      <c r="H146" t="s">
        <v>74</v>
      </c>
      <c r="I146" t="s">
        <v>4566</v>
      </c>
      <c r="J146" t="s">
        <v>2526</v>
      </c>
      <c r="K146" t="s">
        <v>74</v>
      </c>
      <c r="L146" t="s">
        <v>74</v>
      </c>
      <c r="M146" t="s">
        <v>74</v>
      </c>
      <c r="N146" t="s">
        <v>74</v>
      </c>
      <c r="O146" t="s">
        <v>74</v>
      </c>
      <c r="P146" t="s">
        <v>74</v>
      </c>
      <c r="Q146" t="s">
        <v>74</v>
      </c>
      <c r="R146" t="s">
        <v>74</v>
      </c>
      <c r="S146" t="s">
        <v>74</v>
      </c>
      <c r="T146" t="s">
        <v>74</v>
      </c>
      <c r="U146" t="s">
        <v>74</v>
      </c>
      <c r="V146" t="s">
        <v>74</v>
      </c>
      <c r="W146" t="s">
        <v>74</v>
      </c>
      <c r="X146" t="s">
        <v>74</v>
      </c>
      <c r="Y146" t="s">
        <v>74</v>
      </c>
      <c r="Z146" t="s">
        <v>74</v>
      </c>
      <c r="AA146" t="s">
        <v>7117</v>
      </c>
      <c r="AB146" t="s">
        <v>7118</v>
      </c>
      <c r="AC146" t="s">
        <v>74</v>
      </c>
      <c r="AD146" t="s">
        <v>74</v>
      </c>
      <c r="AE146" t="s">
        <v>74</v>
      </c>
      <c r="AF146" t="s">
        <v>74</v>
      </c>
      <c r="AG146" t="s">
        <v>74</v>
      </c>
      <c r="AH146" t="s">
        <v>74</v>
      </c>
      <c r="AI146" t="s">
        <v>74</v>
      </c>
      <c r="AJ146" t="s">
        <v>74</v>
      </c>
      <c r="AK146" t="s">
        <v>74</v>
      </c>
      <c r="AL146" t="s">
        <v>74</v>
      </c>
      <c r="AM146" t="s">
        <v>74</v>
      </c>
      <c r="AN146" t="s">
        <v>74</v>
      </c>
      <c r="AO146" t="s">
        <v>2527</v>
      </c>
      <c r="AP146" t="s">
        <v>74</v>
      </c>
      <c r="AQ146" t="s">
        <v>74</v>
      </c>
      <c r="AR146" t="s">
        <v>74</v>
      </c>
      <c r="AS146" t="s">
        <v>74</v>
      </c>
      <c r="AT146" t="s">
        <v>4567</v>
      </c>
      <c r="AU146">
        <v>2012</v>
      </c>
      <c r="AV146">
        <v>109</v>
      </c>
      <c r="AW146">
        <v>38</v>
      </c>
      <c r="AX146" t="s">
        <v>74</v>
      </c>
      <c r="AY146" t="s">
        <v>74</v>
      </c>
      <c r="AZ146" t="s">
        <v>74</v>
      </c>
      <c r="BA146" t="s">
        <v>74</v>
      </c>
      <c r="BB146">
        <v>15377</v>
      </c>
      <c r="BC146">
        <v>15382</v>
      </c>
      <c r="BD146" t="s">
        <v>74</v>
      </c>
      <c r="BE146" t="s">
        <v>4568</v>
      </c>
      <c r="BF146" t="str">
        <f>HYPERLINK("http://dx.doi.org/10.1073/pnas.1209938109","http://dx.doi.org/10.1073/pnas.1209938109")</f>
        <v>http://dx.doi.org/10.1073/pnas.1209938109</v>
      </c>
      <c r="BG146" t="s">
        <v>74</v>
      </c>
      <c r="BH146" t="s">
        <v>74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>
        <v>22949653</v>
      </c>
      <c r="BO146" t="s">
        <v>74</v>
      </c>
      <c r="BP146" t="s">
        <v>74</v>
      </c>
      <c r="BQ146" t="s">
        <v>74</v>
      </c>
      <c r="BR146" t="s">
        <v>74</v>
      </c>
      <c r="BS146" t="s">
        <v>4569</v>
      </c>
      <c r="BT146" t="str">
        <f>HYPERLINK("https%3A%2F%2Fwww.webofscience.com%2Fwos%2Fwoscc%2Ffull-record%2FWOS:000309211000064","View Full Record in Web of Science")</f>
        <v>View Full Record in Web of Science</v>
      </c>
    </row>
    <row r="147" spans="1:72" x14ac:dyDescent="0.2">
      <c r="A147" t="s">
        <v>72</v>
      </c>
      <c r="B147" t="s">
        <v>4584</v>
      </c>
      <c r="C147" t="s">
        <v>74</v>
      </c>
      <c r="D147" t="s">
        <v>74</v>
      </c>
      <c r="E147" t="s">
        <v>74</v>
      </c>
      <c r="F147" t="s">
        <v>4585</v>
      </c>
      <c r="G147" t="s">
        <v>74</v>
      </c>
      <c r="H147" t="s">
        <v>74</v>
      </c>
      <c r="I147" t="s">
        <v>4586</v>
      </c>
      <c r="J147" t="s">
        <v>4587</v>
      </c>
      <c r="K147" t="s">
        <v>74</v>
      </c>
      <c r="L147" t="s">
        <v>74</v>
      </c>
      <c r="M147" t="s">
        <v>74</v>
      </c>
      <c r="N147" t="s">
        <v>74</v>
      </c>
      <c r="O147" t="s">
        <v>74</v>
      </c>
      <c r="P147" t="s">
        <v>74</v>
      </c>
      <c r="Q147" t="s">
        <v>74</v>
      </c>
      <c r="R147" t="s">
        <v>74</v>
      </c>
      <c r="S147" t="s">
        <v>74</v>
      </c>
      <c r="T147" t="s">
        <v>74</v>
      </c>
      <c r="U147" t="s">
        <v>74</v>
      </c>
      <c r="V147" t="s">
        <v>74</v>
      </c>
      <c r="W147" t="s">
        <v>74</v>
      </c>
      <c r="X147" t="s">
        <v>74</v>
      </c>
      <c r="Y147" t="s">
        <v>74</v>
      </c>
      <c r="Z147" t="s">
        <v>74</v>
      </c>
      <c r="AA147" t="s">
        <v>4588</v>
      </c>
      <c r="AB147" t="s">
        <v>4589</v>
      </c>
      <c r="AC147" t="s">
        <v>74</v>
      </c>
      <c r="AD147" t="s">
        <v>74</v>
      </c>
      <c r="AE147" t="s">
        <v>74</v>
      </c>
      <c r="AF147" t="s">
        <v>74</v>
      </c>
      <c r="AG147" t="s">
        <v>74</v>
      </c>
      <c r="AH147" t="s">
        <v>74</v>
      </c>
      <c r="AI147" t="s">
        <v>74</v>
      </c>
      <c r="AJ147" t="s">
        <v>74</v>
      </c>
      <c r="AK147" t="s">
        <v>74</v>
      </c>
      <c r="AL147" t="s">
        <v>74</v>
      </c>
      <c r="AM147" t="s">
        <v>74</v>
      </c>
      <c r="AN147" t="s">
        <v>74</v>
      </c>
      <c r="AO147" t="s">
        <v>4590</v>
      </c>
      <c r="AP147" t="s">
        <v>4591</v>
      </c>
      <c r="AQ147" t="s">
        <v>74</v>
      </c>
      <c r="AR147" t="s">
        <v>74</v>
      </c>
      <c r="AS147" t="s">
        <v>74</v>
      </c>
      <c r="AT147" t="s">
        <v>520</v>
      </c>
      <c r="AU147">
        <v>2012</v>
      </c>
      <c r="AV147">
        <v>48</v>
      </c>
      <c r="AW147">
        <v>3</v>
      </c>
      <c r="AX147" t="s">
        <v>74</v>
      </c>
      <c r="AY147" t="s">
        <v>74</v>
      </c>
      <c r="AZ147" t="s">
        <v>74</v>
      </c>
      <c r="BA147" t="s">
        <v>74</v>
      </c>
      <c r="BB147">
        <v>169</v>
      </c>
      <c r="BC147">
        <v>177</v>
      </c>
      <c r="BD147" t="s">
        <v>74</v>
      </c>
      <c r="BE147" t="s">
        <v>4592</v>
      </c>
      <c r="BF147" t="str">
        <f>HYPERLINK("http://dx.doi.org/10.1016/j.ejop.2011.10.004","http://dx.doi.org/10.1016/j.ejop.2011.10.004")</f>
        <v>http://dx.doi.org/10.1016/j.ejop.2011.10.004</v>
      </c>
      <c r="BG147" t="s">
        <v>74</v>
      </c>
      <c r="BH147" t="s">
        <v>74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>
        <v>22261279</v>
      </c>
      <c r="BO147" t="s">
        <v>74</v>
      </c>
      <c r="BP147" t="s">
        <v>74</v>
      </c>
      <c r="BQ147" t="s">
        <v>74</v>
      </c>
      <c r="BR147" t="s">
        <v>74</v>
      </c>
      <c r="BS147" t="s">
        <v>4593</v>
      </c>
      <c r="BT147" t="str">
        <f>HYPERLINK("https%3A%2F%2Fwww.webofscience.com%2Fwos%2Fwoscc%2Ffull-record%2FWOS:000306880900002","View Full Record in Web of Science")</f>
        <v>View Full Record in Web of Science</v>
      </c>
    </row>
    <row r="148" spans="1:72" x14ac:dyDescent="0.2">
      <c r="A148" t="s">
        <v>72</v>
      </c>
      <c r="B148" t="s">
        <v>4606</v>
      </c>
      <c r="C148" t="s">
        <v>74</v>
      </c>
      <c r="D148" t="s">
        <v>74</v>
      </c>
      <c r="E148" t="s">
        <v>74</v>
      </c>
      <c r="F148" t="s">
        <v>4607</v>
      </c>
      <c r="G148" t="s">
        <v>74</v>
      </c>
      <c r="H148" t="s">
        <v>74</v>
      </c>
      <c r="I148" t="s">
        <v>4608</v>
      </c>
      <c r="J148" t="s">
        <v>3443</v>
      </c>
      <c r="K148" t="s">
        <v>74</v>
      </c>
      <c r="L148" t="s">
        <v>74</v>
      </c>
      <c r="M148" t="s">
        <v>74</v>
      </c>
      <c r="N148" t="s">
        <v>74</v>
      </c>
      <c r="O148" t="s">
        <v>74</v>
      </c>
      <c r="P148" t="s">
        <v>74</v>
      </c>
      <c r="Q148" t="s">
        <v>74</v>
      </c>
      <c r="R148" t="s">
        <v>74</v>
      </c>
      <c r="S148" t="s">
        <v>74</v>
      </c>
      <c r="T148" t="s">
        <v>74</v>
      </c>
      <c r="U148" t="s">
        <v>74</v>
      </c>
      <c r="V148" t="s">
        <v>74</v>
      </c>
      <c r="W148" t="s">
        <v>74</v>
      </c>
      <c r="X148" t="s">
        <v>74</v>
      </c>
      <c r="Y148" t="s">
        <v>74</v>
      </c>
      <c r="Z148" t="s">
        <v>74</v>
      </c>
      <c r="AA148" t="s">
        <v>4609</v>
      </c>
      <c r="AB148" t="s">
        <v>7120</v>
      </c>
      <c r="AC148" t="s">
        <v>74</v>
      </c>
      <c r="AD148" t="s">
        <v>74</v>
      </c>
      <c r="AE148" t="s">
        <v>74</v>
      </c>
      <c r="AF148" t="s">
        <v>74</v>
      </c>
      <c r="AG148" t="s">
        <v>74</v>
      </c>
      <c r="AH148" t="s">
        <v>74</v>
      </c>
      <c r="AI148" t="s">
        <v>74</v>
      </c>
      <c r="AJ148" t="s">
        <v>74</v>
      </c>
      <c r="AK148" t="s">
        <v>74</v>
      </c>
      <c r="AL148" t="s">
        <v>74</v>
      </c>
      <c r="AM148" t="s">
        <v>74</v>
      </c>
      <c r="AN148" t="s">
        <v>74</v>
      </c>
      <c r="AO148" t="s">
        <v>3445</v>
      </c>
      <c r="AP148" t="s">
        <v>74</v>
      </c>
      <c r="AQ148" t="s">
        <v>74</v>
      </c>
      <c r="AR148" t="s">
        <v>74</v>
      </c>
      <c r="AS148" t="s">
        <v>74</v>
      </c>
      <c r="AT148" t="s">
        <v>4610</v>
      </c>
      <c r="AU148">
        <v>2012</v>
      </c>
      <c r="AV148">
        <v>7</v>
      </c>
      <c r="AW148">
        <v>6</v>
      </c>
      <c r="AX148" t="s">
        <v>74</v>
      </c>
      <c r="AY148" t="s">
        <v>74</v>
      </c>
      <c r="AZ148" t="s">
        <v>74</v>
      </c>
      <c r="BA148" t="s">
        <v>74</v>
      </c>
      <c r="BB148" t="s">
        <v>74</v>
      </c>
      <c r="BC148" t="s">
        <v>74</v>
      </c>
      <c r="BD148" t="s">
        <v>4611</v>
      </c>
      <c r="BE148" t="s">
        <v>4612</v>
      </c>
      <c r="BF148" t="str">
        <f>HYPERLINK("http://dx.doi.org/10.1371/journal.pone.0038552","http://dx.doi.org/10.1371/journal.pone.0038552")</f>
        <v>http://dx.doi.org/10.1371/journal.pone.0038552</v>
      </c>
      <c r="BG148" t="s">
        <v>74</v>
      </c>
      <c r="BH148" t="s">
        <v>74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>
        <v>22715392</v>
      </c>
      <c r="BO148" t="s">
        <v>74</v>
      </c>
      <c r="BP148" t="s">
        <v>74</v>
      </c>
      <c r="BQ148" t="s">
        <v>74</v>
      </c>
      <c r="BR148" t="s">
        <v>74</v>
      </c>
      <c r="BS148" t="s">
        <v>4613</v>
      </c>
      <c r="BT148" t="str">
        <f>HYPERLINK("https%3A%2F%2Fwww.webofscience.com%2Fwos%2Fwoscc%2Ffull-record%2FWOS:000305336800034","View Full Record in Web of Science")</f>
        <v>View Full Record in Web of Science</v>
      </c>
    </row>
    <row r="149" spans="1:72" x14ac:dyDescent="0.2">
      <c r="A149" t="s">
        <v>72</v>
      </c>
      <c r="B149" t="s">
        <v>4636</v>
      </c>
      <c r="C149" t="s">
        <v>74</v>
      </c>
      <c r="D149" t="s">
        <v>74</v>
      </c>
      <c r="E149" t="s">
        <v>74</v>
      </c>
      <c r="F149" t="s">
        <v>4637</v>
      </c>
      <c r="G149" t="s">
        <v>74</v>
      </c>
      <c r="H149" t="s">
        <v>74</v>
      </c>
      <c r="I149" t="s">
        <v>4638</v>
      </c>
      <c r="J149" t="s">
        <v>1063</v>
      </c>
      <c r="K149" t="s">
        <v>74</v>
      </c>
      <c r="L149" t="s">
        <v>74</v>
      </c>
      <c r="M149" t="s">
        <v>74</v>
      </c>
      <c r="N149" t="s">
        <v>74</v>
      </c>
      <c r="O149" t="s">
        <v>74</v>
      </c>
      <c r="P149" t="s">
        <v>74</v>
      </c>
      <c r="Q149" t="s">
        <v>74</v>
      </c>
      <c r="R149" t="s">
        <v>74</v>
      </c>
      <c r="S149" t="s">
        <v>74</v>
      </c>
      <c r="T149" t="s">
        <v>74</v>
      </c>
      <c r="U149" t="s">
        <v>74</v>
      </c>
      <c r="V149" t="s">
        <v>74</v>
      </c>
      <c r="W149" t="s">
        <v>74</v>
      </c>
      <c r="X149" t="s">
        <v>74</v>
      </c>
      <c r="Y149" t="s">
        <v>74</v>
      </c>
      <c r="Z149" t="s">
        <v>74</v>
      </c>
      <c r="AA149" t="s">
        <v>4639</v>
      </c>
      <c r="AB149" t="s">
        <v>4640</v>
      </c>
      <c r="AC149" t="s">
        <v>74</v>
      </c>
      <c r="AD149" t="s">
        <v>74</v>
      </c>
      <c r="AE149" t="s">
        <v>74</v>
      </c>
      <c r="AF149" t="s">
        <v>74</v>
      </c>
      <c r="AG149" t="s">
        <v>74</v>
      </c>
      <c r="AH149" t="s">
        <v>74</v>
      </c>
      <c r="AI149" t="s">
        <v>74</v>
      </c>
      <c r="AJ149" t="s">
        <v>74</v>
      </c>
      <c r="AK149" t="s">
        <v>74</v>
      </c>
      <c r="AL149" t="s">
        <v>74</v>
      </c>
      <c r="AM149" t="s">
        <v>74</v>
      </c>
      <c r="AN149" t="s">
        <v>74</v>
      </c>
      <c r="AO149" t="s">
        <v>1065</v>
      </c>
      <c r="AP149" t="s">
        <v>1066</v>
      </c>
      <c r="AQ149" t="s">
        <v>74</v>
      </c>
      <c r="AR149" t="s">
        <v>74</v>
      </c>
      <c r="AS149" t="s">
        <v>74</v>
      </c>
      <c r="AT149" t="s">
        <v>203</v>
      </c>
      <c r="AU149">
        <v>2012</v>
      </c>
      <c r="AV149">
        <v>87</v>
      </c>
      <c r="AW149">
        <v>4</v>
      </c>
      <c r="AX149" t="s">
        <v>74</v>
      </c>
      <c r="AY149" t="s">
        <v>74</v>
      </c>
      <c r="AZ149" t="s">
        <v>74</v>
      </c>
      <c r="BA149" t="s">
        <v>74</v>
      </c>
      <c r="BB149">
        <v>326</v>
      </c>
      <c r="BC149">
        <v>332</v>
      </c>
      <c r="BD149" t="s">
        <v>74</v>
      </c>
      <c r="BE149" t="s">
        <v>4641</v>
      </c>
      <c r="BF149" t="str">
        <f>HYPERLINK("http://dx.doi.org/10.1016/j.chemosphere.2011.12.014","http://dx.doi.org/10.1016/j.chemosphere.2011.12.014")</f>
        <v>http://dx.doi.org/10.1016/j.chemosphere.2011.12.014</v>
      </c>
      <c r="BG149" t="s">
        <v>74</v>
      </c>
      <c r="BH149" t="s">
        <v>74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>
        <v>22209250</v>
      </c>
      <c r="BO149" t="s">
        <v>74</v>
      </c>
      <c r="BP149" t="s">
        <v>74</v>
      </c>
      <c r="BQ149" t="s">
        <v>74</v>
      </c>
      <c r="BR149" t="s">
        <v>74</v>
      </c>
      <c r="BS149" t="s">
        <v>4642</v>
      </c>
      <c r="BT149" t="str">
        <f>HYPERLINK("https%3A%2F%2Fwww.webofscience.com%2Fwos%2Fwoscc%2Ffull-record%2FWOS:000302045600006","View Full Record in Web of Science")</f>
        <v>View Full Record in Web of Science</v>
      </c>
    </row>
    <row r="150" spans="1:72" x14ac:dyDescent="0.2">
      <c r="A150" t="s">
        <v>72</v>
      </c>
      <c r="B150" t="s">
        <v>4656</v>
      </c>
      <c r="C150" t="s">
        <v>74</v>
      </c>
      <c r="D150" t="s">
        <v>74</v>
      </c>
      <c r="E150" t="s">
        <v>74</v>
      </c>
      <c r="F150" t="s">
        <v>4657</v>
      </c>
      <c r="G150" t="s">
        <v>74</v>
      </c>
      <c r="H150" t="s">
        <v>74</v>
      </c>
      <c r="I150" t="s">
        <v>4658</v>
      </c>
      <c r="J150" t="s">
        <v>4659</v>
      </c>
      <c r="K150" t="s">
        <v>74</v>
      </c>
      <c r="L150" t="s">
        <v>74</v>
      </c>
      <c r="M150" t="s">
        <v>74</v>
      </c>
      <c r="N150" t="s">
        <v>74</v>
      </c>
      <c r="O150" t="s">
        <v>74</v>
      </c>
      <c r="P150" t="s">
        <v>74</v>
      </c>
      <c r="Q150" t="s">
        <v>74</v>
      </c>
      <c r="R150" t="s">
        <v>74</v>
      </c>
      <c r="S150" t="s">
        <v>74</v>
      </c>
      <c r="T150" t="s">
        <v>74</v>
      </c>
      <c r="U150" t="s">
        <v>74</v>
      </c>
      <c r="V150" t="s">
        <v>74</v>
      </c>
      <c r="W150" t="s">
        <v>74</v>
      </c>
      <c r="X150" t="s">
        <v>74</v>
      </c>
      <c r="Y150" t="s">
        <v>74</v>
      </c>
      <c r="Z150" t="s">
        <v>74</v>
      </c>
      <c r="AA150" t="s">
        <v>4660</v>
      </c>
      <c r="AB150" t="s">
        <v>4661</v>
      </c>
      <c r="AC150" t="s">
        <v>74</v>
      </c>
      <c r="AD150" t="s">
        <v>74</v>
      </c>
      <c r="AE150" t="s">
        <v>74</v>
      </c>
      <c r="AF150" t="s">
        <v>74</v>
      </c>
      <c r="AG150" t="s">
        <v>74</v>
      </c>
      <c r="AH150" t="s">
        <v>74</v>
      </c>
      <c r="AI150" t="s">
        <v>74</v>
      </c>
      <c r="AJ150" t="s">
        <v>74</v>
      </c>
      <c r="AK150" t="s">
        <v>74</v>
      </c>
      <c r="AL150" t="s">
        <v>74</v>
      </c>
      <c r="AM150" t="s">
        <v>74</v>
      </c>
      <c r="AN150" t="s">
        <v>74</v>
      </c>
      <c r="AO150" t="s">
        <v>4662</v>
      </c>
      <c r="AP150" t="s">
        <v>74</v>
      </c>
      <c r="AQ150" t="s">
        <v>74</v>
      </c>
      <c r="AR150" t="s">
        <v>74</v>
      </c>
      <c r="AS150" t="s">
        <v>74</v>
      </c>
      <c r="AT150" t="s">
        <v>203</v>
      </c>
      <c r="AU150">
        <v>2012</v>
      </c>
      <c r="AV150">
        <v>13</v>
      </c>
      <c r="AW150">
        <v>4</v>
      </c>
      <c r="AX150" t="s">
        <v>74</v>
      </c>
      <c r="AY150" t="s">
        <v>74</v>
      </c>
      <c r="AZ150" t="s">
        <v>74</v>
      </c>
      <c r="BA150" t="s">
        <v>74</v>
      </c>
      <c r="BB150">
        <v>311</v>
      </c>
      <c r="BC150">
        <v>322</v>
      </c>
      <c r="BD150" t="s">
        <v>74</v>
      </c>
      <c r="BE150" t="s">
        <v>4663</v>
      </c>
      <c r="BF150" t="str">
        <f>HYPERLINK("http://dx.doi.org/10.1631/jzus.A1100197","http://dx.doi.org/10.1631/jzus.A1100197")</f>
        <v>http://dx.doi.org/10.1631/jzus.A1100197</v>
      </c>
      <c r="BG150" t="s">
        <v>74</v>
      </c>
      <c r="BH150" t="s">
        <v>74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 t="s">
        <v>74</v>
      </c>
      <c r="BR150" t="s">
        <v>74</v>
      </c>
      <c r="BS150" t="s">
        <v>4664</v>
      </c>
      <c r="BT150" t="str">
        <f>HYPERLINK("https%3A%2F%2Fwww.webofscience.com%2Fwos%2Fwoscc%2Ffull-record%2FWOS:000302400300006","View Full Record in Web of Science")</f>
        <v>View Full Record in Web of Science</v>
      </c>
    </row>
    <row r="151" spans="1:72" x14ac:dyDescent="0.2">
      <c r="A151" t="s">
        <v>72</v>
      </c>
      <c r="B151" t="s">
        <v>4697</v>
      </c>
      <c r="C151" t="s">
        <v>74</v>
      </c>
      <c r="D151" t="s">
        <v>74</v>
      </c>
      <c r="E151" t="s">
        <v>74</v>
      </c>
      <c r="F151" t="s">
        <v>4698</v>
      </c>
      <c r="G151" t="s">
        <v>74</v>
      </c>
      <c r="H151" t="s">
        <v>74</v>
      </c>
      <c r="I151" t="s">
        <v>4699</v>
      </c>
      <c r="J151" t="s">
        <v>1615</v>
      </c>
      <c r="K151" t="s">
        <v>74</v>
      </c>
      <c r="L151" t="s">
        <v>74</v>
      </c>
      <c r="M151" t="s">
        <v>74</v>
      </c>
      <c r="N151" t="s">
        <v>74</v>
      </c>
      <c r="O151" t="s">
        <v>74</v>
      </c>
      <c r="P151" t="s">
        <v>74</v>
      </c>
      <c r="Q151" t="s">
        <v>74</v>
      </c>
      <c r="R151" t="s">
        <v>74</v>
      </c>
      <c r="S151" t="s">
        <v>74</v>
      </c>
      <c r="T151" t="s">
        <v>74</v>
      </c>
      <c r="U151" t="s">
        <v>74</v>
      </c>
      <c r="V151" t="s">
        <v>74</v>
      </c>
      <c r="W151" t="s">
        <v>74</v>
      </c>
      <c r="X151" t="s">
        <v>74</v>
      </c>
      <c r="Y151" t="s">
        <v>74</v>
      </c>
      <c r="Z151" t="s">
        <v>74</v>
      </c>
      <c r="AA151" t="s">
        <v>74</v>
      </c>
      <c r="AB151" t="s">
        <v>74</v>
      </c>
      <c r="AC151" t="s">
        <v>74</v>
      </c>
      <c r="AD151" t="s">
        <v>74</v>
      </c>
      <c r="AE151" t="s">
        <v>74</v>
      </c>
      <c r="AF151" t="s">
        <v>74</v>
      </c>
      <c r="AG151" t="s">
        <v>74</v>
      </c>
      <c r="AH151" t="s">
        <v>74</v>
      </c>
      <c r="AI151" t="s">
        <v>74</v>
      </c>
      <c r="AJ151" t="s">
        <v>74</v>
      </c>
      <c r="AK151" t="s">
        <v>74</v>
      </c>
      <c r="AL151" t="s">
        <v>74</v>
      </c>
      <c r="AM151" t="s">
        <v>74</v>
      </c>
      <c r="AN151" t="s">
        <v>74</v>
      </c>
      <c r="AO151" t="s">
        <v>1616</v>
      </c>
      <c r="AP151" t="s">
        <v>1617</v>
      </c>
      <c r="AQ151" t="s">
        <v>74</v>
      </c>
      <c r="AR151" t="s">
        <v>74</v>
      </c>
      <c r="AS151" t="s">
        <v>74</v>
      </c>
      <c r="AT151" t="s">
        <v>157</v>
      </c>
      <c r="AU151">
        <v>2012</v>
      </c>
      <c r="AV151">
        <v>51</v>
      </c>
      <c r="AW151">
        <v>2</v>
      </c>
      <c r="AX151" t="s">
        <v>74</v>
      </c>
      <c r="AY151" t="s">
        <v>74</v>
      </c>
      <c r="AZ151" t="s">
        <v>74</v>
      </c>
      <c r="BA151" t="s">
        <v>74</v>
      </c>
      <c r="BB151">
        <v>222</v>
      </c>
      <c r="BC151">
        <v>231</v>
      </c>
      <c r="BD151" t="s">
        <v>74</v>
      </c>
      <c r="BE151" t="s">
        <v>74</v>
      </c>
      <c r="BF151" t="s">
        <v>74</v>
      </c>
      <c r="BG151" t="s">
        <v>74</v>
      </c>
      <c r="BH151" t="s">
        <v>74</v>
      </c>
      <c r="BI151" t="s">
        <v>74</v>
      </c>
      <c r="BJ151" t="s">
        <v>74</v>
      </c>
      <c r="BK151" t="s">
        <v>74</v>
      </c>
      <c r="BL151" t="s">
        <v>74</v>
      </c>
      <c r="BM151" t="s">
        <v>74</v>
      </c>
      <c r="BN151" t="s">
        <v>74</v>
      </c>
      <c r="BO151" t="s">
        <v>74</v>
      </c>
      <c r="BP151" t="s">
        <v>74</v>
      </c>
      <c r="BQ151" t="s">
        <v>74</v>
      </c>
      <c r="BR151" t="s">
        <v>74</v>
      </c>
      <c r="BS151" t="s">
        <v>4700</v>
      </c>
      <c r="BT151" t="str">
        <f>HYPERLINK("https%3A%2F%2Fwww.webofscience.com%2Fwos%2Fwoscc%2Ffull-record%2FWOS:000301691500010","View Full Record in Web of Science")</f>
        <v>View Full Record in Web of Science</v>
      </c>
    </row>
    <row r="152" spans="1:72" x14ac:dyDescent="0.2">
      <c r="A152" t="s">
        <v>72</v>
      </c>
      <c r="B152" t="s">
        <v>4701</v>
      </c>
      <c r="C152" t="s">
        <v>74</v>
      </c>
      <c r="D152" t="s">
        <v>74</v>
      </c>
      <c r="E152" t="s">
        <v>74</v>
      </c>
      <c r="F152" t="s">
        <v>4702</v>
      </c>
      <c r="G152" t="s">
        <v>74</v>
      </c>
      <c r="H152" t="s">
        <v>74</v>
      </c>
      <c r="I152" t="s">
        <v>4703</v>
      </c>
      <c r="J152" t="s">
        <v>145</v>
      </c>
      <c r="K152" t="s">
        <v>74</v>
      </c>
      <c r="L152" t="s">
        <v>74</v>
      </c>
      <c r="M152" t="s">
        <v>74</v>
      </c>
      <c r="N152" t="s">
        <v>74</v>
      </c>
      <c r="O152" t="s">
        <v>74</v>
      </c>
      <c r="P152" t="s">
        <v>74</v>
      </c>
      <c r="Q152" t="s">
        <v>74</v>
      </c>
      <c r="R152" t="s">
        <v>74</v>
      </c>
      <c r="S152" t="s">
        <v>74</v>
      </c>
      <c r="T152" t="s">
        <v>74</v>
      </c>
      <c r="U152" t="s">
        <v>74</v>
      </c>
      <c r="V152" t="s">
        <v>74</v>
      </c>
      <c r="W152" t="s">
        <v>74</v>
      </c>
      <c r="X152" t="s">
        <v>74</v>
      </c>
      <c r="Y152" t="s">
        <v>74</v>
      </c>
      <c r="Z152" t="s">
        <v>74</v>
      </c>
      <c r="AA152" t="s">
        <v>4704</v>
      </c>
      <c r="AB152" t="s">
        <v>4705</v>
      </c>
      <c r="AC152" t="s">
        <v>74</v>
      </c>
      <c r="AD152" t="s">
        <v>74</v>
      </c>
      <c r="AE152" t="s">
        <v>74</v>
      </c>
      <c r="AF152" t="s">
        <v>74</v>
      </c>
      <c r="AG152" t="s">
        <v>74</v>
      </c>
      <c r="AH152" t="s">
        <v>74</v>
      </c>
      <c r="AI152" t="s">
        <v>74</v>
      </c>
      <c r="AJ152" t="s">
        <v>74</v>
      </c>
      <c r="AK152" t="s">
        <v>74</v>
      </c>
      <c r="AL152" t="s">
        <v>74</v>
      </c>
      <c r="AM152" t="s">
        <v>74</v>
      </c>
      <c r="AN152" t="s">
        <v>74</v>
      </c>
      <c r="AO152" t="s">
        <v>146</v>
      </c>
      <c r="AP152" t="s">
        <v>147</v>
      </c>
      <c r="AQ152" t="s">
        <v>74</v>
      </c>
      <c r="AR152" t="s">
        <v>74</v>
      </c>
      <c r="AS152" t="s">
        <v>74</v>
      </c>
      <c r="AT152" t="s">
        <v>1438</v>
      </c>
      <c r="AU152">
        <v>2012</v>
      </c>
      <c r="AV152">
        <v>416</v>
      </c>
      <c r="AW152" t="s">
        <v>74</v>
      </c>
      <c r="AX152" t="s">
        <v>74</v>
      </c>
      <c r="AY152" t="s">
        <v>74</v>
      </c>
      <c r="AZ152" t="s">
        <v>74</v>
      </c>
      <c r="BA152" t="s">
        <v>74</v>
      </c>
      <c r="BB152">
        <v>300</v>
      </c>
      <c r="BC152">
        <v>313</v>
      </c>
      <c r="BD152" t="s">
        <v>74</v>
      </c>
      <c r="BE152" t="s">
        <v>4706</v>
      </c>
      <c r="BF152" t="str">
        <f>HYPERLINK("http://dx.doi.org/10.1016/j.scitotenv.2011.11.043","http://dx.doi.org/10.1016/j.scitotenv.2011.11.043")</f>
        <v>http://dx.doi.org/10.1016/j.scitotenv.2011.11.043</v>
      </c>
      <c r="BG152" t="s">
        <v>74</v>
      </c>
      <c r="BH152" t="s">
        <v>74</v>
      </c>
      <c r="BI152" t="s">
        <v>74</v>
      </c>
      <c r="BJ152" t="s">
        <v>74</v>
      </c>
      <c r="BK152" t="s">
        <v>74</v>
      </c>
      <c r="BL152" t="s">
        <v>74</v>
      </c>
      <c r="BM152" t="s">
        <v>74</v>
      </c>
      <c r="BN152">
        <v>22172662</v>
      </c>
      <c r="BO152" t="s">
        <v>74</v>
      </c>
      <c r="BP152" t="s">
        <v>74</v>
      </c>
      <c r="BQ152" t="s">
        <v>74</v>
      </c>
      <c r="BR152" t="s">
        <v>74</v>
      </c>
      <c r="BS152" t="s">
        <v>4707</v>
      </c>
      <c r="BT152" t="str">
        <f>HYPERLINK("https%3A%2F%2Fwww.webofscience.com%2Fwos%2Fwoscc%2Ffull-record%2FWOS:000301155200035","View Full Record in Web of Science")</f>
        <v>View Full Record in Web of Science</v>
      </c>
    </row>
    <row r="153" spans="1:72" x14ac:dyDescent="0.2">
      <c r="A153" t="s">
        <v>72</v>
      </c>
      <c r="B153" t="s">
        <v>4713</v>
      </c>
      <c r="C153" t="s">
        <v>74</v>
      </c>
      <c r="D153" t="s">
        <v>74</v>
      </c>
      <c r="E153" t="s">
        <v>74</v>
      </c>
      <c r="F153" t="s">
        <v>4714</v>
      </c>
      <c r="G153" t="s">
        <v>74</v>
      </c>
      <c r="H153" t="s">
        <v>74</v>
      </c>
      <c r="I153" t="s">
        <v>4715</v>
      </c>
      <c r="J153" t="s">
        <v>4716</v>
      </c>
      <c r="K153" t="s">
        <v>74</v>
      </c>
      <c r="L153" t="s">
        <v>74</v>
      </c>
      <c r="M153" t="s">
        <v>74</v>
      </c>
      <c r="N153" t="s">
        <v>74</v>
      </c>
      <c r="O153" t="s">
        <v>74</v>
      </c>
      <c r="P153" t="s">
        <v>74</v>
      </c>
      <c r="Q153" t="s">
        <v>74</v>
      </c>
      <c r="R153" t="s">
        <v>74</v>
      </c>
      <c r="S153" t="s">
        <v>74</v>
      </c>
      <c r="T153" t="s">
        <v>74</v>
      </c>
      <c r="U153" t="s">
        <v>74</v>
      </c>
      <c r="V153" t="s">
        <v>74</v>
      </c>
      <c r="W153" t="s">
        <v>74</v>
      </c>
      <c r="X153" t="s">
        <v>74</v>
      </c>
      <c r="Y153" t="s">
        <v>74</v>
      </c>
      <c r="Z153" t="s">
        <v>74</v>
      </c>
      <c r="AA153" t="s">
        <v>4717</v>
      </c>
      <c r="AB153" t="s">
        <v>4718</v>
      </c>
      <c r="AC153" t="s">
        <v>74</v>
      </c>
      <c r="AD153" t="s">
        <v>74</v>
      </c>
      <c r="AE153" t="s">
        <v>74</v>
      </c>
      <c r="AF153" t="s">
        <v>74</v>
      </c>
      <c r="AG153" t="s">
        <v>74</v>
      </c>
      <c r="AH153" t="s">
        <v>74</v>
      </c>
      <c r="AI153" t="s">
        <v>74</v>
      </c>
      <c r="AJ153" t="s">
        <v>74</v>
      </c>
      <c r="AK153" t="s">
        <v>74</v>
      </c>
      <c r="AL153" t="s">
        <v>74</v>
      </c>
      <c r="AM153" t="s">
        <v>74</v>
      </c>
      <c r="AN153" t="s">
        <v>74</v>
      </c>
      <c r="AO153" t="s">
        <v>4719</v>
      </c>
      <c r="AP153" t="s">
        <v>4720</v>
      </c>
      <c r="AQ153" t="s">
        <v>74</v>
      </c>
      <c r="AR153" t="s">
        <v>74</v>
      </c>
      <c r="AS153" t="s">
        <v>74</v>
      </c>
      <c r="AT153" t="s">
        <v>416</v>
      </c>
      <c r="AU153">
        <v>2012</v>
      </c>
      <c r="AV153">
        <v>7</v>
      </c>
      <c r="AW153">
        <v>1</v>
      </c>
      <c r="AX153" t="s">
        <v>74</v>
      </c>
      <c r="AY153" t="s">
        <v>74</v>
      </c>
      <c r="AZ153" t="s">
        <v>74</v>
      </c>
      <c r="BA153" t="s">
        <v>74</v>
      </c>
      <c r="BB153">
        <v>91</v>
      </c>
      <c r="BC153">
        <v>100</v>
      </c>
      <c r="BD153" t="s">
        <v>74</v>
      </c>
      <c r="BE153" t="s">
        <v>4721</v>
      </c>
      <c r="BF153" t="str">
        <f>HYPERLINK("http://dx.doi.org/10.2478/s11535-011-0098-5","http://dx.doi.org/10.2478/s11535-011-0098-5")</f>
        <v>http://dx.doi.org/10.2478/s11535-011-0098-5</v>
      </c>
      <c r="BG153" t="s">
        <v>74</v>
      </c>
      <c r="BH153" t="s">
        <v>74</v>
      </c>
      <c r="BI153" t="s">
        <v>74</v>
      </c>
      <c r="BJ153" t="s">
        <v>74</v>
      </c>
      <c r="BK153" t="s">
        <v>74</v>
      </c>
      <c r="BL153" t="s">
        <v>74</v>
      </c>
      <c r="BM153" t="s">
        <v>74</v>
      </c>
      <c r="BN153" t="s">
        <v>74</v>
      </c>
      <c r="BO153" t="s">
        <v>74</v>
      </c>
      <c r="BP153" t="s">
        <v>74</v>
      </c>
      <c r="BQ153" t="s">
        <v>74</v>
      </c>
      <c r="BR153" t="s">
        <v>74</v>
      </c>
      <c r="BS153" t="s">
        <v>4722</v>
      </c>
      <c r="BT153" t="str">
        <f>HYPERLINK("https%3A%2F%2Fwww.webofscience.com%2Fwos%2Fwoscc%2Ffull-record%2FWOS:000298392500011","View Full Record in Web of Science")</f>
        <v>View Full Record in Web of Science</v>
      </c>
    </row>
    <row r="154" spans="1:72" x14ac:dyDescent="0.2">
      <c r="A154" t="s">
        <v>72</v>
      </c>
      <c r="B154" t="s">
        <v>4730</v>
      </c>
      <c r="C154" t="s">
        <v>74</v>
      </c>
      <c r="D154" t="s">
        <v>74</v>
      </c>
      <c r="E154" t="s">
        <v>74</v>
      </c>
      <c r="F154" t="s">
        <v>4731</v>
      </c>
      <c r="G154" t="s">
        <v>74</v>
      </c>
      <c r="H154" t="s">
        <v>74</v>
      </c>
      <c r="I154" t="s">
        <v>4732</v>
      </c>
      <c r="J154" t="s">
        <v>2769</v>
      </c>
      <c r="K154" t="s">
        <v>74</v>
      </c>
      <c r="L154" t="s">
        <v>74</v>
      </c>
      <c r="M154" t="s">
        <v>74</v>
      </c>
      <c r="N154" t="s">
        <v>74</v>
      </c>
      <c r="O154" t="s">
        <v>74</v>
      </c>
      <c r="P154" t="s">
        <v>74</v>
      </c>
      <c r="Q154" t="s">
        <v>74</v>
      </c>
      <c r="R154" t="s">
        <v>74</v>
      </c>
      <c r="S154" t="s">
        <v>74</v>
      </c>
      <c r="T154" t="s">
        <v>74</v>
      </c>
      <c r="U154" t="s">
        <v>74</v>
      </c>
      <c r="V154" t="s">
        <v>74</v>
      </c>
      <c r="W154" t="s">
        <v>74</v>
      </c>
      <c r="X154" t="s">
        <v>74</v>
      </c>
      <c r="Y154" t="s">
        <v>74</v>
      </c>
      <c r="Z154" t="s">
        <v>74</v>
      </c>
      <c r="AA154" t="s">
        <v>4733</v>
      </c>
      <c r="AB154" t="s">
        <v>4734</v>
      </c>
      <c r="AC154" t="s">
        <v>74</v>
      </c>
      <c r="AD154" t="s">
        <v>74</v>
      </c>
      <c r="AE154" t="s">
        <v>74</v>
      </c>
      <c r="AF154" t="s">
        <v>74</v>
      </c>
      <c r="AG154" t="s">
        <v>74</v>
      </c>
      <c r="AH154" t="s">
        <v>74</v>
      </c>
      <c r="AI154" t="s">
        <v>74</v>
      </c>
      <c r="AJ154" t="s">
        <v>74</v>
      </c>
      <c r="AK154" t="s">
        <v>74</v>
      </c>
      <c r="AL154" t="s">
        <v>74</v>
      </c>
      <c r="AM154" t="s">
        <v>74</v>
      </c>
      <c r="AN154" t="s">
        <v>74</v>
      </c>
      <c r="AO154" t="s">
        <v>2772</v>
      </c>
      <c r="AP154" t="s">
        <v>2773</v>
      </c>
      <c r="AQ154" t="s">
        <v>74</v>
      </c>
      <c r="AR154" t="s">
        <v>74</v>
      </c>
      <c r="AS154" t="s">
        <v>74</v>
      </c>
      <c r="AT154" t="s">
        <v>74</v>
      </c>
      <c r="AU154">
        <v>2012</v>
      </c>
      <c r="AV154">
        <v>66</v>
      </c>
      <c r="AW154">
        <v>3</v>
      </c>
      <c r="AX154" t="s">
        <v>74</v>
      </c>
      <c r="AY154" t="s">
        <v>74</v>
      </c>
      <c r="AZ154" t="s">
        <v>74</v>
      </c>
      <c r="BA154" t="s">
        <v>74</v>
      </c>
      <c r="BB154">
        <v>257</v>
      </c>
      <c r="BC154">
        <v>269</v>
      </c>
      <c r="BD154" t="s">
        <v>74</v>
      </c>
      <c r="BE154" t="s">
        <v>4735</v>
      </c>
      <c r="BF154" t="str">
        <f>HYPERLINK("http://dx.doi.org/10.3354/ame01573","http://dx.doi.org/10.3354/ame01573")</f>
        <v>http://dx.doi.org/10.3354/ame01573</v>
      </c>
      <c r="BG154" t="s">
        <v>74</v>
      </c>
      <c r="BH154" t="s">
        <v>74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 t="s">
        <v>74</v>
      </c>
      <c r="BO154" t="s">
        <v>74</v>
      </c>
      <c r="BP154" t="s">
        <v>74</v>
      </c>
      <c r="BQ154" t="s">
        <v>74</v>
      </c>
      <c r="BR154" t="s">
        <v>74</v>
      </c>
      <c r="BS154" t="s">
        <v>4736</v>
      </c>
      <c r="BT154" t="str">
        <f>HYPERLINK("https%3A%2F%2Fwww.webofscience.com%2Fwos%2Fwoscc%2Ffull-record%2FWOS:000306321900005","View Full Record in Web of Science")</f>
        <v>View Full Record in Web of Science</v>
      </c>
    </row>
    <row r="155" spans="1:72" x14ac:dyDescent="0.2">
      <c r="A155" t="s">
        <v>72</v>
      </c>
      <c r="B155" t="s">
        <v>4748</v>
      </c>
      <c r="C155" t="s">
        <v>74</v>
      </c>
      <c r="D155" t="s">
        <v>74</v>
      </c>
      <c r="E155" t="s">
        <v>74</v>
      </c>
      <c r="F155" t="s">
        <v>4749</v>
      </c>
      <c r="G155" t="s">
        <v>74</v>
      </c>
      <c r="H155" t="s">
        <v>74</v>
      </c>
      <c r="I155" t="s">
        <v>4750</v>
      </c>
      <c r="J155" t="s">
        <v>1323</v>
      </c>
      <c r="K155" t="s">
        <v>74</v>
      </c>
      <c r="L155" t="s">
        <v>74</v>
      </c>
      <c r="M155" t="s">
        <v>74</v>
      </c>
      <c r="N155" t="s">
        <v>74</v>
      </c>
      <c r="O155" t="s">
        <v>74</v>
      </c>
      <c r="P155" t="s">
        <v>74</v>
      </c>
      <c r="Q155" t="s">
        <v>74</v>
      </c>
      <c r="R155" t="s">
        <v>74</v>
      </c>
      <c r="S155" t="s">
        <v>74</v>
      </c>
      <c r="T155" t="s">
        <v>74</v>
      </c>
      <c r="U155" t="s">
        <v>74</v>
      </c>
      <c r="V155" t="s">
        <v>74</v>
      </c>
      <c r="W155" t="s">
        <v>74</v>
      </c>
      <c r="X155" t="s">
        <v>74</v>
      </c>
      <c r="Y155" t="s">
        <v>74</v>
      </c>
      <c r="Z155" t="s">
        <v>74</v>
      </c>
      <c r="AA155" t="s">
        <v>74</v>
      </c>
      <c r="AB155" t="s">
        <v>74</v>
      </c>
      <c r="AC155" t="s">
        <v>74</v>
      </c>
      <c r="AD155" t="s">
        <v>74</v>
      </c>
      <c r="AE155" t="s">
        <v>74</v>
      </c>
      <c r="AF155" t="s">
        <v>74</v>
      </c>
      <c r="AG155" t="s">
        <v>74</v>
      </c>
      <c r="AH155" t="s">
        <v>74</v>
      </c>
      <c r="AI155" t="s">
        <v>74</v>
      </c>
      <c r="AJ155" t="s">
        <v>74</v>
      </c>
      <c r="AK155" t="s">
        <v>74</v>
      </c>
      <c r="AL155" t="s">
        <v>74</v>
      </c>
      <c r="AM155" t="s">
        <v>74</v>
      </c>
      <c r="AN155" t="s">
        <v>74</v>
      </c>
      <c r="AO155" t="s">
        <v>1326</v>
      </c>
      <c r="AP155" t="s">
        <v>1327</v>
      </c>
      <c r="AQ155" t="s">
        <v>74</v>
      </c>
      <c r="AR155" t="s">
        <v>74</v>
      </c>
      <c r="AS155" t="s">
        <v>74</v>
      </c>
      <c r="AT155" t="s">
        <v>315</v>
      </c>
      <c r="AU155">
        <v>2012</v>
      </c>
      <c r="AV155">
        <v>74</v>
      </c>
      <c r="AW155">
        <v>1</v>
      </c>
      <c r="AX155" t="s">
        <v>74</v>
      </c>
      <c r="AY155" t="s">
        <v>74</v>
      </c>
      <c r="AZ155" t="s">
        <v>74</v>
      </c>
      <c r="BA155" t="s">
        <v>74</v>
      </c>
      <c r="BB155">
        <v>203</v>
      </c>
      <c r="BC155">
        <v>212</v>
      </c>
      <c r="BD155" t="s">
        <v>74</v>
      </c>
      <c r="BE155" t="s">
        <v>4751</v>
      </c>
      <c r="BF155" t="str">
        <f>HYPERLINK("http://dx.doi.org/10.1007/s00027-011-0212-9","http://dx.doi.org/10.1007/s00027-011-0212-9")</f>
        <v>http://dx.doi.org/10.1007/s00027-011-0212-9</v>
      </c>
      <c r="BG155" t="s">
        <v>74</v>
      </c>
      <c r="BH155" t="s">
        <v>74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 t="s">
        <v>74</v>
      </c>
      <c r="BO155" t="s">
        <v>74</v>
      </c>
      <c r="BP155" t="s">
        <v>74</v>
      </c>
      <c r="BQ155" t="s">
        <v>74</v>
      </c>
      <c r="BR155" t="s">
        <v>74</v>
      </c>
      <c r="BS155" t="s">
        <v>4752</v>
      </c>
      <c r="BT155" t="str">
        <f>HYPERLINK("https%3A%2F%2Fwww.webofscience.com%2Fwos%2Fwoscc%2Ffull-record%2FWOS:000298750900017","View Full Record in Web of Science")</f>
        <v>View Full Record in Web of Science</v>
      </c>
    </row>
    <row r="156" spans="1:72" x14ac:dyDescent="0.2">
      <c r="A156" t="s">
        <v>72</v>
      </c>
      <c r="B156" t="s">
        <v>4760</v>
      </c>
      <c r="C156" t="s">
        <v>74</v>
      </c>
      <c r="D156" t="s">
        <v>74</v>
      </c>
      <c r="E156" t="s">
        <v>74</v>
      </c>
      <c r="F156" t="s">
        <v>4761</v>
      </c>
      <c r="G156" t="s">
        <v>74</v>
      </c>
      <c r="H156" t="s">
        <v>74</v>
      </c>
      <c r="I156" t="s">
        <v>4762</v>
      </c>
      <c r="J156" t="s">
        <v>2759</v>
      </c>
      <c r="K156" t="s">
        <v>74</v>
      </c>
      <c r="L156" t="s">
        <v>74</v>
      </c>
      <c r="M156" t="s">
        <v>74</v>
      </c>
      <c r="N156" t="s">
        <v>74</v>
      </c>
      <c r="O156" t="s">
        <v>74</v>
      </c>
      <c r="P156" t="s">
        <v>74</v>
      </c>
      <c r="Q156" t="s">
        <v>74</v>
      </c>
      <c r="R156" t="s">
        <v>74</v>
      </c>
      <c r="S156" t="s">
        <v>74</v>
      </c>
      <c r="T156" t="s">
        <v>74</v>
      </c>
      <c r="U156" t="s">
        <v>74</v>
      </c>
      <c r="V156" t="s">
        <v>74</v>
      </c>
      <c r="W156" t="s">
        <v>74</v>
      </c>
      <c r="X156" t="s">
        <v>74</v>
      </c>
      <c r="Y156" t="s">
        <v>74</v>
      </c>
      <c r="Z156" t="s">
        <v>74</v>
      </c>
      <c r="AA156" t="s">
        <v>4763</v>
      </c>
      <c r="AB156" t="s">
        <v>4764</v>
      </c>
      <c r="AC156" t="s">
        <v>74</v>
      </c>
      <c r="AD156" t="s">
        <v>74</v>
      </c>
      <c r="AE156" t="s">
        <v>74</v>
      </c>
      <c r="AF156" t="s">
        <v>74</v>
      </c>
      <c r="AG156" t="s">
        <v>74</v>
      </c>
      <c r="AH156" t="s">
        <v>74</v>
      </c>
      <c r="AI156" t="s">
        <v>74</v>
      </c>
      <c r="AJ156" t="s">
        <v>74</v>
      </c>
      <c r="AK156" t="s">
        <v>74</v>
      </c>
      <c r="AL156" t="s">
        <v>74</v>
      </c>
      <c r="AM156" t="s">
        <v>74</v>
      </c>
      <c r="AN156" t="s">
        <v>74</v>
      </c>
      <c r="AO156" t="s">
        <v>2762</v>
      </c>
      <c r="AP156" t="s">
        <v>2763</v>
      </c>
      <c r="AQ156" t="s">
        <v>74</v>
      </c>
      <c r="AR156" t="s">
        <v>74</v>
      </c>
      <c r="AS156" t="s">
        <v>74</v>
      </c>
      <c r="AT156" t="s">
        <v>315</v>
      </c>
      <c r="AU156">
        <v>2012</v>
      </c>
      <c r="AV156">
        <v>81</v>
      </c>
      <c r="AW156">
        <v>1</v>
      </c>
      <c r="AX156" t="s">
        <v>74</v>
      </c>
      <c r="AY156" t="s">
        <v>74</v>
      </c>
      <c r="AZ156" t="s">
        <v>74</v>
      </c>
      <c r="BA156" t="s">
        <v>74</v>
      </c>
      <c r="BB156">
        <v>251</v>
      </c>
      <c r="BC156">
        <v>259</v>
      </c>
      <c r="BD156" t="s">
        <v>74</v>
      </c>
      <c r="BE156" t="s">
        <v>4765</v>
      </c>
      <c r="BF156" t="str">
        <f>HYPERLINK("http://dx.doi.org/10.1111/j.1365-2656.2011.01908.x","http://dx.doi.org/10.1111/j.1365-2656.2011.01908.x")</f>
        <v>http://dx.doi.org/10.1111/j.1365-2656.2011.01908.x</v>
      </c>
      <c r="BG156" t="s">
        <v>74</v>
      </c>
      <c r="BH156" t="s">
        <v>74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>
        <v>21950456</v>
      </c>
      <c r="BO156" t="s">
        <v>74</v>
      </c>
      <c r="BP156" t="s">
        <v>74</v>
      </c>
      <c r="BQ156" t="s">
        <v>74</v>
      </c>
      <c r="BR156" t="s">
        <v>74</v>
      </c>
      <c r="BS156" t="s">
        <v>4766</v>
      </c>
      <c r="BT156" t="str">
        <f>HYPERLINK("https%3A%2F%2Fwww.webofscience.com%2Fwos%2Fwoscc%2Ffull-record%2FWOS:000297849300026","View Full Record in Web of Science")</f>
        <v>View Full Record in Web of Science</v>
      </c>
    </row>
    <row r="157" spans="1:72" x14ac:dyDescent="0.2">
      <c r="A157" t="s">
        <v>72</v>
      </c>
      <c r="B157" t="s">
        <v>4783</v>
      </c>
      <c r="C157" t="s">
        <v>74</v>
      </c>
      <c r="D157" t="s">
        <v>74</v>
      </c>
      <c r="E157" t="s">
        <v>74</v>
      </c>
      <c r="F157" t="s">
        <v>4784</v>
      </c>
      <c r="G157" t="s">
        <v>74</v>
      </c>
      <c r="H157" t="s">
        <v>74</v>
      </c>
      <c r="I157" t="s">
        <v>4785</v>
      </c>
      <c r="J157" t="s">
        <v>145</v>
      </c>
      <c r="K157" t="s">
        <v>74</v>
      </c>
      <c r="L157" t="s">
        <v>74</v>
      </c>
      <c r="M157" t="s">
        <v>74</v>
      </c>
      <c r="N157" t="s">
        <v>74</v>
      </c>
      <c r="O157" t="s">
        <v>74</v>
      </c>
      <c r="P157" t="s">
        <v>74</v>
      </c>
      <c r="Q157" t="s">
        <v>74</v>
      </c>
      <c r="R157" t="s">
        <v>74</v>
      </c>
      <c r="S157" t="s">
        <v>74</v>
      </c>
      <c r="T157" t="s">
        <v>74</v>
      </c>
      <c r="U157" t="s">
        <v>74</v>
      </c>
      <c r="V157" t="s">
        <v>74</v>
      </c>
      <c r="W157" t="s">
        <v>74</v>
      </c>
      <c r="X157" t="s">
        <v>74</v>
      </c>
      <c r="Y157" t="s">
        <v>74</v>
      </c>
      <c r="Z157" t="s">
        <v>74</v>
      </c>
      <c r="AA157" t="s">
        <v>7127</v>
      </c>
      <c r="AB157" t="s">
        <v>4786</v>
      </c>
      <c r="AC157" t="s">
        <v>74</v>
      </c>
      <c r="AD157" t="s">
        <v>74</v>
      </c>
      <c r="AE157" t="s">
        <v>74</v>
      </c>
      <c r="AF157" t="s">
        <v>74</v>
      </c>
      <c r="AG157" t="s">
        <v>74</v>
      </c>
      <c r="AH157" t="s">
        <v>74</v>
      </c>
      <c r="AI157" t="s">
        <v>74</v>
      </c>
      <c r="AJ157" t="s">
        <v>74</v>
      </c>
      <c r="AK157" t="s">
        <v>74</v>
      </c>
      <c r="AL157" t="s">
        <v>74</v>
      </c>
      <c r="AM157" t="s">
        <v>74</v>
      </c>
      <c r="AN157" t="s">
        <v>74</v>
      </c>
      <c r="AO157" t="s">
        <v>146</v>
      </c>
      <c r="AP157" t="s">
        <v>147</v>
      </c>
      <c r="AQ157" t="s">
        <v>74</v>
      </c>
      <c r="AR157" t="s">
        <v>74</v>
      </c>
      <c r="AS157" t="s">
        <v>74</v>
      </c>
      <c r="AT157" t="s">
        <v>1015</v>
      </c>
      <c r="AU157">
        <v>2011</v>
      </c>
      <c r="AV157">
        <v>409</v>
      </c>
      <c r="AW157">
        <v>24</v>
      </c>
      <c r="AX157" t="s">
        <v>74</v>
      </c>
      <c r="AY157" t="s">
        <v>74</v>
      </c>
      <c r="AZ157" t="s">
        <v>74</v>
      </c>
      <c r="BA157" t="s">
        <v>74</v>
      </c>
      <c r="BB157">
        <v>5353</v>
      </c>
      <c r="BC157">
        <v>5358</v>
      </c>
      <c r="BD157" t="s">
        <v>74</v>
      </c>
      <c r="BE157" t="s">
        <v>4787</v>
      </c>
      <c r="BF157" t="str">
        <f>HYPERLINK("http://dx.doi.org/10.1016/j.scitotenv.2011.09.030","http://dx.doi.org/10.1016/j.scitotenv.2011.09.030")</f>
        <v>http://dx.doi.org/10.1016/j.scitotenv.2011.09.030</v>
      </c>
      <c r="BG157" t="s">
        <v>74</v>
      </c>
      <c r="BH157" t="s">
        <v>74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>
        <v>21975001</v>
      </c>
      <c r="BO157" t="s">
        <v>74</v>
      </c>
      <c r="BP157" t="s">
        <v>74</v>
      </c>
      <c r="BQ157" t="s">
        <v>74</v>
      </c>
      <c r="BR157" t="s">
        <v>74</v>
      </c>
      <c r="BS157" t="s">
        <v>4788</v>
      </c>
      <c r="BT157" t="str">
        <f>HYPERLINK("https%3A%2F%2Fwww.webofscience.com%2Fwos%2Fwoscc%2Ffull-record%2FWOS:000297444800023","View Full Record in Web of Science")</f>
        <v>View Full Record in Web of Science</v>
      </c>
    </row>
    <row r="158" spans="1:72" x14ac:dyDescent="0.2">
      <c r="A158" t="s">
        <v>72</v>
      </c>
      <c r="B158" t="s">
        <v>4814</v>
      </c>
      <c r="C158" t="s">
        <v>74</v>
      </c>
      <c r="D158" t="s">
        <v>74</v>
      </c>
      <c r="E158" t="s">
        <v>74</v>
      </c>
      <c r="F158" t="s">
        <v>4815</v>
      </c>
      <c r="G158" t="s">
        <v>74</v>
      </c>
      <c r="H158" t="s">
        <v>74</v>
      </c>
      <c r="I158" t="s">
        <v>4816</v>
      </c>
      <c r="J158" t="s">
        <v>360</v>
      </c>
      <c r="K158" t="s">
        <v>74</v>
      </c>
      <c r="L158" t="s">
        <v>74</v>
      </c>
      <c r="M158" t="s">
        <v>74</v>
      </c>
      <c r="N158" t="s">
        <v>74</v>
      </c>
      <c r="O158" t="s">
        <v>74</v>
      </c>
      <c r="P158" t="s">
        <v>74</v>
      </c>
      <c r="Q158" t="s">
        <v>74</v>
      </c>
      <c r="R158" t="s">
        <v>74</v>
      </c>
      <c r="S158" t="s">
        <v>74</v>
      </c>
      <c r="T158" t="s">
        <v>74</v>
      </c>
      <c r="U158" t="s">
        <v>74</v>
      </c>
      <c r="V158" t="s">
        <v>74</v>
      </c>
      <c r="W158" t="s">
        <v>74</v>
      </c>
      <c r="X158" t="s">
        <v>74</v>
      </c>
      <c r="Y158" t="s">
        <v>74</v>
      </c>
      <c r="Z158" t="s">
        <v>74</v>
      </c>
      <c r="AA158" t="s">
        <v>4817</v>
      </c>
      <c r="AB158" t="s">
        <v>4818</v>
      </c>
      <c r="AC158" t="s">
        <v>74</v>
      </c>
      <c r="AD158" t="s">
        <v>74</v>
      </c>
      <c r="AE158" t="s">
        <v>74</v>
      </c>
      <c r="AF158" t="s">
        <v>74</v>
      </c>
      <c r="AG158" t="s">
        <v>74</v>
      </c>
      <c r="AH158" t="s">
        <v>74</v>
      </c>
      <c r="AI158" t="s">
        <v>74</v>
      </c>
      <c r="AJ158" t="s">
        <v>74</v>
      </c>
      <c r="AK158" t="s">
        <v>74</v>
      </c>
      <c r="AL158" t="s">
        <v>74</v>
      </c>
      <c r="AM158" t="s">
        <v>74</v>
      </c>
      <c r="AN158" t="s">
        <v>74</v>
      </c>
      <c r="AO158" t="s">
        <v>361</v>
      </c>
      <c r="AP158" t="s">
        <v>362</v>
      </c>
      <c r="AQ158" t="s">
        <v>74</v>
      </c>
      <c r="AR158" t="s">
        <v>74</v>
      </c>
      <c r="AS158" t="s">
        <v>74</v>
      </c>
      <c r="AT158" t="s">
        <v>4819</v>
      </c>
      <c r="AU158">
        <v>2011</v>
      </c>
      <c r="AV158">
        <v>278</v>
      </c>
      <c r="AW158">
        <v>1718</v>
      </c>
      <c r="AX158" t="s">
        <v>74</v>
      </c>
      <c r="AY158" t="s">
        <v>74</v>
      </c>
      <c r="AZ158" t="s">
        <v>74</v>
      </c>
      <c r="BA158" t="s">
        <v>74</v>
      </c>
      <c r="BB158">
        <v>2628</v>
      </c>
      <c r="BC158">
        <v>2637</v>
      </c>
      <c r="BD158" t="s">
        <v>74</v>
      </c>
      <c r="BE158" t="s">
        <v>4820</v>
      </c>
      <c r="BF158" t="str">
        <f>HYPERLINK("http://dx.doi.org/10.1098/rspb.2010.2634","http://dx.doi.org/10.1098/rspb.2010.2634")</f>
        <v>http://dx.doi.org/10.1098/rspb.2010.2634</v>
      </c>
      <c r="BG158" t="s">
        <v>74</v>
      </c>
      <c r="BH158" t="s">
        <v>74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>
        <v>21270045</v>
      </c>
      <c r="BO158" t="s">
        <v>74</v>
      </c>
      <c r="BP158" t="s">
        <v>74</v>
      </c>
      <c r="BQ158" t="s">
        <v>74</v>
      </c>
      <c r="BR158" t="s">
        <v>74</v>
      </c>
      <c r="BS158" t="s">
        <v>4821</v>
      </c>
      <c r="BT158" t="str">
        <f>HYPERLINK("https%3A%2F%2Fwww.webofscience.com%2Fwos%2Fwoscc%2Ffull-record%2FWOS:000293142200011","View Full Record in Web of Science")</f>
        <v>View Full Record in Web of Science</v>
      </c>
    </row>
    <row r="159" spans="1:72" x14ac:dyDescent="0.2">
      <c r="A159" t="s">
        <v>72</v>
      </c>
      <c r="B159" t="s">
        <v>4881</v>
      </c>
      <c r="C159" t="s">
        <v>74</v>
      </c>
      <c r="D159" t="s">
        <v>74</v>
      </c>
      <c r="E159" t="s">
        <v>74</v>
      </c>
      <c r="F159" t="s">
        <v>4882</v>
      </c>
      <c r="G159" t="s">
        <v>74</v>
      </c>
      <c r="H159" t="s">
        <v>74</v>
      </c>
      <c r="I159" t="s">
        <v>4883</v>
      </c>
      <c r="J159" t="s">
        <v>4884</v>
      </c>
      <c r="K159" t="s">
        <v>74</v>
      </c>
      <c r="L159" t="s">
        <v>74</v>
      </c>
      <c r="M159" t="s">
        <v>74</v>
      </c>
      <c r="N159" t="s">
        <v>74</v>
      </c>
      <c r="O159" t="s">
        <v>74</v>
      </c>
      <c r="P159" t="s">
        <v>74</v>
      </c>
      <c r="Q159" t="s">
        <v>74</v>
      </c>
      <c r="R159" t="s">
        <v>74</v>
      </c>
      <c r="S159" t="s">
        <v>74</v>
      </c>
      <c r="T159" t="s">
        <v>74</v>
      </c>
      <c r="U159" t="s">
        <v>74</v>
      </c>
      <c r="V159" t="s">
        <v>74</v>
      </c>
      <c r="W159" t="s">
        <v>74</v>
      </c>
      <c r="X159" t="s">
        <v>74</v>
      </c>
      <c r="Y159" t="s">
        <v>74</v>
      </c>
      <c r="Z159" t="s">
        <v>74</v>
      </c>
      <c r="AA159" t="s">
        <v>4885</v>
      </c>
      <c r="AB159" t="s">
        <v>4886</v>
      </c>
      <c r="AC159" t="s">
        <v>74</v>
      </c>
      <c r="AD159" t="s">
        <v>74</v>
      </c>
      <c r="AE159" t="s">
        <v>74</v>
      </c>
      <c r="AF159" t="s">
        <v>74</v>
      </c>
      <c r="AG159" t="s">
        <v>74</v>
      </c>
      <c r="AH159" t="s">
        <v>74</v>
      </c>
      <c r="AI159" t="s">
        <v>74</v>
      </c>
      <c r="AJ159" t="s">
        <v>74</v>
      </c>
      <c r="AK159" t="s">
        <v>74</v>
      </c>
      <c r="AL159" t="s">
        <v>74</v>
      </c>
      <c r="AM159" t="s">
        <v>74</v>
      </c>
      <c r="AN159" t="s">
        <v>74</v>
      </c>
      <c r="AO159" t="s">
        <v>4887</v>
      </c>
      <c r="AP159" t="s">
        <v>4888</v>
      </c>
      <c r="AQ159" t="s">
        <v>74</v>
      </c>
      <c r="AR159" t="s">
        <v>74</v>
      </c>
      <c r="AS159" t="s">
        <v>74</v>
      </c>
      <c r="AT159" t="s">
        <v>548</v>
      </c>
      <c r="AU159">
        <v>2011</v>
      </c>
      <c r="AV159">
        <v>42</v>
      </c>
      <c r="AW159">
        <v>3</v>
      </c>
      <c r="AX159" t="s">
        <v>74</v>
      </c>
      <c r="AY159" t="s">
        <v>74</v>
      </c>
      <c r="AZ159" t="s">
        <v>74</v>
      </c>
      <c r="BA159" t="s">
        <v>74</v>
      </c>
      <c r="BB159">
        <v>897</v>
      </c>
      <c r="BC159">
        <v>908</v>
      </c>
      <c r="BD159" t="s">
        <v>74</v>
      </c>
      <c r="BE159" t="s">
        <v>4889</v>
      </c>
      <c r="BF159" t="str">
        <f>HYPERLINK("http://dx.doi.org/10.1590/S1517-83822011000300008","http://dx.doi.org/10.1590/S1517-83822011000300008")</f>
        <v>http://dx.doi.org/10.1590/S1517-83822011000300008</v>
      </c>
      <c r="BG159" t="s">
        <v>74</v>
      </c>
      <c r="BH159" t="s">
        <v>74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>
        <v>24031705</v>
      </c>
      <c r="BO159" t="s">
        <v>74</v>
      </c>
      <c r="BP159" t="s">
        <v>74</v>
      </c>
      <c r="BQ159" t="s">
        <v>74</v>
      </c>
      <c r="BR159" t="s">
        <v>74</v>
      </c>
      <c r="BS159" t="s">
        <v>4890</v>
      </c>
      <c r="BT159" t="str">
        <f>HYPERLINK("https%3A%2F%2Fwww.webofscience.com%2Fwos%2Fwoscc%2Ffull-record%2FWOS:000297756800008","View Full Record in Web of Science")</f>
        <v>View Full Record in Web of Science</v>
      </c>
    </row>
    <row r="160" spans="1:72" x14ac:dyDescent="0.2">
      <c r="A160" t="s">
        <v>72</v>
      </c>
      <c r="B160" t="s">
        <v>4950</v>
      </c>
      <c r="C160" t="s">
        <v>74</v>
      </c>
      <c r="D160" t="s">
        <v>74</v>
      </c>
      <c r="E160" t="s">
        <v>74</v>
      </c>
      <c r="F160" t="s">
        <v>4951</v>
      </c>
      <c r="G160" t="s">
        <v>74</v>
      </c>
      <c r="H160" t="s">
        <v>74</v>
      </c>
      <c r="I160" t="s">
        <v>4952</v>
      </c>
      <c r="J160" t="s">
        <v>310</v>
      </c>
      <c r="K160" t="s">
        <v>74</v>
      </c>
      <c r="L160" t="s">
        <v>74</v>
      </c>
      <c r="M160" t="s">
        <v>74</v>
      </c>
      <c r="N160" t="s">
        <v>74</v>
      </c>
      <c r="O160" t="s">
        <v>74</v>
      </c>
      <c r="P160" t="s">
        <v>74</v>
      </c>
      <c r="Q160" t="s">
        <v>74</v>
      </c>
      <c r="R160" t="s">
        <v>74</v>
      </c>
      <c r="S160" t="s">
        <v>74</v>
      </c>
      <c r="T160" t="s">
        <v>74</v>
      </c>
      <c r="U160" t="s">
        <v>74</v>
      </c>
      <c r="V160" t="s">
        <v>74</v>
      </c>
      <c r="W160" t="s">
        <v>74</v>
      </c>
      <c r="X160" t="s">
        <v>74</v>
      </c>
      <c r="Y160" t="s">
        <v>74</v>
      </c>
      <c r="Z160" t="s">
        <v>74</v>
      </c>
      <c r="AA160" t="s">
        <v>7133</v>
      </c>
      <c r="AB160" t="s">
        <v>4953</v>
      </c>
      <c r="AC160" t="s">
        <v>74</v>
      </c>
      <c r="AD160" t="s">
        <v>74</v>
      </c>
      <c r="AE160" t="s">
        <v>74</v>
      </c>
      <c r="AF160" t="s">
        <v>74</v>
      </c>
      <c r="AG160" t="s">
        <v>74</v>
      </c>
      <c r="AH160" t="s">
        <v>74</v>
      </c>
      <c r="AI160" t="s">
        <v>74</v>
      </c>
      <c r="AJ160" t="s">
        <v>74</v>
      </c>
      <c r="AK160" t="s">
        <v>74</v>
      </c>
      <c r="AL160" t="s">
        <v>74</v>
      </c>
      <c r="AM160" t="s">
        <v>74</v>
      </c>
      <c r="AN160" t="s">
        <v>74</v>
      </c>
      <c r="AO160" t="s">
        <v>313</v>
      </c>
      <c r="AP160" t="s">
        <v>314</v>
      </c>
      <c r="AQ160" t="s">
        <v>74</v>
      </c>
      <c r="AR160" t="s">
        <v>74</v>
      </c>
      <c r="AS160" t="s">
        <v>74</v>
      </c>
      <c r="AT160" t="s">
        <v>203</v>
      </c>
      <c r="AU160">
        <v>2011</v>
      </c>
      <c r="AV160">
        <v>17</v>
      </c>
      <c r="AW160">
        <v>4</v>
      </c>
      <c r="AX160" t="s">
        <v>74</v>
      </c>
      <c r="AY160" t="s">
        <v>74</v>
      </c>
      <c r="AZ160" t="s">
        <v>74</v>
      </c>
      <c r="BA160" t="s">
        <v>74</v>
      </c>
      <c r="BB160">
        <v>1681</v>
      </c>
      <c r="BC160">
        <v>1694</v>
      </c>
      <c r="BD160" t="s">
        <v>74</v>
      </c>
      <c r="BE160" t="s">
        <v>4954</v>
      </c>
      <c r="BF160" t="str">
        <f>HYPERLINK("http://dx.doi.org/10.1111/j.1365-2486.2010.02321.x","http://dx.doi.org/10.1111/j.1365-2486.2010.02321.x")</f>
        <v>http://dx.doi.org/10.1111/j.1365-2486.2010.02321.x</v>
      </c>
      <c r="BG160" t="s">
        <v>74</v>
      </c>
      <c r="BH160" t="s">
        <v>74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 t="s">
        <v>74</v>
      </c>
      <c r="BR160" t="s">
        <v>74</v>
      </c>
      <c r="BS160" t="s">
        <v>4955</v>
      </c>
      <c r="BT160" t="str">
        <f>HYPERLINK("https%3A%2F%2Fwww.webofscience.com%2Fwos%2Fwoscc%2Ffull-record%2FWOS:000287853000015","View Full Record in Web of Science")</f>
        <v>View Full Record in Web of Science</v>
      </c>
    </row>
    <row r="161" spans="1:72" x14ac:dyDescent="0.2">
      <c r="A161" t="s">
        <v>72</v>
      </c>
      <c r="B161" t="s">
        <v>4992</v>
      </c>
      <c r="C161" t="s">
        <v>74</v>
      </c>
      <c r="D161" t="s">
        <v>74</v>
      </c>
      <c r="E161" t="s">
        <v>74</v>
      </c>
      <c r="F161" t="s">
        <v>4993</v>
      </c>
      <c r="G161" t="s">
        <v>74</v>
      </c>
      <c r="H161" t="s">
        <v>74</v>
      </c>
      <c r="I161" t="s">
        <v>4994</v>
      </c>
      <c r="J161" t="s">
        <v>4995</v>
      </c>
      <c r="K161" t="s">
        <v>74</v>
      </c>
      <c r="L161" t="s">
        <v>74</v>
      </c>
      <c r="M161" t="s">
        <v>74</v>
      </c>
      <c r="N161" t="s">
        <v>74</v>
      </c>
      <c r="O161" t="s">
        <v>74</v>
      </c>
      <c r="P161" t="s">
        <v>74</v>
      </c>
      <c r="Q161" t="s">
        <v>74</v>
      </c>
      <c r="R161" t="s">
        <v>74</v>
      </c>
      <c r="S161" t="s">
        <v>74</v>
      </c>
      <c r="T161" t="s">
        <v>74</v>
      </c>
      <c r="U161" t="s">
        <v>74</v>
      </c>
      <c r="V161" t="s">
        <v>74</v>
      </c>
      <c r="W161" t="s">
        <v>74</v>
      </c>
      <c r="X161" t="s">
        <v>74</v>
      </c>
      <c r="Y161" t="s">
        <v>74</v>
      </c>
      <c r="Z161" t="s">
        <v>74</v>
      </c>
      <c r="AA161" t="s">
        <v>4996</v>
      </c>
      <c r="AB161" t="s">
        <v>4997</v>
      </c>
      <c r="AC161" t="s">
        <v>74</v>
      </c>
      <c r="AD161" t="s">
        <v>74</v>
      </c>
      <c r="AE161" t="s">
        <v>74</v>
      </c>
      <c r="AF161" t="s">
        <v>74</v>
      </c>
      <c r="AG161" t="s">
        <v>74</v>
      </c>
      <c r="AH161" t="s">
        <v>74</v>
      </c>
      <c r="AI161" t="s">
        <v>74</v>
      </c>
      <c r="AJ161" t="s">
        <v>74</v>
      </c>
      <c r="AK161" t="s">
        <v>74</v>
      </c>
      <c r="AL161" t="s">
        <v>74</v>
      </c>
      <c r="AM161" t="s">
        <v>74</v>
      </c>
      <c r="AN161" t="s">
        <v>74</v>
      </c>
      <c r="AO161" t="s">
        <v>4998</v>
      </c>
      <c r="AP161" t="s">
        <v>4999</v>
      </c>
      <c r="AQ161" t="s">
        <v>74</v>
      </c>
      <c r="AR161" t="s">
        <v>74</v>
      </c>
      <c r="AS161" t="s">
        <v>74</v>
      </c>
      <c r="AT161" t="s">
        <v>74</v>
      </c>
      <c r="AU161">
        <v>2011</v>
      </c>
      <c r="AV161">
        <v>27</v>
      </c>
      <c r="AW161">
        <v>1</v>
      </c>
      <c r="AX161" t="s">
        <v>74</v>
      </c>
      <c r="AY161" t="s">
        <v>74</v>
      </c>
      <c r="AZ161" t="s">
        <v>74</v>
      </c>
      <c r="BA161" t="s">
        <v>74</v>
      </c>
      <c r="BB161">
        <v>6</v>
      </c>
      <c r="BC161">
        <v>14</v>
      </c>
      <c r="BD161" t="s">
        <v>5000</v>
      </c>
      <c r="BE161" t="s">
        <v>5001</v>
      </c>
      <c r="BF161" t="str">
        <f>HYPERLINK("http://dx.doi.org/10.1080/07438141.2011.551027","http://dx.doi.org/10.1080/07438141.2011.551027")</f>
        <v>http://dx.doi.org/10.1080/07438141.2011.551027</v>
      </c>
      <c r="BG161" t="s">
        <v>74</v>
      </c>
      <c r="BH161" t="s">
        <v>74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 t="s">
        <v>74</v>
      </c>
      <c r="BO161" t="s">
        <v>74</v>
      </c>
      <c r="BP161" t="s">
        <v>74</v>
      </c>
      <c r="BQ161" t="s">
        <v>74</v>
      </c>
      <c r="BR161" t="s">
        <v>74</v>
      </c>
      <c r="BS161" t="s">
        <v>5002</v>
      </c>
      <c r="BT161" t="str">
        <f>HYPERLINK("https%3A%2F%2Fwww.webofscience.com%2Fwos%2Fwoscc%2Ffull-record%2FWOS:000288676400002","View Full Record in Web of Science")</f>
        <v>View Full Record in Web of Science</v>
      </c>
    </row>
    <row r="162" spans="1:72" x14ac:dyDescent="0.2">
      <c r="A162" t="s">
        <v>72</v>
      </c>
      <c r="B162" t="s">
        <v>5026</v>
      </c>
      <c r="C162" t="s">
        <v>74</v>
      </c>
      <c r="D162" t="s">
        <v>74</v>
      </c>
      <c r="E162" t="s">
        <v>74</v>
      </c>
      <c r="F162" t="s">
        <v>5027</v>
      </c>
      <c r="G162" t="s">
        <v>74</v>
      </c>
      <c r="H162" t="s">
        <v>74</v>
      </c>
      <c r="I162" t="s">
        <v>5028</v>
      </c>
      <c r="J162" t="s">
        <v>5029</v>
      </c>
      <c r="K162" t="s">
        <v>74</v>
      </c>
      <c r="L162" t="s">
        <v>74</v>
      </c>
      <c r="M162" t="s">
        <v>74</v>
      </c>
      <c r="N162" t="s">
        <v>74</v>
      </c>
      <c r="O162" t="s">
        <v>74</v>
      </c>
      <c r="P162" t="s">
        <v>74</v>
      </c>
      <c r="Q162" t="s">
        <v>74</v>
      </c>
      <c r="R162" t="s">
        <v>74</v>
      </c>
      <c r="S162" t="s">
        <v>74</v>
      </c>
      <c r="T162" t="s">
        <v>74</v>
      </c>
      <c r="U162" t="s">
        <v>74</v>
      </c>
      <c r="V162" t="s">
        <v>74</v>
      </c>
      <c r="W162" t="s">
        <v>74</v>
      </c>
      <c r="X162" t="s">
        <v>74</v>
      </c>
      <c r="Y162" t="s">
        <v>74</v>
      </c>
      <c r="Z162" t="s">
        <v>74</v>
      </c>
      <c r="AA162" t="s">
        <v>5030</v>
      </c>
      <c r="AB162" t="s">
        <v>5031</v>
      </c>
      <c r="AC162" t="s">
        <v>74</v>
      </c>
      <c r="AD162" t="s">
        <v>74</v>
      </c>
      <c r="AE162" t="s">
        <v>74</v>
      </c>
      <c r="AF162" t="s">
        <v>74</v>
      </c>
      <c r="AG162" t="s">
        <v>74</v>
      </c>
      <c r="AH162" t="s">
        <v>74</v>
      </c>
      <c r="AI162" t="s">
        <v>74</v>
      </c>
      <c r="AJ162" t="s">
        <v>74</v>
      </c>
      <c r="AK162" t="s">
        <v>74</v>
      </c>
      <c r="AL162" t="s">
        <v>74</v>
      </c>
      <c r="AM162" t="s">
        <v>74</v>
      </c>
      <c r="AN162" t="s">
        <v>74</v>
      </c>
      <c r="AO162" t="s">
        <v>5032</v>
      </c>
      <c r="AP162" t="s">
        <v>5033</v>
      </c>
      <c r="AQ162" t="s">
        <v>74</v>
      </c>
      <c r="AR162" t="s">
        <v>74</v>
      </c>
      <c r="AS162" t="s">
        <v>74</v>
      </c>
      <c r="AT162" t="s">
        <v>5034</v>
      </c>
      <c r="AU162">
        <v>2010</v>
      </c>
      <c r="AV162">
        <v>333</v>
      </c>
      <c r="AW162" t="s">
        <v>5035</v>
      </c>
      <c r="AX162" t="s">
        <v>74</v>
      </c>
      <c r="AY162" t="s">
        <v>74</v>
      </c>
      <c r="AZ162" t="s">
        <v>74</v>
      </c>
      <c r="BA162" t="s">
        <v>74</v>
      </c>
      <c r="BB162">
        <v>836</v>
      </c>
      <c r="BC162">
        <v>840</v>
      </c>
      <c r="BD162" t="s">
        <v>74</v>
      </c>
      <c r="BE162" t="s">
        <v>5036</v>
      </c>
      <c r="BF162" t="str">
        <f>HYPERLINK("http://dx.doi.org/10.1016/j.crvi.2010.09.004","http://dx.doi.org/10.1016/j.crvi.2010.09.004")</f>
        <v>http://dx.doi.org/10.1016/j.crvi.2010.09.004</v>
      </c>
      <c r="BG162" t="s">
        <v>74</v>
      </c>
      <c r="BH162" t="s">
        <v>74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>
        <v>21146140</v>
      </c>
      <c r="BO162" t="s">
        <v>74</v>
      </c>
      <c r="BP162" t="s">
        <v>74</v>
      </c>
      <c r="BQ162" t="s">
        <v>74</v>
      </c>
      <c r="BR162" t="s">
        <v>74</v>
      </c>
      <c r="BS162" t="s">
        <v>5037</v>
      </c>
      <c r="BT162" t="str">
        <f>HYPERLINK("https%3A%2F%2Fwww.webofscience.com%2Fwos%2Fwoscc%2Ffull-record%2FWOS:000286037900010","View Full Record in Web of Science")</f>
        <v>View Full Record in Web of Science</v>
      </c>
    </row>
    <row r="163" spans="1:72" x14ac:dyDescent="0.2">
      <c r="A163" t="s">
        <v>72</v>
      </c>
      <c r="B163" t="s">
        <v>5060</v>
      </c>
      <c r="C163" t="s">
        <v>74</v>
      </c>
      <c r="D163" t="s">
        <v>74</v>
      </c>
      <c r="E163" t="s">
        <v>74</v>
      </c>
      <c r="F163" t="s">
        <v>5061</v>
      </c>
      <c r="G163" t="s">
        <v>74</v>
      </c>
      <c r="H163" t="s">
        <v>74</v>
      </c>
      <c r="I163" t="s">
        <v>5062</v>
      </c>
      <c r="J163" t="s">
        <v>423</v>
      </c>
      <c r="K163" t="s">
        <v>74</v>
      </c>
      <c r="L163" t="s">
        <v>74</v>
      </c>
      <c r="M163" t="s">
        <v>74</v>
      </c>
      <c r="N163" t="s">
        <v>74</v>
      </c>
      <c r="O163" t="s">
        <v>74</v>
      </c>
      <c r="P163" t="s">
        <v>74</v>
      </c>
      <c r="Q163" t="s">
        <v>74</v>
      </c>
      <c r="R163" t="s">
        <v>74</v>
      </c>
      <c r="S163" t="s">
        <v>74</v>
      </c>
      <c r="T163" t="s">
        <v>74</v>
      </c>
      <c r="U163" t="s">
        <v>74</v>
      </c>
      <c r="V163" t="s">
        <v>74</v>
      </c>
      <c r="W163" t="s">
        <v>74</v>
      </c>
      <c r="X163" t="s">
        <v>74</v>
      </c>
      <c r="Y163" t="s">
        <v>74</v>
      </c>
      <c r="Z163" t="s">
        <v>74</v>
      </c>
      <c r="AA163" t="s">
        <v>74</v>
      </c>
      <c r="AB163" t="s">
        <v>5063</v>
      </c>
      <c r="AC163" t="s">
        <v>74</v>
      </c>
      <c r="AD163" t="s">
        <v>74</v>
      </c>
      <c r="AE163" t="s">
        <v>74</v>
      </c>
      <c r="AF163" t="s">
        <v>74</v>
      </c>
      <c r="AG163" t="s">
        <v>74</v>
      </c>
      <c r="AH163" t="s">
        <v>74</v>
      </c>
      <c r="AI163" t="s">
        <v>74</v>
      </c>
      <c r="AJ163" t="s">
        <v>74</v>
      </c>
      <c r="AK163" t="s">
        <v>74</v>
      </c>
      <c r="AL163" t="s">
        <v>74</v>
      </c>
      <c r="AM163" t="s">
        <v>74</v>
      </c>
      <c r="AN163" t="s">
        <v>74</v>
      </c>
      <c r="AO163" t="s">
        <v>425</v>
      </c>
      <c r="AP163" t="s">
        <v>426</v>
      </c>
      <c r="AQ163" t="s">
        <v>74</v>
      </c>
      <c r="AR163" t="s">
        <v>74</v>
      </c>
      <c r="AS163" t="s">
        <v>74</v>
      </c>
      <c r="AT163" t="s">
        <v>451</v>
      </c>
      <c r="AU163">
        <v>2010</v>
      </c>
      <c r="AV163">
        <v>55</v>
      </c>
      <c r="AW163">
        <v>9</v>
      </c>
      <c r="AX163" t="s">
        <v>74</v>
      </c>
      <c r="AY163" t="s">
        <v>74</v>
      </c>
      <c r="AZ163" t="s">
        <v>74</v>
      </c>
      <c r="BA163" t="s">
        <v>74</v>
      </c>
      <c r="BB163">
        <v>1818</v>
      </c>
      <c r="BC163">
        <v>1830</v>
      </c>
      <c r="BD163" t="s">
        <v>74</v>
      </c>
      <c r="BE163" t="s">
        <v>5064</v>
      </c>
      <c r="BF163" t="str">
        <f>HYPERLINK("http://dx.doi.org/10.1111/j.1365-2427.2010.02416.x","http://dx.doi.org/10.1111/j.1365-2427.2010.02416.x")</f>
        <v>http://dx.doi.org/10.1111/j.1365-2427.2010.02416.x</v>
      </c>
      <c r="BG163" t="s">
        <v>74</v>
      </c>
      <c r="BH163" t="s">
        <v>74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 t="s">
        <v>74</v>
      </c>
      <c r="BO163" t="s">
        <v>74</v>
      </c>
      <c r="BP163" t="s">
        <v>74</v>
      </c>
      <c r="BQ163" t="s">
        <v>74</v>
      </c>
      <c r="BR163" t="s">
        <v>74</v>
      </c>
      <c r="BS163" t="s">
        <v>5065</v>
      </c>
      <c r="BT163" t="str">
        <f>HYPERLINK("https%3A%2F%2Fwww.webofscience.com%2Fwos%2Fwoscc%2Ffull-record%2FWOS:000280997300002","View Full Record in Web of Science")</f>
        <v>View Full Record in Web of Science</v>
      </c>
    </row>
    <row r="164" spans="1:72" x14ac:dyDescent="0.2">
      <c r="A164" t="s">
        <v>72</v>
      </c>
      <c r="B164" t="s">
        <v>5073</v>
      </c>
      <c r="C164" t="s">
        <v>74</v>
      </c>
      <c r="D164" t="s">
        <v>74</v>
      </c>
      <c r="E164" t="s">
        <v>74</v>
      </c>
      <c r="F164" t="s">
        <v>5074</v>
      </c>
      <c r="G164" t="s">
        <v>74</v>
      </c>
      <c r="H164" t="s">
        <v>74</v>
      </c>
      <c r="I164" t="s">
        <v>5075</v>
      </c>
      <c r="J164" t="s">
        <v>423</v>
      </c>
      <c r="K164" t="s">
        <v>74</v>
      </c>
      <c r="L164" t="s">
        <v>74</v>
      </c>
      <c r="M164" t="s">
        <v>74</v>
      </c>
      <c r="N164" t="s">
        <v>74</v>
      </c>
      <c r="O164" t="s">
        <v>74</v>
      </c>
      <c r="P164" t="s">
        <v>74</v>
      </c>
      <c r="Q164" t="s">
        <v>74</v>
      </c>
      <c r="R164" t="s">
        <v>74</v>
      </c>
      <c r="S164" t="s">
        <v>74</v>
      </c>
      <c r="T164" t="s">
        <v>74</v>
      </c>
      <c r="U164" t="s">
        <v>74</v>
      </c>
      <c r="V164" t="s">
        <v>74</v>
      </c>
      <c r="W164" t="s">
        <v>74</v>
      </c>
      <c r="X164" t="s">
        <v>74</v>
      </c>
      <c r="Y164" t="s">
        <v>74</v>
      </c>
      <c r="Z164" t="s">
        <v>74</v>
      </c>
      <c r="AA164" t="s">
        <v>5076</v>
      </c>
      <c r="AB164" t="s">
        <v>74</v>
      </c>
      <c r="AC164" t="s">
        <v>74</v>
      </c>
      <c r="AD164" t="s">
        <v>74</v>
      </c>
      <c r="AE164" t="s">
        <v>74</v>
      </c>
      <c r="AF164" t="s">
        <v>74</v>
      </c>
      <c r="AG164" t="s">
        <v>74</v>
      </c>
      <c r="AH164" t="s">
        <v>74</v>
      </c>
      <c r="AI164" t="s">
        <v>74</v>
      </c>
      <c r="AJ164" t="s">
        <v>74</v>
      </c>
      <c r="AK164" t="s">
        <v>74</v>
      </c>
      <c r="AL164" t="s">
        <v>74</v>
      </c>
      <c r="AM164" t="s">
        <v>74</v>
      </c>
      <c r="AN164" t="s">
        <v>74</v>
      </c>
      <c r="AO164" t="s">
        <v>425</v>
      </c>
      <c r="AP164" t="s">
        <v>426</v>
      </c>
      <c r="AQ164" t="s">
        <v>74</v>
      </c>
      <c r="AR164" t="s">
        <v>74</v>
      </c>
      <c r="AS164" t="s">
        <v>74</v>
      </c>
      <c r="AT164" t="s">
        <v>451</v>
      </c>
      <c r="AU164">
        <v>2010</v>
      </c>
      <c r="AV164">
        <v>55</v>
      </c>
      <c r="AW164">
        <v>9</v>
      </c>
      <c r="AX164" t="s">
        <v>74</v>
      </c>
      <c r="AY164" t="s">
        <v>74</v>
      </c>
      <c r="AZ164" t="s">
        <v>74</v>
      </c>
      <c r="BA164" t="s">
        <v>74</v>
      </c>
      <c r="BB164">
        <v>1845</v>
      </c>
      <c r="BC164">
        <v>1860</v>
      </c>
      <c r="BD164" t="s">
        <v>74</v>
      </c>
      <c r="BE164" t="s">
        <v>5077</v>
      </c>
      <c r="BF164" t="str">
        <f>HYPERLINK("http://dx.doi.org/10.1111/j.1365-2427.2010.02419.x","http://dx.doi.org/10.1111/j.1365-2427.2010.02419.x")</f>
        <v>http://dx.doi.org/10.1111/j.1365-2427.2010.02419.x</v>
      </c>
      <c r="BG164" t="s">
        <v>74</v>
      </c>
      <c r="BH164" t="s">
        <v>74</v>
      </c>
      <c r="BI164" t="s">
        <v>74</v>
      </c>
      <c r="BJ164" t="s">
        <v>74</v>
      </c>
      <c r="BK164" t="s">
        <v>74</v>
      </c>
      <c r="BL164" t="s">
        <v>74</v>
      </c>
      <c r="BM164" t="s">
        <v>74</v>
      </c>
      <c r="BN164" t="s">
        <v>74</v>
      </c>
      <c r="BO164" t="s">
        <v>74</v>
      </c>
      <c r="BP164" t="s">
        <v>74</v>
      </c>
      <c r="BQ164" t="s">
        <v>74</v>
      </c>
      <c r="BR164" t="s">
        <v>74</v>
      </c>
      <c r="BS164" t="s">
        <v>5078</v>
      </c>
      <c r="BT164" t="str">
        <f>HYPERLINK("https%3A%2F%2Fwww.webofscience.com%2Fwos%2Fwoscc%2Ffull-record%2FWOS:000280997300004","View Full Record in Web of Science")</f>
        <v>View Full Record in Web of Science</v>
      </c>
    </row>
    <row r="165" spans="1:72" x14ac:dyDescent="0.2">
      <c r="A165" t="s">
        <v>72</v>
      </c>
      <c r="B165" t="s">
        <v>5092</v>
      </c>
      <c r="C165" t="s">
        <v>74</v>
      </c>
      <c r="D165" t="s">
        <v>74</v>
      </c>
      <c r="E165" t="s">
        <v>74</v>
      </c>
      <c r="F165" t="s">
        <v>5093</v>
      </c>
      <c r="G165" t="s">
        <v>74</v>
      </c>
      <c r="H165" t="s">
        <v>74</v>
      </c>
      <c r="I165" t="s">
        <v>5094</v>
      </c>
      <c r="J165" t="s">
        <v>227</v>
      </c>
      <c r="K165" t="s">
        <v>74</v>
      </c>
      <c r="L165" t="s">
        <v>74</v>
      </c>
      <c r="M165" t="s">
        <v>74</v>
      </c>
      <c r="N165" t="s">
        <v>74</v>
      </c>
      <c r="O165" t="s">
        <v>74</v>
      </c>
      <c r="P165" t="s">
        <v>74</v>
      </c>
      <c r="Q165" t="s">
        <v>74</v>
      </c>
      <c r="R165" t="s">
        <v>74</v>
      </c>
      <c r="S165" t="s">
        <v>74</v>
      </c>
      <c r="T165" t="s">
        <v>74</v>
      </c>
      <c r="U165" t="s">
        <v>74</v>
      </c>
      <c r="V165" t="s">
        <v>74</v>
      </c>
      <c r="W165" t="s">
        <v>74</v>
      </c>
      <c r="X165" t="s">
        <v>74</v>
      </c>
      <c r="Y165" t="s">
        <v>74</v>
      </c>
      <c r="Z165" t="s">
        <v>74</v>
      </c>
      <c r="AA165" t="s">
        <v>7140</v>
      </c>
      <c r="AB165" t="s">
        <v>7141</v>
      </c>
      <c r="AC165" t="s">
        <v>74</v>
      </c>
      <c r="AD165" t="s">
        <v>74</v>
      </c>
      <c r="AE165" t="s">
        <v>74</v>
      </c>
      <c r="AF165" t="s">
        <v>74</v>
      </c>
      <c r="AG165" t="s">
        <v>74</v>
      </c>
      <c r="AH165" t="s">
        <v>74</v>
      </c>
      <c r="AI165" t="s">
        <v>74</v>
      </c>
      <c r="AJ165" t="s">
        <v>74</v>
      </c>
      <c r="AK165" t="s">
        <v>74</v>
      </c>
      <c r="AL165" t="s">
        <v>74</v>
      </c>
      <c r="AM165" t="s">
        <v>74</v>
      </c>
      <c r="AN165" t="s">
        <v>74</v>
      </c>
      <c r="AO165" t="s">
        <v>230</v>
      </c>
      <c r="AP165" t="s">
        <v>74</v>
      </c>
      <c r="AQ165" t="s">
        <v>74</v>
      </c>
      <c r="AR165" t="s">
        <v>74</v>
      </c>
      <c r="AS165" t="s">
        <v>74</v>
      </c>
      <c r="AT165" t="s">
        <v>624</v>
      </c>
      <c r="AU165">
        <v>2010</v>
      </c>
      <c r="AV165">
        <v>55</v>
      </c>
      <c r="AW165">
        <v>4</v>
      </c>
      <c r="AX165" t="s">
        <v>74</v>
      </c>
      <c r="AY165" t="s">
        <v>74</v>
      </c>
      <c r="AZ165" t="s">
        <v>74</v>
      </c>
      <c r="BA165" t="s">
        <v>74</v>
      </c>
      <c r="BB165">
        <v>1697</v>
      </c>
      <c r="BC165">
        <v>1711</v>
      </c>
      <c r="BD165" t="s">
        <v>74</v>
      </c>
      <c r="BE165" t="s">
        <v>5095</v>
      </c>
      <c r="BF165" t="str">
        <f>HYPERLINK("http://dx.doi.org/10.4319/lo.2010.55.4.1697","http://dx.doi.org/10.4319/lo.2010.55.4.1697")</f>
        <v>http://dx.doi.org/10.4319/lo.2010.55.4.1697</v>
      </c>
      <c r="BG165" t="s">
        <v>74</v>
      </c>
      <c r="BH165" t="s">
        <v>74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 t="s">
        <v>74</v>
      </c>
      <c r="BR165" t="s">
        <v>74</v>
      </c>
      <c r="BS165" t="s">
        <v>5096</v>
      </c>
      <c r="BT165" t="str">
        <f>HYPERLINK("https%3A%2F%2Fwww.webofscience.com%2Fwos%2Fwoscc%2Ffull-record%2FWOS:000283657000018","View Full Record in Web of Science")</f>
        <v>View Full Record in Web of Science</v>
      </c>
    </row>
    <row r="166" spans="1:72" x14ac:dyDescent="0.2">
      <c r="A166" t="s">
        <v>72</v>
      </c>
      <c r="B166" t="s">
        <v>5097</v>
      </c>
      <c r="C166" t="s">
        <v>74</v>
      </c>
      <c r="D166" t="s">
        <v>74</v>
      </c>
      <c r="E166" t="s">
        <v>74</v>
      </c>
      <c r="F166" t="s">
        <v>5098</v>
      </c>
      <c r="G166" t="s">
        <v>74</v>
      </c>
      <c r="H166" t="s">
        <v>74</v>
      </c>
      <c r="I166" t="s">
        <v>5099</v>
      </c>
      <c r="J166" t="s">
        <v>97</v>
      </c>
      <c r="K166" t="s">
        <v>74</v>
      </c>
      <c r="L166" t="s">
        <v>74</v>
      </c>
      <c r="M166" t="s">
        <v>74</v>
      </c>
      <c r="N166" t="s">
        <v>74</v>
      </c>
      <c r="O166" t="s">
        <v>74</v>
      </c>
      <c r="P166" t="s">
        <v>74</v>
      </c>
      <c r="Q166" t="s">
        <v>74</v>
      </c>
      <c r="R166" t="s">
        <v>74</v>
      </c>
      <c r="S166" t="s">
        <v>74</v>
      </c>
      <c r="T166" t="s">
        <v>74</v>
      </c>
      <c r="U166" t="s">
        <v>74</v>
      </c>
      <c r="V166" t="s">
        <v>74</v>
      </c>
      <c r="W166" t="s">
        <v>74</v>
      </c>
      <c r="X166" t="s">
        <v>74</v>
      </c>
      <c r="Y166" t="s">
        <v>74</v>
      </c>
      <c r="Z166" t="s">
        <v>74</v>
      </c>
      <c r="AA166" t="s">
        <v>7142</v>
      </c>
      <c r="AB166" t="s">
        <v>7143</v>
      </c>
      <c r="AC166" t="s">
        <v>74</v>
      </c>
      <c r="AD166" t="s">
        <v>74</v>
      </c>
      <c r="AE166" t="s">
        <v>74</v>
      </c>
      <c r="AF166" t="s">
        <v>74</v>
      </c>
      <c r="AG166" t="s">
        <v>74</v>
      </c>
      <c r="AH166" t="s">
        <v>74</v>
      </c>
      <c r="AI166" t="s">
        <v>74</v>
      </c>
      <c r="AJ166" t="s">
        <v>74</v>
      </c>
      <c r="AK166" t="s">
        <v>74</v>
      </c>
      <c r="AL166" t="s">
        <v>74</v>
      </c>
      <c r="AM166" t="s">
        <v>74</v>
      </c>
      <c r="AN166" t="s">
        <v>74</v>
      </c>
      <c r="AO166" t="s">
        <v>98</v>
      </c>
      <c r="AP166" t="s">
        <v>99</v>
      </c>
      <c r="AQ166" t="s">
        <v>74</v>
      </c>
      <c r="AR166" t="s">
        <v>74</v>
      </c>
      <c r="AS166" t="s">
        <v>74</v>
      </c>
      <c r="AT166" t="s">
        <v>569</v>
      </c>
      <c r="AU166">
        <v>2010</v>
      </c>
      <c r="AV166">
        <v>44</v>
      </c>
      <c r="AW166">
        <v>2</v>
      </c>
      <c r="AX166" t="s">
        <v>74</v>
      </c>
      <c r="AY166" t="s">
        <v>74</v>
      </c>
      <c r="AZ166" t="s">
        <v>74</v>
      </c>
      <c r="BA166" t="s">
        <v>74</v>
      </c>
      <c r="BB166">
        <v>421</v>
      </c>
      <c r="BC166">
        <v>430</v>
      </c>
      <c r="BD166" t="s">
        <v>74</v>
      </c>
      <c r="BE166" t="s">
        <v>5100</v>
      </c>
      <c r="BF166" t="str">
        <f>HYPERLINK("http://dx.doi.org/10.1007/s10452-009-9302-3","http://dx.doi.org/10.1007/s10452-009-9302-3")</f>
        <v>http://dx.doi.org/10.1007/s10452-009-9302-3</v>
      </c>
      <c r="BG166" t="s">
        <v>74</v>
      </c>
      <c r="BH166" t="s">
        <v>74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 t="s">
        <v>74</v>
      </c>
      <c r="BO166" t="s">
        <v>74</v>
      </c>
      <c r="BP166" t="s">
        <v>74</v>
      </c>
      <c r="BQ166" t="s">
        <v>74</v>
      </c>
      <c r="BR166" t="s">
        <v>74</v>
      </c>
      <c r="BS166" t="s">
        <v>5101</v>
      </c>
      <c r="BT166" t="str">
        <f>HYPERLINK("https%3A%2F%2Fwww.webofscience.com%2Fwos%2Fwoscc%2Ffull-record%2FWOS:000277425000009","View Full Record in Web of Science")</f>
        <v>View Full Record in Web of Science</v>
      </c>
    </row>
    <row r="167" spans="1:72" x14ac:dyDescent="0.2">
      <c r="A167" t="s">
        <v>72</v>
      </c>
      <c r="B167" t="s">
        <v>5102</v>
      </c>
      <c r="C167" t="s">
        <v>74</v>
      </c>
      <c r="D167" t="s">
        <v>74</v>
      </c>
      <c r="E167" t="s">
        <v>74</v>
      </c>
      <c r="F167" t="s">
        <v>5103</v>
      </c>
      <c r="G167" t="s">
        <v>74</v>
      </c>
      <c r="H167" t="s">
        <v>74</v>
      </c>
      <c r="I167" t="s">
        <v>5104</v>
      </c>
      <c r="J167" t="s">
        <v>5105</v>
      </c>
      <c r="K167" t="s">
        <v>74</v>
      </c>
      <c r="L167" t="s">
        <v>74</v>
      </c>
      <c r="M167" t="s">
        <v>74</v>
      </c>
      <c r="N167" t="s">
        <v>74</v>
      </c>
      <c r="O167" t="s">
        <v>74</v>
      </c>
      <c r="P167" t="s">
        <v>74</v>
      </c>
      <c r="Q167" t="s">
        <v>74</v>
      </c>
      <c r="R167" t="s">
        <v>74</v>
      </c>
      <c r="S167" t="s">
        <v>74</v>
      </c>
      <c r="T167" t="s">
        <v>74</v>
      </c>
      <c r="U167" t="s">
        <v>74</v>
      </c>
      <c r="V167" t="s">
        <v>74</v>
      </c>
      <c r="W167" t="s">
        <v>74</v>
      </c>
      <c r="X167" t="s">
        <v>74</v>
      </c>
      <c r="Y167" t="s">
        <v>74</v>
      </c>
      <c r="Z167" t="s">
        <v>74</v>
      </c>
      <c r="AA167" t="s">
        <v>5106</v>
      </c>
      <c r="AB167" t="s">
        <v>5107</v>
      </c>
      <c r="AC167" t="s">
        <v>74</v>
      </c>
      <c r="AD167" t="s">
        <v>74</v>
      </c>
      <c r="AE167" t="s">
        <v>74</v>
      </c>
      <c r="AF167" t="s">
        <v>74</v>
      </c>
      <c r="AG167" t="s">
        <v>74</v>
      </c>
      <c r="AH167" t="s">
        <v>74</v>
      </c>
      <c r="AI167" t="s">
        <v>74</v>
      </c>
      <c r="AJ167" t="s">
        <v>74</v>
      </c>
      <c r="AK167" t="s">
        <v>74</v>
      </c>
      <c r="AL167" t="s">
        <v>74</v>
      </c>
      <c r="AM167" t="s">
        <v>74</v>
      </c>
      <c r="AN167" t="s">
        <v>74</v>
      </c>
      <c r="AO167" t="s">
        <v>5108</v>
      </c>
      <c r="AP167" t="s">
        <v>5109</v>
      </c>
      <c r="AQ167" t="s">
        <v>74</v>
      </c>
      <c r="AR167" t="s">
        <v>74</v>
      </c>
      <c r="AS167" t="s">
        <v>74</v>
      </c>
      <c r="AT167" t="s">
        <v>569</v>
      </c>
      <c r="AU167">
        <v>2010</v>
      </c>
      <c r="AV167">
        <v>101</v>
      </c>
      <c r="AW167">
        <v>12</v>
      </c>
      <c r="AX167" t="s">
        <v>74</v>
      </c>
      <c r="AY167" t="s">
        <v>74</v>
      </c>
      <c r="AZ167" t="s">
        <v>74</v>
      </c>
      <c r="BA167" t="s">
        <v>74</v>
      </c>
      <c r="BB167">
        <v>4499</v>
      </c>
      <c r="BC167">
        <v>4507</v>
      </c>
      <c r="BD167" t="s">
        <v>74</v>
      </c>
      <c r="BE167" t="s">
        <v>5110</v>
      </c>
      <c r="BF167" t="str">
        <f>HYPERLINK("http://dx.doi.org/10.1016/j.biortech.2010.01.065","http://dx.doi.org/10.1016/j.biortech.2010.01.065")</f>
        <v>http://dx.doi.org/10.1016/j.biortech.2010.01.065</v>
      </c>
      <c r="BG167" t="s">
        <v>74</v>
      </c>
      <c r="BH167" t="s">
        <v>74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>
        <v>20153176</v>
      </c>
      <c r="BO167" t="s">
        <v>74</v>
      </c>
      <c r="BP167" t="s">
        <v>74</v>
      </c>
      <c r="BQ167" t="s">
        <v>74</v>
      </c>
      <c r="BR167" t="s">
        <v>74</v>
      </c>
      <c r="BS167" t="s">
        <v>5111</v>
      </c>
      <c r="BT167" t="str">
        <f>HYPERLINK("https%3A%2F%2Fwww.webofscience.com%2Fwos%2Fwoscc%2Ffull-record%2FWOS:000276374500034","View Full Record in Web of Science")</f>
        <v>View Full Record in Web of Science</v>
      </c>
    </row>
    <row r="168" spans="1:72" x14ac:dyDescent="0.2">
      <c r="A168" t="s">
        <v>72</v>
      </c>
      <c r="B168" t="s">
        <v>5139</v>
      </c>
      <c r="C168" t="s">
        <v>74</v>
      </c>
      <c r="D168" t="s">
        <v>74</v>
      </c>
      <c r="E168" t="s">
        <v>74</v>
      </c>
      <c r="F168" t="s">
        <v>5140</v>
      </c>
      <c r="G168" t="s">
        <v>74</v>
      </c>
      <c r="H168" t="s">
        <v>74</v>
      </c>
      <c r="I168" t="s">
        <v>5141</v>
      </c>
      <c r="J168" t="s">
        <v>5142</v>
      </c>
      <c r="K168" t="s">
        <v>74</v>
      </c>
      <c r="L168" t="s">
        <v>74</v>
      </c>
      <c r="M168" t="s">
        <v>74</v>
      </c>
      <c r="N168" t="s">
        <v>74</v>
      </c>
      <c r="O168" t="s">
        <v>74</v>
      </c>
      <c r="P168" t="s">
        <v>74</v>
      </c>
      <c r="Q168" t="s">
        <v>74</v>
      </c>
      <c r="R168" t="s">
        <v>74</v>
      </c>
      <c r="S168" t="s">
        <v>74</v>
      </c>
      <c r="T168" t="s">
        <v>74</v>
      </c>
      <c r="U168" t="s">
        <v>74</v>
      </c>
      <c r="V168" t="s">
        <v>74</v>
      </c>
      <c r="W168" t="s">
        <v>74</v>
      </c>
      <c r="X168" t="s">
        <v>74</v>
      </c>
      <c r="Y168" t="s">
        <v>74</v>
      </c>
      <c r="Z168" t="s">
        <v>74</v>
      </c>
      <c r="AA168" t="s">
        <v>7145</v>
      </c>
      <c r="AB168" t="s">
        <v>7146</v>
      </c>
      <c r="AC168" t="s">
        <v>74</v>
      </c>
      <c r="AD168" t="s">
        <v>74</v>
      </c>
      <c r="AE168" t="s">
        <v>74</v>
      </c>
      <c r="AF168" t="s">
        <v>74</v>
      </c>
      <c r="AG168" t="s">
        <v>74</v>
      </c>
      <c r="AH168" t="s">
        <v>74</v>
      </c>
      <c r="AI168" t="s">
        <v>74</v>
      </c>
      <c r="AJ168" t="s">
        <v>74</v>
      </c>
      <c r="AK168" t="s">
        <v>74</v>
      </c>
      <c r="AL168" t="s">
        <v>74</v>
      </c>
      <c r="AM168" t="s">
        <v>74</v>
      </c>
      <c r="AN168" t="s">
        <v>74</v>
      </c>
      <c r="AO168" t="s">
        <v>5143</v>
      </c>
      <c r="AP168" t="s">
        <v>5144</v>
      </c>
      <c r="AQ168" t="s">
        <v>74</v>
      </c>
      <c r="AR168" t="s">
        <v>74</v>
      </c>
      <c r="AS168" t="s">
        <v>74</v>
      </c>
      <c r="AT168" t="s">
        <v>5145</v>
      </c>
      <c r="AU168">
        <v>2010</v>
      </c>
      <c r="AV168">
        <v>96</v>
      </c>
      <c r="AW168">
        <v>4</v>
      </c>
      <c r="AX168" t="s">
        <v>74</v>
      </c>
      <c r="AY168" t="s">
        <v>74</v>
      </c>
      <c r="AZ168" t="s">
        <v>74</v>
      </c>
      <c r="BA168" t="s">
        <v>74</v>
      </c>
      <c r="BB168">
        <v>290</v>
      </c>
      <c r="BC168">
        <v>297</v>
      </c>
      <c r="BD168" t="s">
        <v>74</v>
      </c>
      <c r="BE168" t="s">
        <v>5146</v>
      </c>
      <c r="BF168" t="str">
        <f>HYPERLINK("http://dx.doi.org/10.1016/j.aquatox.2009.11.008","http://dx.doi.org/10.1016/j.aquatox.2009.11.008")</f>
        <v>http://dx.doi.org/10.1016/j.aquatox.2009.11.008</v>
      </c>
      <c r="BG168" t="s">
        <v>74</v>
      </c>
      <c r="BH168" t="s">
        <v>74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>
        <v>20018392</v>
      </c>
      <c r="BO168" t="s">
        <v>74</v>
      </c>
      <c r="BP168" t="s">
        <v>74</v>
      </c>
      <c r="BQ168" t="s">
        <v>74</v>
      </c>
      <c r="BR168" t="s">
        <v>74</v>
      </c>
      <c r="BS168" t="s">
        <v>5147</v>
      </c>
      <c r="BT168" t="str">
        <f>HYPERLINK("https%3A%2F%2Fwww.webofscience.com%2Fwos%2Fwoscc%2Ffull-record%2FWOS:000275763900006","View Full Record in Web of Science")</f>
        <v>View Full Record in Web of Science</v>
      </c>
    </row>
    <row r="169" spans="1:72" x14ac:dyDescent="0.2">
      <c r="A169" t="s">
        <v>72</v>
      </c>
      <c r="B169" t="s">
        <v>5148</v>
      </c>
      <c r="C169" t="s">
        <v>74</v>
      </c>
      <c r="D169" t="s">
        <v>74</v>
      </c>
      <c r="E169" t="s">
        <v>74</v>
      </c>
      <c r="F169" t="s">
        <v>5149</v>
      </c>
      <c r="G169" t="s">
        <v>74</v>
      </c>
      <c r="H169" t="s">
        <v>74</v>
      </c>
      <c r="I169" t="s">
        <v>5150</v>
      </c>
      <c r="J169" t="s">
        <v>1299</v>
      </c>
      <c r="K169" t="s">
        <v>74</v>
      </c>
      <c r="L169" t="s">
        <v>74</v>
      </c>
      <c r="M169" t="s">
        <v>74</v>
      </c>
      <c r="N169" t="s">
        <v>74</v>
      </c>
      <c r="O169" t="s">
        <v>74</v>
      </c>
      <c r="P169" t="s">
        <v>74</v>
      </c>
      <c r="Q169" t="s">
        <v>74</v>
      </c>
      <c r="R169" t="s">
        <v>74</v>
      </c>
      <c r="S169" t="s">
        <v>74</v>
      </c>
      <c r="T169" t="s">
        <v>74</v>
      </c>
      <c r="U169" t="s">
        <v>74</v>
      </c>
      <c r="V169" t="s">
        <v>74</v>
      </c>
      <c r="W169" t="s">
        <v>74</v>
      </c>
      <c r="X169" t="s">
        <v>74</v>
      </c>
      <c r="Y169" t="s">
        <v>74</v>
      </c>
      <c r="Z169" t="s">
        <v>74</v>
      </c>
      <c r="AA169" t="s">
        <v>7147</v>
      </c>
      <c r="AB169" t="s">
        <v>5151</v>
      </c>
      <c r="AC169" t="s">
        <v>74</v>
      </c>
      <c r="AD169" t="s">
        <v>74</v>
      </c>
      <c r="AE169" t="s">
        <v>74</v>
      </c>
      <c r="AF169" t="s">
        <v>74</v>
      </c>
      <c r="AG169" t="s">
        <v>74</v>
      </c>
      <c r="AH169" t="s">
        <v>74</v>
      </c>
      <c r="AI169" t="s">
        <v>74</v>
      </c>
      <c r="AJ169" t="s">
        <v>74</v>
      </c>
      <c r="AK169" t="s">
        <v>74</v>
      </c>
      <c r="AL169" t="s">
        <v>74</v>
      </c>
      <c r="AM169" t="s">
        <v>74</v>
      </c>
      <c r="AN169" t="s">
        <v>74</v>
      </c>
      <c r="AO169" t="s">
        <v>1302</v>
      </c>
      <c r="AP169" t="s">
        <v>1303</v>
      </c>
      <c r="AQ169" t="s">
        <v>74</v>
      </c>
      <c r="AR169" t="s">
        <v>74</v>
      </c>
      <c r="AS169" t="s">
        <v>74</v>
      </c>
      <c r="AT169" t="s">
        <v>416</v>
      </c>
      <c r="AU169">
        <v>2010</v>
      </c>
      <c r="AV169">
        <v>162</v>
      </c>
      <c r="AW169">
        <v>2</v>
      </c>
      <c r="AX169" t="s">
        <v>74</v>
      </c>
      <c r="AY169" t="s">
        <v>74</v>
      </c>
      <c r="AZ169" t="s">
        <v>74</v>
      </c>
      <c r="BA169" t="s">
        <v>74</v>
      </c>
      <c r="BB169">
        <v>349</v>
      </c>
      <c r="BC169">
        <v>357</v>
      </c>
      <c r="BD169" t="s">
        <v>74</v>
      </c>
      <c r="BE169" t="s">
        <v>5152</v>
      </c>
      <c r="BF169" t="str">
        <f>HYPERLINK("http://dx.doi.org/10.1007/s00442-009-1452-4","http://dx.doi.org/10.1007/s00442-009-1452-4")</f>
        <v>http://dx.doi.org/10.1007/s00442-009-1452-4</v>
      </c>
      <c r="BG169" t="s">
        <v>74</v>
      </c>
      <c r="BH169" t="s">
        <v>74</v>
      </c>
      <c r="BI169" t="s">
        <v>74</v>
      </c>
      <c r="BJ169" t="s">
        <v>74</v>
      </c>
      <c r="BK169" t="s">
        <v>74</v>
      </c>
      <c r="BL169" t="s">
        <v>74</v>
      </c>
      <c r="BM169" t="s">
        <v>74</v>
      </c>
      <c r="BN169">
        <v>19768470</v>
      </c>
      <c r="BO169" t="s">
        <v>74</v>
      </c>
      <c r="BP169" t="s">
        <v>74</v>
      </c>
      <c r="BQ169" t="s">
        <v>74</v>
      </c>
      <c r="BR169" t="s">
        <v>74</v>
      </c>
      <c r="BS169" t="s">
        <v>5153</v>
      </c>
      <c r="BT169" t="str">
        <f>HYPERLINK("https%3A%2F%2Fwww.webofscience.com%2Fwos%2Fwoscc%2Ffull-record%2FWOS:000273795200009","View Full Record in Web of Science")</f>
        <v>View Full Record in Web of Science</v>
      </c>
    </row>
    <row r="170" spans="1:72" x14ac:dyDescent="0.2">
      <c r="A170" t="s">
        <v>72</v>
      </c>
      <c r="B170" t="s">
        <v>5160</v>
      </c>
      <c r="C170" t="s">
        <v>74</v>
      </c>
      <c r="D170" t="s">
        <v>74</v>
      </c>
      <c r="E170" t="s">
        <v>74</v>
      </c>
      <c r="F170" t="s">
        <v>5161</v>
      </c>
      <c r="G170" t="s">
        <v>74</v>
      </c>
      <c r="H170" t="s">
        <v>74</v>
      </c>
      <c r="I170" t="s">
        <v>5162</v>
      </c>
      <c r="J170" t="s">
        <v>5163</v>
      </c>
      <c r="K170" t="s">
        <v>74</v>
      </c>
      <c r="L170" t="s">
        <v>74</v>
      </c>
      <c r="M170" t="s">
        <v>74</v>
      </c>
      <c r="N170" t="s">
        <v>74</v>
      </c>
      <c r="O170" t="s">
        <v>5164</v>
      </c>
      <c r="P170" t="s">
        <v>5165</v>
      </c>
      <c r="Q170" t="s">
        <v>5166</v>
      </c>
      <c r="R170" t="s">
        <v>74</v>
      </c>
      <c r="S170" t="s">
        <v>5167</v>
      </c>
      <c r="T170" t="s">
        <v>74</v>
      </c>
      <c r="U170" t="s">
        <v>74</v>
      </c>
      <c r="V170" t="s">
        <v>74</v>
      </c>
      <c r="W170" t="s">
        <v>74</v>
      </c>
      <c r="X170" t="s">
        <v>74</v>
      </c>
      <c r="Y170" t="s">
        <v>74</v>
      </c>
      <c r="Z170" t="s">
        <v>74</v>
      </c>
      <c r="AA170" t="s">
        <v>5168</v>
      </c>
      <c r="AB170" t="s">
        <v>5169</v>
      </c>
      <c r="AC170" t="s">
        <v>74</v>
      </c>
      <c r="AD170" t="s">
        <v>74</v>
      </c>
      <c r="AE170" t="s">
        <v>74</v>
      </c>
      <c r="AF170" t="s">
        <v>74</v>
      </c>
      <c r="AG170" t="s">
        <v>74</v>
      </c>
      <c r="AH170" t="s">
        <v>74</v>
      </c>
      <c r="AI170" t="s">
        <v>74</v>
      </c>
      <c r="AJ170" t="s">
        <v>74</v>
      </c>
      <c r="AK170" t="s">
        <v>74</v>
      </c>
      <c r="AL170" t="s">
        <v>74</v>
      </c>
      <c r="AM170" t="s">
        <v>74</v>
      </c>
      <c r="AN170" t="s">
        <v>74</v>
      </c>
      <c r="AO170" t="s">
        <v>5170</v>
      </c>
      <c r="AP170" t="s">
        <v>5171</v>
      </c>
      <c r="AQ170" t="s">
        <v>74</v>
      </c>
      <c r="AR170" t="s">
        <v>74</v>
      </c>
      <c r="AS170" t="s">
        <v>74</v>
      </c>
      <c r="AT170" t="s">
        <v>74</v>
      </c>
      <c r="AU170">
        <v>2010</v>
      </c>
      <c r="AV170" t="s">
        <v>74</v>
      </c>
      <c r="AW170" t="s">
        <v>74</v>
      </c>
      <c r="AX170" t="s">
        <v>74</v>
      </c>
      <c r="AY170">
        <v>136</v>
      </c>
      <c r="AZ170" t="s">
        <v>74</v>
      </c>
      <c r="BA170" t="s">
        <v>74</v>
      </c>
      <c r="BB170">
        <v>55</v>
      </c>
      <c r="BC170">
        <v>69</v>
      </c>
      <c r="BD170" t="s">
        <v>74</v>
      </c>
      <c r="BE170" t="s">
        <v>5172</v>
      </c>
      <c r="BF170" t="str">
        <f>HYPERLINK("http://dx.doi.org/10.1127/1438-9134/2010/0136-0055","http://dx.doi.org/10.1127/1438-9134/2010/0136-0055")</f>
        <v>http://dx.doi.org/10.1127/1438-9134/2010/0136-0055</v>
      </c>
      <c r="BG170" t="s">
        <v>74</v>
      </c>
      <c r="BH170" t="s">
        <v>74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 t="s">
        <v>74</v>
      </c>
      <c r="BO170" t="s">
        <v>74</v>
      </c>
      <c r="BP170" t="s">
        <v>74</v>
      </c>
      <c r="BQ170" t="s">
        <v>74</v>
      </c>
      <c r="BR170" t="s">
        <v>74</v>
      </c>
      <c r="BS170" t="s">
        <v>5173</v>
      </c>
      <c r="BT170" t="str">
        <f>HYPERLINK("https%3A%2F%2Fwww.webofscience.com%2Fwos%2Fwoscc%2Ffull-record%2FWOS:000279419900006","View Full Record in Web of Science")</f>
        <v>View Full Record in Web of Science</v>
      </c>
    </row>
    <row r="171" spans="1:72" x14ac:dyDescent="0.2">
      <c r="A171" t="s">
        <v>72</v>
      </c>
      <c r="B171" t="s">
        <v>5174</v>
      </c>
      <c r="C171" t="s">
        <v>74</v>
      </c>
      <c r="D171" t="s">
        <v>74</v>
      </c>
      <c r="E171" t="s">
        <v>74</v>
      </c>
      <c r="F171" t="s">
        <v>5175</v>
      </c>
      <c r="G171" t="s">
        <v>74</v>
      </c>
      <c r="H171" t="s">
        <v>74</v>
      </c>
      <c r="I171" t="s">
        <v>5176</v>
      </c>
      <c r="J171" t="s">
        <v>5016</v>
      </c>
      <c r="K171" t="s">
        <v>74</v>
      </c>
      <c r="L171" t="s">
        <v>74</v>
      </c>
      <c r="M171" t="s">
        <v>74</v>
      </c>
      <c r="N171" t="s">
        <v>74</v>
      </c>
      <c r="O171" t="s">
        <v>74</v>
      </c>
      <c r="P171" t="s">
        <v>74</v>
      </c>
      <c r="Q171" t="s">
        <v>74</v>
      </c>
      <c r="R171" t="s">
        <v>74</v>
      </c>
      <c r="S171" t="s">
        <v>74</v>
      </c>
      <c r="T171" t="s">
        <v>74</v>
      </c>
      <c r="U171" t="s">
        <v>74</v>
      </c>
      <c r="V171" t="s">
        <v>74</v>
      </c>
      <c r="W171" t="s">
        <v>74</v>
      </c>
      <c r="X171" t="s">
        <v>74</v>
      </c>
      <c r="Y171" t="s">
        <v>74</v>
      </c>
      <c r="Z171" t="s">
        <v>74</v>
      </c>
      <c r="AA171" t="s">
        <v>74</v>
      </c>
      <c r="AB171" t="s">
        <v>74</v>
      </c>
      <c r="AC171" t="s">
        <v>74</v>
      </c>
      <c r="AD171" t="s">
        <v>74</v>
      </c>
      <c r="AE171" t="s">
        <v>74</v>
      </c>
      <c r="AF171" t="s">
        <v>74</v>
      </c>
      <c r="AG171" t="s">
        <v>74</v>
      </c>
      <c r="AH171" t="s">
        <v>74</v>
      </c>
      <c r="AI171" t="s">
        <v>74</v>
      </c>
      <c r="AJ171" t="s">
        <v>74</v>
      </c>
      <c r="AK171" t="s">
        <v>74</v>
      </c>
      <c r="AL171" t="s">
        <v>74</v>
      </c>
      <c r="AM171" t="s">
        <v>74</v>
      </c>
      <c r="AN171" t="s">
        <v>74</v>
      </c>
      <c r="AO171" t="s">
        <v>5017</v>
      </c>
      <c r="AP171" t="s">
        <v>5018</v>
      </c>
      <c r="AQ171" t="s">
        <v>74</v>
      </c>
      <c r="AR171" t="s">
        <v>74</v>
      </c>
      <c r="AS171" t="s">
        <v>74</v>
      </c>
      <c r="AT171" t="s">
        <v>74</v>
      </c>
      <c r="AU171">
        <v>2010</v>
      </c>
      <c r="AV171">
        <v>69</v>
      </c>
      <c r="AW171">
        <v>2</v>
      </c>
      <c r="AX171" t="s">
        <v>74</v>
      </c>
      <c r="AY171" t="s">
        <v>74</v>
      </c>
      <c r="AZ171" t="s">
        <v>74</v>
      </c>
      <c r="BA171" t="s">
        <v>74</v>
      </c>
      <c r="BB171">
        <v>353</v>
      </c>
      <c r="BC171">
        <v>357</v>
      </c>
      <c r="BD171" t="s">
        <v>74</v>
      </c>
      <c r="BE171" t="s">
        <v>5177</v>
      </c>
      <c r="BF171" t="str">
        <f>HYPERLINK("http://dx.doi.org/10.4081/jlimnol.2010.353","http://dx.doi.org/10.4081/jlimnol.2010.353")</f>
        <v>http://dx.doi.org/10.4081/jlimnol.2010.353</v>
      </c>
      <c r="BG171" t="s">
        <v>74</v>
      </c>
      <c r="BH171" t="s">
        <v>74</v>
      </c>
      <c r="BI171" t="s">
        <v>74</v>
      </c>
      <c r="BJ171" t="s">
        <v>74</v>
      </c>
      <c r="BK171" t="s">
        <v>74</v>
      </c>
      <c r="BL171" t="s">
        <v>74</v>
      </c>
      <c r="BM171" t="s">
        <v>74</v>
      </c>
      <c r="BN171" t="s">
        <v>74</v>
      </c>
      <c r="BO171" t="s">
        <v>74</v>
      </c>
      <c r="BP171" t="s">
        <v>74</v>
      </c>
      <c r="BQ171" t="s">
        <v>74</v>
      </c>
      <c r="BR171" t="s">
        <v>74</v>
      </c>
      <c r="BS171" t="s">
        <v>5178</v>
      </c>
      <c r="BT171" t="str">
        <f>HYPERLINK("https%3A%2F%2Fwww.webofscience.com%2Fwos%2Fwoscc%2Ffull-record%2FWOS:000282859700017","View Full Record in Web of Science")</f>
        <v>View Full Record in Web of Science</v>
      </c>
    </row>
    <row r="172" spans="1:72" x14ac:dyDescent="0.2">
      <c r="A172" t="s">
        <v>72</v>
      </c>
      <c r="B172" t="s">
        <v>5210</v>
      </c>
      <c r="C172" t="s">
        <v>74</v>
      </c>
      <c r="D172" t="s">
        <v>74</v>
      </c>
      <c r="E172" t="s">
        <v>74</v>
      </c>
      <c r="F172" t="s">
        <v>5211</v>
      </c>
      <c r="G172" t="s">
        <v>74</v>
      </c>
      <c r="H172" t="s">
        <v>74</v>
      </c>
      <c r="I172" t="s">
        <v>5212</v>
      </c>
      <c r="J172" t="s">
        <v>423</v>
      </c>
      <c r="K172" t="s">
        <v>74</v>
      </c>
      <c r="L172" t="s">
        <v>74</v>
      </c>
      <c r="M172" t="s">
        <v>74</v>
      </c>
      <c r="N172" t="s">
        <v>74</v>
      </c>
      <c r="O172" t="s">
        <v>74</v>
      </c>
      <c r="P172" t="s">
        <v>74</v>
      </c>
      <c r="Q172" t="s">
        <v>74</v>
      </c>
      <c r="R172" t="s">
        <v>74</v>
      </c>
      <c r="S172" t="s">
        <v>74</v>
      </c>
      <c r="T172" t="s">
        <v>74</v>
      </c>
      <c r="U172" t="s">
        <v>74</v>
      </c>
      <c r="V172" t="s">
        <v>74</v>
      </c>
      <c r="W172" t="s">
        <v>74</v>
      </c>
      <c r="X172" t="s">
        <v>74</v>
      </c>
      <c r="Y172" t="s">
        <v>74</v>
      </c>
      <c r="Z172" t="s">
        <v>74</v>
      </c>
      <c r="AA172" t="s">
        <v>74</v>
      </c>
      <c r="AB172" t="s">
        <v>74</v>
      </c>
      <c r="AC172" t="s">
        <v>74</v>
      </c>
      <c r="AD172" t="s">
        <v>74</v>
      </c>
      <c r="AE172" t="s">
        <v>74</v>
      </c>
      <c r="AF172" t="s">
        <v>74</v>
      </c>
      <c r="AG172" t="s">
        <v>74</v>
      </c>
      <c r="AH172" t="s">
        <v>74</v>
      </c>
      <c r="AI172" t="s">
        <v>74</v>
      </c>
      <c r="AJ172" t="s">
        <v>74</v>
      </c>
      <c r="AK172" t="s">
        <v>74</v>
      </c>
      <c r="AL172" t="s">
        <v>74</v>
      </c>
      <c r="AM172" t="s">
        <v>74</v>
      </c>
      <c r="AN172" t="s">
        <v>74</v>
      </c>
      <c r="AO172" t="s">
        <v>425</v>
      </c>
      <c r="AP172" t="s">
        <v>426</v>
      </c>
      <c r="AQ172" t="s">
        <v>74</v>
      </c>
      <c r="AR172" t="s">
        <v>74</v>
      </c>
      <c r="AS172" t="s">
        <v>74</v>
      </c>
      <c r="AT172" t="s">
        <v>624</v>
      </c>
      <c r="AU172">
        <v>2009</v>
      </c>
      <c r="AV172">
        <v>54</v>
      </c>
      <c r="AW172">
        <v>7</v>
      </c>
      <c r="AX172" t="s">
        <v>74</v>
      </c>
      <c r="AY172" t="s">
        <v>74</v>
      </c>
      <c r="AZ172" t="s">
        <v>74</v>
      </c>
      <c r="BA172" t="s">
        <v>74</v>
      </c>
      <c r="BB172">
        <v>1406</v>
      </c>
      <c r="BC172">
        <v>1426</v>
      </c>
      <c r="BD172" t="s">
        <v>74</v>
      </c>
      <c r="BE172" t="s">
        <v>5213</v>
      </c>
      <c r="BF172" t="str">
        <f>HYPERLINK("http://dx.doi.org/10.1111/j.1365-2427.2009.02193.x","http://dx.doi.org/10.1111/j.1365-2427.2009.02193.x")</f>
        <v>http://dx.doi.org/10.1111/j.1365-2427.2009.02193.x</v>
      </c>
      <c r="BG172" t="s">
        <v>74</v>
      </c>
      <c r="BH172" t="s">
        <v>74</v>
      </c>
      <c r="BI172" t="s">
        <v>74</v>
      </c>
      <c r="BJ172" t="s">
        <v>74</v>
      </c>
      <c r="BK172" t="s">
        <v>74</v>
      </c>
      <c r="BL172" t="s">
        <v>74</v>
      </c>
      <c r="BM172" t="s">
        <v>74</v>
      </c>
      <c r="BN172" t="s">
        <v>74</v>
      </c>
      <c r="BO172" t="s">
        <v>74</v>
      </c>
      <c r="BP172" t="s">
        <v>74</v>
      </c>
      <c r="BQ172" t="s">
        <v>74</v>
      </c>
      <c r="BR172" t="s">
        <v>74</v>
      </c>
      <c r="BS172" t="s">
        <v>5214</v>
      </c>
      <c r="BT172" t="str">
        <f>HYPERLINK("https%3A%2F%2Fwww.webofscience.com%2Fwos%2Fwoscc%2Ffull-record%2FWOS:000266637400003","View Full Record in Web of Science")</f>
        <v>View Full Record in Web of Science</v>
      </c>
    </row>
    <row r="173" spans="1:72" x14ac:dyDescent="0.2">
      <c r="A173" t="s">
        <v>72</v>
      </c>
      <c r="B173" t="s">
        <v>5302</v>
      </c>
      <c r="C173" t="s">
        <v>74</v>
      </c>
      <c r="D173" t="s">
        <v>74</v>
      </c>
      <c r="E173" t="s">
        <v>74</v>
      </c>
      <c r="F173" t="s">
        <v>5303</v>
      </c>
      <c r="G173" t="s">
        <v>74</v>
      </c>
      <c r="H173" t="s">
        <v>74</v>
      </c>
      <c r="I173" t="s">
        <v>5304</v>
      </c>
      <c r="J173" t="s">
        <v>4926</v>
      </c>
      <c r="K173" t="s">
        <v>74</v>
      </c>
      <c r="L173" t="s">
        <v>74</v>
      </c>
      <c r="M173" t="s">
        <v>74</v>
      </c>
      <c r="N173" t="s">
        <v>74</v>
      </c>
      <c r="O173" t="s">
        <v>74</v>
      </c>
      <c r="P173" t="s">
        <v>74</v>
      </c>
      <c r="Q173" t="s">
        <v>74</v>
      </c>
      <c r="R173" t="s">
        <v>74</v>
      </c>
      <c r="S173" t="s">
        <v>74</v>
      </c>
      <c r="T173" t="s">
        <v>74</v>
      </c>
      <c r="U173" t="s">
        <v>74</v>
      </c>
      <c r="V173" t="s">
        <v>74</v>
      </c>
      <c r="W173" t="s">
        <v>74</v>
      </c>
      <c r="X173" t="s">
        <v>74</v>
      </c>
      <c r="Y173" t="s">
        <v>74</v>
      </c>
      <c r="Z173" t="s">
        <v>74</v>
      </c>
      <c r="AA173" t="s">
        <v>5305</v>
      </c>
      <c r="AB173" t="s">
        <v>5306</v>
      </c>
      <c r="AC173" t="s">
        <v>74</v>
      </c>
      <c r="AD173" t="s">
        <v>74</v>
      </c>
      <c r="AE173" t="s">
        <v>74</v>
      </c>
      <c r="AF173" t="s">
        <v>74</v>
      </c>
      <c r="AG173" t="s">
        <v>74</v>
      </c>
      <c r="AH173" t="s">
        <v>74</v>
      </c>
      <c r="AI173" t="s">
        <v>74</v>
      </c>
      <c r="AJ173" t="s">
        <v>74</v>
      </c>
      <c r="AK173" t="s">
        <v>74</v>
      </c>
      <c r="AL173" t="s">
        <v>74</v>
      </c>
      <c r="AM173" t="s">
        <v>74</v>
      </c>
      <c r="AN173" t="s">
        <v>74</v>
      </c>
      <c r="AO173" t="s">
        <v>4928</v>
      </c>
      <c r="AP173" t="s">
        <v>74</v>
      </c>
      <c r="AQ173" t="s">
        <v>74</v>
      </c>
      <c r="AR173" t="s">
        <v>74</v>
      </c>
      <c r="AS173" t="s">
        <v>74</v>
      </c>
      <c r="AT173" t="s">
        <v>3834</v>
      </c>
      <c r="AU173">
        <v>2009</v>
      </c>
      <c r="AV173">
        <v>52</v>
      </c>
      <c r="AW173">
        <v>1</v>
      </c>
      <c r="AX173" t="s">
        <v>74</v>
      </c>
      <c r="AY173" t="s">
        <v>74</v>
      </c>
      <c r="AZ173" t="s">
        <v>74</v>
      </c>
      <c r="BA173" t="s">
        <v>74</v>
      </c>
      <c r="BB173">
        <v>135</v>
      </c>
      <c r="BC173">
        <v>144</v>
      </c>
      <c r="BD173" t="s">
        <v>74</v>
      </c>
      <c r="BE173" t="s">
        <v>5307</v>
      </c>
      <c r="BF173" t="str">
        <f>HYPERLINK("http://dx.doi.org/10.1590/S1516-89132009000100018","http://dx.doi.org/10.1590/S1516-89132009000100018")</f>
        <v>http://dx.doi.org/10.1590/S1516-89132009000100018</v>
      </c>
      <c r="BG173" t="s">
        <v>74</v>
      </c>
      <c r="BH173" t="s">
        <v>74</v>
      </c>
      <c r="BI173" t="s">
        <v>74</v>
      </c>
      <c r="BJ173" t="s">
        <v>74</v>
      </c>
      <c r="BK173" t="s">
        <v>74</v>
      </c>
      <c r="BL173" t="s">
        <v>74</v>
      </c>
      <c r="BM173" t="s">
        <v>74</v>
      </c>
      <c r="BN173" t="s">
        <v>74</v>
      </c>
      <c r="BO173" t="s">
        <v>74</v>
      </c>
      <c r="BP173" t="s">
        <v>74</v>
      </c>
      <c r="BQ173" t="s">
        <v>74</v>
      </c>
      <c r="BR173" t="s">
        <v>74</v>
      </c>
      <c r="BS173" t="s">
        <v>5308</v>
      </c>
      <c r="BT173" t="str">
        <f>HYPERLINK("https%3A%2F%2Fwww.webofscience.com%2Fwos%2Fwoscc%2Ffull-record%2FWOS:000264779400017","View Full Record in Web of Science")</f>
        <v>View Full Record in Web of Science</v>
      </c>
    </row>
    <row r="174" spans="1:72" x14ac:dyDescent="0.2">
      <c r="A174" t="s">
        <v>72</v>
      </c>
      <c r="B174" t="s">
        <v>5395</v>
      </c>
      <c r="C174" t="s">
        <v>74</v>
      </c>
      <c r="D174" t="s">
        <v>74</v>
      </c>
      <c r="E174" t="s">
        <v>74</v>
      </c>
      <c r="F174" t="s">
        <v>5396</v>
      </c>
      <c r="G174" t="s">
        <v>74</v>
      </c>
      <c r="H174" t="s">
        <v>74</v>
      </c>
      <c r="I174" t="s">
        <v>5397</v>
      </c>
      <c r="J174" t="s">
        <v>2990</v>
      </c>
      <c r="K174" t="s">
        <v>74</v>
      </c>
      <c r="L174" t="s">
        <v>74</v>
      </c>
      <c r="M174" t="s">
        <v>74</v>
      </c>
      <c r="N174" t="s">
        <v>74</v>
      </c>
      <c r="O174" t="s">
        <v>74</v>
      </c>
      <c r="P174" t="s">
        <v>74</v>
      </c>
      <c r="Q174" t="s">
        <v>74</v>
      </c>
      <c r="R174" t="s">
        <v>74</v>
      </c>
      <c r="S174" t="s">
        <v>74</v>
      </c>
      <c r="T174" t="s">
        <v>74</v>
      </c>
      <c r="U174" t="s">
        <v>74</v>
      </c>
      <c r="V174" t="s">
        <v>74</v>
      </c>
      <c r="W174" t="s">
        <v>74</v>
      </c>
      <c r="X174" t="s">
        <v>74</v>
      </c>
      <c r="Y174" t="s">
        <v>74</v>
      </c>
      <c r="Z174" t="s">
        <v>74</v>
      </c>
      <c r="AA174" t="s">
        <v>74</v>
      </c>
      <c r="AB174" t="s">
        <v>74</v>
      </c>
      <c r="AC174" t="s">
        <v>74</v>
      </c>
      <c r="AD174" t="s">
        <v>74</v>
      </c>
      <c r="AE174" t="s">
        <v>74</v>
      </c>
      <c r="AF174" t="s">
        <v>74</v>
      </c>
      <c r="AG174" t="s">
        <v>74</v>
      </c>
      <c r="AH174" t="s">
        <v>74</v>
      </c>
      <c r="AI174" t="s">
        <v>74</v>
      </c>
      <c r="AJ174" t="s">
        <v>74</v>
      </c>
      <c r="AK174" t="s">
        <v>74</v>
      </c>
      <c r="AL174" t="s">
        <v>74</v>
      </c>
      <c r="AM174" t="s">
        <v>74</v>
      </c>
      <c r="AN174" t="s">
        <v>74</v>
      </c>
      <c r="AO174" t="s">
        <v>2993</v>
      </c>
      <c r="AP174" t="s">
        <v>74</v>
      </c>
      <c r="AQ174" t="s">
        <v>74</v>
      </c>
      <c r="AR174" t="s">
        <v>74</v>
      </c>
      <c r="AS174" t="s">
        <v>74</v>
      </c>
      <c r="AT174" t="s">
        <v>157</v>
      </c>
      <c r="AU174">
        <v>2008</v>
      </c>
      <c r="AV174">
        <v>11</v>
      </c>
      <c r="AW174">
        <v>3</v>
      </c>
      <c r="AX174" t="s">
        <v>74</v>
      </c>
      <c r="AY174" t="s">
        <v>74</v>
      </c>
      <c r="AZ174" t="s">
        <v>74</v>
      </c>
      <c r="BA174" t="s">
        <v>74</v>
      </c>
      <c r="BB174">
        <v>245</v>
      </c>
      <c r="BC174">
        <v>257</v>
      </c>
      <c r="BD174" t="s">
        <v>74</v>
      </c>
      <c r="BE174" t="s">
        <v>5398</v>
      </c>
      <c r="BF174" t="str">
        <f>HYPERLINK("http://dx.doi.org/10.1111/j.1461-0248.2007.01143.x","http://dx.doi.org/10.1111/j.1461-0248.2007.01143.x")</f>
        <v>http://dx.doi.org/10.1111/j.1461-0248.2007.01143.x</v>
      </c>
      <c r="BG174" t="s">
        <v>74</v>
      </c>
      <c r="BH174" t="s">
        <v>74</v>
      </c>
      <c r="BI174" t="s">
        <v>74</v>
      </c>
      <c r="BJ174" t="s">
        <v>74</v>
      </c>
      <c r="BK174" t="s">
        <v>74</v>
      </c>
      <c r="BL174" t="s">
        <v>74</v>
      </c>
      <c r="BM174" t="s">
        <v>74</v>
      </c>
      <c r="BN174">
        <v>18070097</v>
      </c>
      <c r="BO174" t="s">
        <v>74</v>
      </c>
      <c r="BP174" t="s">
        <v>74</v>
      </c>
      <c r="BQ174" t="s">
        <v>74</v>
      </c>
      <c r="BR174" t="s">
        <v>74</v>
      </c>
      <c r="BS174" t="s">
        <v>5399</v>
      </c>
      <c r="BT174" t="str">
        <f>HYPERLINK("https%3A%2F%2Fwww.webofscience.com%2Fwos%2Fwoscc%2Ffull-record%2FWOS:000252807500006","View Full Record in Web of Science")</f>
        <v>View Full Record in Web of Science</v>
      </c>
    </row>
    <row r="175" spans="1:72" x14ac:dyDescent="0.2">
      <c r="A175" t="s">
        <v>72</v>
      </c>
      <c r="B175" t="s">
        <v>5433</v>
      </c>
      <c r="C175" t="s">
        <v>74</v>
      </c>
      <c r="D175" t="s">
        <v>74</v>
      </c>
      <c r="E175" t="s">
        <v>74</v>
      </c>
      <c r="F175" t="s">
        <v>5434</v>
      </c>
      <c r="G175" t="s">
        <v>74</v>
      </c>
      <c r="H175" t="s">
        <v>74</v>
      </c>
      <c r="I175" t="s">
        <v>5435</v>
      </c>
      <c r="J175" t="s">
        <v>5436</v>
      </c>
      <c r="K175" t="s">
        <v>74</v>
      </c>
      <c r="L175" t="s">
        <v>74</v>
      </c>
      <c r="M175" t="s">
        <v>74</v>
      </c>
      <c r="N175" t="s">
        <v>74</v>
      </c>
      <c r="O175" t="s">
        <v>74</v>
      </c>
      <c r="P175" t="s">
        <v>74</v>
      </c>
      <c r="Q175" t="s">
        <v>74</v>
      </c>
      <c r="R175" t="s">
        <v>74</v>
      </c>
      <c r="S175" t="s">
        <v>74</v>
      </c>
      <c r="T175" t="s">
        <v>74</v>
      </c>
      <c r="U175" t="s">
        <v>74</v>
      </c>
      <c r="V175" t="s">
        <v>74</v>
      </c>
      <c r="W175" t="s">
        <v>74</v>
      </c>
      <c r="X175" t="s">
        <v>74</v>
      </c>
      <c r="Y175" t="s">
        <v>74</v>
      </c>
      <c r="Z175" t="s">
        <v>74</v>
      </c>
      <c r="AA175" t="s">
        <v>7159</v>
      </c>
      <c r="AB175" t="s">
        <v>7160</v>
      </c>
      <c r="AC175" t="s">
        <v>74</v>
      </c>
      <c r="AD175" t="s">
        <v>74</v>
      </c>
      <c r="AE175" t="s">
        <v>74</v>
      </c>
      <c r="AF175" t="s">
        <v>74</v>
      </c>
      <c r="AG175" t="s">
        <v>74</v>
      </c>
      <c r="AH175" t="s">
        <v>74</v>
      </c>
      <c r="AI175" t="s">
        <v>74</v>
      </c>
      <c r="AJ175" t="s">
        <v>74</v>
      </c>
      <c r="AK175" t="s">
        <v>74</v>
      </c>
      <c r="AL175" t="s">
        <v>74</v>
      </c>
      <c r="AM175" t="s">
        <v>74</v>
      </c>
      <c r="AN175" t="s">
        <v>74</v>
      </c>
      <c r="AO175" t="s">
        <v>5439</v>
      </c>
      <c r="AP175" t="s">
        <v>74</v>
      </c>
      <c r="AQ175" t="s">
        <v>74</v>
      </c>
      <c r="AR175" t="s">
        <v>74</v>
      </c>
      <c r="AS175" t="s">
        <v>74</v>
      </c>
      <c r="AT175" t="s">
        <v>74</v>
      </c>
      <c r="AU175">
        <v>2008</v>
      </c>
      <c r="AV175">
        <v>44</v>
      </c>
      <c r="AW175">
        <v>3</v>
      </c>
      <c r="AX175" t="s">
        <v>74</v>
      </c>
      <c r="AY175" t="s">
        <v>74</v>
      </c>
      <c r="AZ175" t="s">
        <v>74</v>
      </c>
      <c r="BA175" t="s">
        <v>74</v>
      </c>
      <c r="BB175">
        <v>169</v>
      </c>
      <c r="BC175">
        <v>179</v>
      </c>
      <c r="BD175" t="s">
        <v>74</v>
      </c>
      <c r="BE175" t="s">
        <v>5440</v>
      </c>
      <c r="BF175" t="str">
        <f>HYPERLINK("http://dx.doi.org/10.1051/limn:2008001","http://dx.doi.org/10.1051/limn:2008001")</f>
        <v>http://dx.doi.org/10.1051/limn:2008001</v>
      </c>
      <c r="BG175" t="s">
        <v>74</v>
      </c>
      <c r="BH175" t="s">
        <v>74</v>
      </c>
      <c r="BI175" t="s">
        <v>74</v>
      </c>
      <c r="BJ175" t="s">
        <v>74</v>
      </c>
      <c r="BK175" t="s">
        <v>74</v>
      </c>
      <c r="BL175" t="s">
        <v>74</v>
      </c>
      <c r="BM175" t="s">
        <v>74</v>
      </c>
      <c r="BN175" t="s">
        <v>74</v>
      </c>
      <c r="BO175" t="s">
        <v>74</v>
      </c>
      <c r="BP175" t="s">
        <v>74</v>
      </c>
      <c r="BQ175" t="s">
        <v>74</v>
      </c>
      <c r="BR175" t="s">
        <v>74</v>
      </c>
      <c r="BS175" t="s">
        <v>5441</v>
      </c>
      <c r="BT175" t="str">
        <f>HYPERLINK("https%3A%2F%2Fwww.webofscience.com%2Fwos%2Fwoscc%2Ffull-record%2FWOS:000259736500001","View Full Record in Web of Science")</f>
        <v>View Full Record in Web of Science</v>
      </c>
    </row>
    <row r="176" spans="1:72" x14ac:dyDescent="0.2">
      <c r="A176" t="s">
        <v>72</v>
      </c>
      <c r="B176" t="s">
        <v>5472</v>
      </c>
      <c r="C176" t="s">
        <v>74</v>
      </c>
      <c r="D176" t="s">
        <v>74</v>
      </c>
      <c r="E176" t="s">
        <v>74</v>
      </c>
      <c r="F176" t="s">
        <v>5473</v>
      </c>
      <c r="G176" t="s">
        <v>74</v>
      </c>
      <c r="H176" t="s">
        <v>74</v>
      </c>
      <c r="I176" t="s">
        <v>5474</v>
      </c>
      <c r="J176" t="s">
        <v>673</v>
      </c>
      <c r="K176" t="s">
        <v>74</v>
      </c>
      <c r="L176" t="s">
        <v>74</v>
      </c>
      <c r="M176" t="s">
        <v>74</v>
      </c>
      <c r="N176" t="s">
        <v>74</v>
      </c>
      <c r="O176" t="s">
        <v>74</v>
      </c>
      <c r="P176" t="s">
        <v>74</v>
      </c>
      <c r="Q176" t="s">
        <v>74</v>
      </c>
      <c r="R176" t="s">
        <v>74</v>
      </c>
      <c r="S176" t="s">
        <v>74</v>
      </c>
      <c r="T176" t="s">
        <v>74</v>
      </c>
      <c r="U176" t="s">
        <v>74</v>
      </c>
      <c r="V176" t="s">
        <v>74</v>
      </c>
      <c r="W176" t="s">
        <v>74</v>
      </c>
      <c r="X176" t="s">
        <v>74</v>
      </c>
      <c r="Y176" t="s">
        <v>74</v>
      </c>
      <c r="Z176" t="s">
        <v>74</v>
      </c>
      <c r="AA176" t="s">
        <v>5437</v>
      </c>
      <c r="AB176" t="s">
        <v>5438</v>
      </c>
      <c r="AC176" t="s">
        <v>74</v>
      </c>
      <c r="AD176" t="s">
        <v>74</v>
      </c>
      <c r="AE176" t="s">
        <v>74</v>
      </c>
      <c r="AF176" t="s">
        <v>74</v>
      </c>
      <c r="AG176" t="s">
        <v>74</v>
      </c>
      <c r="AH176" t="s">
        <v>74</v>
      </c>
      <c r="AI176" t="s">
        <v>74</v>
      </c>
      <c r="AJ176" t="s">
        <v>74</v>
      </c>
      <c r="AK176" t="s">
        <v>74</v>
      </c>
      <c r="AL176" t="s">
        <v>74</v>
      </c>
      <c r="AM176" t="s">
        <v>74</v>
      </c>
      <c r="AN176" t="s">
        <v>74</v>
      </c>
      <c r="AO176" t="s">
        <v>674</v>
      </c>
      <c r="AP176" t="s">
        <v>675</v>
      </c>
      <c r="AQ176" t="s">
        <v>74</v>
      </c>
      <c r="AR176" t="s">
        <v>74</v>
      </c>
      <c r="AS176" t="s">
        <v>74</v>
      </c>
      <c r="AT176" t="s">
        <v>335</v>
      </c>
      <c r="AU176">
        <v>2007</v>
      </c>
      <c r="AV176">
        <v>68</v>
      </c>
      <c r="AW176">
        <v>3</v>
      </c>
      <c r="AX176" t="s">
        <v>74</v>
      </c>
      <c r="AY176" t="s">
        <v>74</v>
      </c>
      <c r="AZ176" t="s">
        <v>74</v>
      </c>
      <c r="BA176" t="s">
        <v>74</v>
      </c>
      <c r="BB176">
        <v>386</v>
      </c>
      <c r="BC176">
        <v>396</v>
      </c>
      <c r="BD176" t="s">
        <v>74</v>
      </c>
      <c r="BE176" t="s">
        <v>5475</v>
      </c>
      <c r="BF176" t="str">
        <f>HYPERLINK("http://dx.doi.org/10.1016/j.ecoenv.2006.10.012","http://dx.doi.org/10.1016/j.ecoenv.2006.10.012")</f>
        <v>http://dx.doi.org/10.1016/j.ecoenv.2006.10.012</v>
      </c>
      <c r="BG176" t="s">
        <v>74</v>
      </c>
      <c r="BH176" t="s">
        <v>74</v>
      </c>
      <c r="BI176" t="s">
        <v>74</v>
      </c>
      <c r="BJ176" t="s">
        <v>74</v>
      </c>
      <c r="BK176" t="s">
        <v>74</v>
      </c>
      <c r="BL176" t="s">
        <v>74</v>
      </c>
      <c r="BM176" t="s">
        <v>74</v>
      </c>
      <c r="BN176">
        <v>17150251</v>
      </c>
      <c r="BO176" t="s">
        <v>74</v>
      </c>
      <c r="BP176" t="s">
        <v>74</v>
      </c>
      <c r="BQ176" t="s">
        <v>74</v>
      </c>
      <c r="BR176" t="s">
        <v>74</v>
      </c>
      <c r="BS176" t="s">
        <v>5476</v>
      </c>
      <c r="BT176" t="str">
        <f>HYPERLINK("https%3A%2F%2Fwww.webofscience.com%2Fwos%2Fwoscc%2Ffull-record%2FWOS:000251067500009","View Full Record in Web of Science")</f>
        <v>View Full Record in Web of Science</v>
      </c>
    </row>
    <row r="177" spans="1:72" x14ac:dyDescent="0.2">
      <c r="A177" t="s">
        <v>72</v>
      </c>
      <c r="B177" t="s">
        <v>5481</v>
      </c>
      <c r="C177" t="s">
        <v>74</v>
      </c>
      <c r="D177" t="s">
        <v>74</v>
      </c>
      <c r="E177" t="s">
        <v>74</v>
      </c>
      <c r="F177" t="s">
        <v>5482</v>
      </c>
      <c r="G177" t="s">
        <v>74</v>
      </c>
      <c r="H177" t="s">
        <v>74</v>
      </c>
      <c r="I177" t="s">
        <v>5483</v>
      </c>
      <c r="J177" t="s">
        <v>423</v>
      </c>
      <c r="K177" t="s">
        <v>74</v>
      </c>
      <c r="L177" t="s">
        <v>74</v>
      </c>
      <c r="M177" t="s">
        <v>74</v>
      </c>
      <c r="N177" t="s">
        <v>74</v>
      </c>
      <c r="O177" t="s">
        <v>74</v>
      </c>
      <c r="P177" t="s">
        <v>74</v>
      </c>
      <c r="Q177" t="s">
        <v>74</v>
      </c>
      <c r="R177" t="s">
        <v>74</v>
      </c>
      <c r="S177" t="s">
        <v>74</v>
      </c>
      <c r="T177" t="s">
        <v>74</v>
      </c>
      <c r="U177" t="s">
        <v>74</v>
      </c>
      <c r="V177" t="s">
        <v>74</v>
      </c>
      <c r="W177" t="s">
        <v>74</v>
      </c>
      <c r="X177" t="s">
        <v>74</v>
      </c>
      <c r="Y177" t="s">
        <v>74</v>
      </c>
      <c r="Z177" t="s">
        <v>74</v>
      </c>
      <c r="AA177" t="s">
        <v>74</v>
      </c>
      <c r="AB177" t="s">
        <v>74</v>
      </c>
      <c r="AC177" t="s">
        <v>74</v>
      </c>
      <c r="AD177" t="s">
        <v>74</v>
      </c>
      <c r="AE177" t="s">
        <v>74</v>
      </c>
      <c r="AF177" t="s">
        <v>74</v>
      </c>
      <c r="AG177" t="s">
        <v>74</v>
      </c>
      <c r="AH177" t="s">
        <v>74</v>
      </c>
      <c r="AI177" t="s">
        <v>74</v>
      </c>
      <c r="AJ177" t="s">
        <v>74</v>
      </c>
      <c r="AK177" t="s">
        <v>74</v>
      </c>
      <c r="AL177" t="s">
        <v>74</v>
      </c>
      <c r="AM177" t="s">
        <v>74</v>
      </c>
      <c r="AN177" t="s">
        <v>74</v>
      </c>
      <c r="AO177" t="s">
        <v>425</v>
      </c>
      <c r="AP177" t="s">
        <v>426</v>
      </c>
      <c r="AQ177" t="s">
        <v>74</v>
      </c>
      <c r="AR177" t="s">
        <v>74</v>
      </c>
      <c r="AS177" t="s">
        <v>74</v>
      </c>
      <c r="AT177" t="s">
        <v>335</v>
      </c>
      <c r="AU177">
        <v>2007</v>
      </c>
      <c r="AV177">
        <v>52</v>
      </c>
      <c r="AW177">
        <v>11</v>
      </c>
      <c r="AX177" t="s">
        <v>74</v>
      </c>
      <c r="AY177" t="s">
        <v>74</v>
      </c>
      <c r="AZ177" t="s">
        <v>74</v>
      </c>
      <c r="BA177" t="s">
        <v>74</v>
      </c>
      <c r="BB177">
        <v>2141</v>
      </c>
      <c r="BC177">
        <v>2155</v>
      </c>
      <c r="BD177" t="s">
        <v>74</v>
      </c>
      <c r="BE177" t="s">
        <v>5484</v>
      </c>
      <c r="BF177" t="str">
        <f>HYPERLINK("http://dx.doi.org/10.1111/j.1365-2427.2007.01844.x","http://dx.doi.org/10.1111/j.1365-2427.2007.01844.x")</f>
        <v>http://dx.doi.org/10.1111/j.1365-2427.2007.01844.x</v>
      </c>
      <c r="BG177" t="s">
        <v>74</v>
      </c>
      <c r="BH177" t="s">
        <v>74</v>
      </c>
      <c r="BI177" t="s">
        <v>74</v>
      </c>
      <c r="BJ177" t="s">
        <v>74</v>
      </c>
      <c r="BK177" t="s">
        <v>74</v>
      </c>
      <c r="BL177" t="s">
        <v>74</v>
      </c>
      <c r="BM177" t="s">
        <v>74</v>
      </c>
      <c r="BN177" t="s">
        <v>74</v>
      </c>
      <c r="BO177" t="s">
        <v>74</v>
      </c>
      <c r="BP177" t="s">
        <v>74</v>
      </c>
      <c r="BQ177" t="s">
        <v>74</v>
      </c>
      <c r="BR177" t="s">
        <v>74</v>
      </c>
      <c r="BS177" t="s">
        <v>5485</v>
      </c>
      <c r="BT177" t="str">
        <f>HYPERLINK("https%3A%2F%2Fwww.webofscience.com%2Fwos%2Fwoscc%2Ffull-record%2FWOS:000250145600007","View Full Record in Web of Science")</f>
        <v>View Full Record in Web of Science</v>
      </c>
    </row>
    <row r="178" spans="1:72" x14ac:dyDescent="0.2">
      <c r="A178" t="s">
        <v>72</v>
      </c>
      <c r="B178" t="s">
        <v>5495</v>
      </c>
      <c r="C178" t="s">
        <v>74</v>
      </c>
      <c r="D178" t="s">
        <v>74</v>
      </c>
      <c r="E178" t="s">
        <v>74</v>
      </c>
      <c r="F178" t="s">
        <v>5496</v>
      </c>
      <c r="G178" t="s">
        <v>74</v>
      </c>
      <c r="H178" t="s">
        <v>74</v>
      </c>
      <c r="I178" t="s">
        <v>5497</v>
      </c>
      <c r="J178" t="s">
        <v>5498</v>
      </c>
      <c r="K178" t="s">
        <v>74</v>
      </c>
      <c r="L178" t="s">
        <v>74</v>
      </c>
      <c r="M178" t="s">
        <v>74</v>
      </c>
      <c r="N178" t="s">
        <v>74</v>
      </c>
      <c r="O178" t="s">
        <v>74</v>
      </c>
      <c r="P178" t="s">
        <v>74</v>
      </c>
      <c r="Q178" t="s">
        <v>74</v>
      </c>
      <c r="R178" t="s">
        <v>74</v>
      </c>
      <c r="S178" t="s">
        <v>74</v>
      </c>
      <c r="T178" t="s">
        <v>74</v>
      </c>
      <c r="U178" t="s">
        <v>74</v>
      </c>
      <c r="V178" t="s">
        <v>74</v>
      </c>
      <c r="W178" t="s">
        <v>74</v>
      </c>
      <c r="X178" t="s">
        <v>74</v>
      </c>
      <c r="Y178" t="s">
        <v>74</v>
      </c>
      <c r="Z178" t="s">
        <v>74</v>
      </c>
      <c r="AA178" t="s">
        <v>74</v>
      </c>
      <c r="AB178" t="s">
        <v>5499</v>
      </c>
      <c r="AC178" t="s">
        <v>74</v>
      </c>
      <c r="AD178" t="s">
        <v>74</v>
      </c>
      <c r="AE178" t="s">
        <v>74</v>
      </c>
      <c r="AF178" t="s">
        <v>74</v>
      </c>
      <c r="AG178" t="s">
        <v>74</v>
      </c>
      <c r="AH178" t="s">
        <v>74</v>
      </c>
      <c r="AI178" t="s">
        <v>74</v>
      </c>
      <c r="AJ178" t="s">
        <v>74</v>
      </c>
      <c r="AK178" t="s">
        <v>74</v>
      </c>
      <c r="AL178" t="s">
        <v>74</v>
      </c>
      <c r="AM178" t="s">
        <v>74</v>
      </c>
      <c r="AN178" t="s">
        <v>74</v>
      </c>
      <c r="AO178" t="s">
        <v>5500</v>
      </c>
      <c r="AP178" t="s">
        <v>5501</v>
      </c>
      <c r="AQ178" t="s">
        <v>74</v>
      </c>
      <c r="AR178" t="s">
        <v>74</v>
      </c>
      <c r="AS178" t="s">
        <v>74</v>
      </c>
      <c r="AT178" t="s">
        <v>451</v>
      </c>
      <c r="AU178">
        <v>2007</v>
      </c>
      <c r="AV178">
        <v>38</v>
      </c>
      <c r="AW178">
        <v>3</v>
      </c>
      <c r="AX178" t="s">
        <v>74</v>
      </c>
      <c r="AY178" t="s">
        <v>74</v>
      </c>
      <c r="AZ178" t="s">
        <v>74</v>
      </c>
      <c r="BA178" t="s">
        <v>74</v>
      </c>
      <c r="BB178">
        <v>367</v>
      </c>
      <c r="BC178">
        <v>382</v>
      </c>
      <c r="BD178" t="s">
        <v>74</v>
      </c>
      <c r="BE178" t="s">
        <v>5502</v>
      </c>
      <c r="BF178" t="str">
        <f>HYPERLINK("http://dx.doi.org/10.1111/j.1749-7345.2007.00109.x","http://dx.doi.org/10.1111/j.1749-7345.2007.00109.x")</f>
        <v>http://dx.doi.org/10.1111/j.1749-7345.2007.00109.x</v>
      </c>
      <c r="BG178" t="s">
        <v>74</v>
      </c>
      <c r="BH178" t="s">
        <v>74</v>
      </c>
      <c r="BI178" t="s">
        <v>74</v>
      </c>
      <c r="BJ178" t="s">
        <v>74</v>
      </c>
      <c r="BK178" t="s">
        <v>74</v>
      </c>
      <c r="BL178" t="s">
        <v>74</v>
      </c>
      <c r="BM178" t="s">
        <v>74</v>
      </c>
      <c r="BN178" t="s">
        <v>74</v>
      </c>
      <c r="BO178" t="s">
        <v>74</v>
      </c>
      <c r="BP178" t="s">
        <v>74</v>
      </c>
      <c r="BQ178" t="s">
        <v>74</v>
      </c>
      <c r="BR178" t="s">
        <v>74</v>
      </c>
      <c r="BS178" t="s">
        <v>5503</v>
      </c>
      <c r="BT178" t="str">
        <f>HYPERLINK("https%3A%2F%2Fwww.webofscience.com%2Fwos%2Fwoscc%2Ffull-record%2FWOS:000249184100003","View Full Record in Web of Science")</f>
        <v>View Full Record in Web of Science</v>
      </c>
    </row>
    <row r="179" spans="1:72" x14ac:dyDescent="0.2">
      <c r="A179" t="s">
        <v>72</v>
      </c>
      <c r="B179" t="s">
        <v>5510</v>
      </c>
      <c r="C179" t="s">
        <v>74</v>
      </c>
      <c r="D179" t="s">
        <v>74</v>
      </c>
      <c r="E179" t="s">
        <v>74</v>
      </c>
      <c r="F179" t="s">
        <v>5511</v>
      </c>
      <c r="G179" t="s">
        <v>74</v>
      </c>
      <c r="H179" t="s">
        <v>74</v>
      </c>
      <c r="I179" t="s">
        <v>5512</v>
      </c>
      <c r="J179" t="s">
        <v>973</v>
      </c>
      <c r="K179" t="s">
        <v>74</v>
      </c>
      <c r="L179" t="s">
        <v>74</v>
      </c>
      <c r="M179" t="s">
        <v>74</v>
      </c>
      <c r="N179" t="s">
        <v>74</v>
      </c>
      <c r="O179" t="s">
        <v>74</v>
      </c>
      <c r="P179" t="s">
        <v>74</v>
      </c>
      <c r="Q179" t="s">
        <v>74</v>
      </c>
      <c r="R179" t="s">
        <v>74</v>
      </c>
      <c r="S179" t="s">
        <v>74</v>
      </c>
      <c r="T179" t="s">
        <v>74</v>
      </c>
      <c r="U179" t="s">
        <v>74</v>
      </c>
      <c r="V179" t="s">
        <v>74</v>
      </c>
      <c r="W179" t="s">
        <v>74</v>
      </c>
      <c r="X179" t="s">
        <v>74</v>
      </c>
      <c r="Y179" t="s">
        <v>74</v>
      </c>
      <c r="Z179" t="s">
        <v>74</v>
      </c>
      <c r="AA179" t="s">
        <v>5513</v>
      </c>
      <c r="AB179" t="s">
        <v>5514</v>
      </c>
      <c r="AC179" t="s">
        <v>74</v>
      </c>
      <c r="AD179" t="s">
        <v>74</v>
      </c>
      <c r="AE179" t="s">
        <v>74</v>
      </c>
      <c r="AF179" t="s">
        <v>74</v>
      </c>
      <c r="AG179" t="s">
        <v>74</v>
      </c>
      <c r="AH179" t="s">
        <v>74</v>
      </c>
      <c r="AI179" t="s">
        <v>74</v>
      </c>
      <c r="AJ179" t="s">
        <v>74</v>
      </c>
      <c r="AK179" t="s">
        <v>74</v>
      </c>
      <c r="AL179" t="s">
        <v>74</v>
      </c>
      <c r="AM179" t="s">
        <v>74</v>
      </c>
      <c r="AN179" t="s">
        <v>74</v>
      </c>
      <c r="AO179" t="s">
        <v>974</v>
      </c>
      <c r="AP179" t="s">
        <v>74</v>
      </c>
      <c r="AQ179" t="s">
        <v>74</v>
      </c>
      <c r="AR179" t="s">
        <v>74</v>
      </c>
      <c r="AS179" t="s">
        <v>74</v>
      </c>
      <c r="AT179" t="s">
        <v>520</v>
      </c>
      <c r="AU179">
        <v>2007</v>
      </c>
      <c r="AV179">
        <v>74</v>
      </c>
      <c r="AW179" t="s">
        <v>5289</v>
      </c>
      <c r="AX179" t="s">
        <v>74</v>
      </c>
      <c r="AY179" t="s">
        <v>74</v>
      </c>
      <c r="AZ179" t="s">
        <v>74</v>
      </c>
      <c r="BA179" t="s">
        <v>74</v>
      </c>
      <c r="BB179">
        <v>31</v>
      </c>
      <c r="BC179">
        <v>43</v>
      </c>
      <c r="BD179" t="s">
        <v>74</v>
      </c>
      <c r="BE179" t="s">
        <v>5515</v>
      </c>
      <c r="BF179" t="str">
        <f>HYPERLINK("http://dx.doi.org/10.1016/j.ecss.2007.03.021","http://dx.doi.org/10.1016/j.ecss.2007.03.021")</f>
        <v>http://dx.doi.org/10.1016/j.ecss.2007.03.021</v>
      </c>
      <c r="BG179" t="s">
        <v>74</v>
      </c>
      <c r="BH179" t="s">
        <v>74</v>
      </c>
      <c r="BI179" t="s">
        <v>74</v>
      </c>
      <c r="BJ179" t="s">
        <v>74</v>
      </c>
      <c r="BK179" t="s">
        <v>74</v>
      </c>
      <c r="BL179" t="s">
        <v>74</v>
      </c>
      <c r="BM179" t="s">
        <v>74</v>
      </c>
      <c r="BN179" t="s">
        <v>74</v>
      </c>
      <c r="BO179" t="s">
        <v>74</v>
      </c>
      <c r="BP179" t="s">
        <v>74</v>
      </c>
      <c r="BQ179" t="s">
        <v>74</v>
      </c>
      <c r="BR179" t="s">
        <v>74</v>
      </c>
      <c r="BS179" t="s">
        <v>5516</v>
      </c>
      <c r="BT179" t="str">
        <f>HYPERLINK("https%3A%2F%2Fwww.webofscience.com%2Fwos%2Fwoscc%2Ffull-record%2FWOS:000247907900004","View Full Record in Web of Science")</f>
        <v>View Full Record in Web of Science</v>
      </c>
    </row>
    <row r="180" spans="1:72" x14ac:dyDescent="0.2">
      <c r="A180" t="s">
        <v>72</v>
      </c>
      <c r="B180" t="s">
        <v>5588</v>
      </c>
      <c r="C180" t="s">
        <v>74</v>
      </c>
      <c r="D180" t="s">
        <v>74</v>
      </c>
      <c r="E180" t="s">
        <v>74</v>
      </c>
      <c r="F180" t="s">
        <v>5589</v>
      </c>
      <c r="G180" t="s">
        <v>74</v>
      </c>
      <c r="H180" t="s">
        <v>74</v>
      </c>
      <c r="I180" t="s">
        <v>5590</v>
      </c>
      <c r="J180" t="s">
        <v>124</v>
      </c>
      <c r="K180" t="s">
        <v>74</v>
      </c>
      <c r="L180" t="s">
        <v>74</v>
      </c>
      <c r="M180" t="s">
        <v>74</v>
      </c>
      <c r="N180" t="s">
        <v>74</v>
      </c>
      <c r="O180" t="s">
        <v>74</v>
      </c>
      <c r="P180" t="s">
        <v>74</v>
      </c>
      <c r="Q180" t="s">
        <v>74</v>
      </c>
      <c r="R180" t="s">
        <v>74</v>
      </c>
      <c r="S180" t="s">
        <v>74</v>
      </c>
      <c r="T180" t="s">
        <v>74</v>
      </c>
      <c r="U180" t="s">
        <v>74</v>
      </c>
      <c r="V180" t="s">
        <v>74</v>
      </c>
      <c r="W180" t="s">
        <v>74</v>
      </c>
      <c r="X180" t="s">
        <v>74</v>
      </c>
      <c r="Y180" t="s">
        <v>74</v>
      </c>
      <c r="Z180" t="s">
        <v>74</v>
      </c>
      <c r="AA180" t="s">
        <v>5591</v>
      </c>
      <c r="AB180" t="s">
        <v>5592</v>
      </c>
      <c r="AC180" t="s">
        <v>74</v>
      </c>
      <c r="AD180" t="s">
        <v>74</v>
      </c>
      <c r="AE180" t="s">
        <v>74</v>
      </c>
      <c r="AF180" t="s">
        <v>74</v>
      </c>
      <c r="AG180" t="s">
        <v>74</v>
      </c>
      <c r="AH180" t="s">
        <v>74</v>
      </c>
      <c r="AI180" t="s">
        <v>74</v>
      </c>
      <c r="AJ180" t="s">
        <v>74</v>
      </c>
      <c r="AK180" t="s">
        <v>74</v>
      </c>
      <c r="AL180" t="s">
        <v>74</v>
      </c>
      <c r="AM180" t="s">
        <v>74</v>
      </c>
      <c r="AN180" t="s">
        <v>74</v>
      </c>
      <c r="AO180" t="s">
        <v>127</v>
      </c>
      <c r="AP180" t="s">
        <v>74</v>
      </c>
      <c r="AQ180" t="s">
        <v>74</v>
      </c>
      <c r="AR180" t="s">
        <v>74</v>
      </c>
      <c r="AS180" t="s">
        <v>74</v>
      </c>
      <c r="AT180" t="s">
        <v>157</v>
      </c>
      <c r="AU180">
        <v>2007</v>
      </c>
      <c r="AV180">
        <v>579</v>
      </c>
      <c r="AW180" t="s">
        <v>74</v>
      </c>
      <c r="AX180" t="s">
        <v>74</v>
      </c>
      <c r="AY180" t="s">
        <v>74</v>
      </c>
      <c r="AZ180" t="s">
        <v>74</v>
      </c>
      <c r="BA180" t="s">
        <v>74</v>
      </c>
      <c r="BB180">
        <v>135</v>
      </c>
      <c r="BC180">
        <v>145</v>
      </c>
      <c r="BD180" t="s">
        <v>74</v>
      </c>
      <c r="BE180" t="s">
        <v>5593</v>
      </c>
      <c r="BF180" t="str">
        <f>HYPERLINK("http://dx.doi.org/10.1007/s10750-006-0397-4","http://dx.doi.org/10.1007/s10750-006-0397-4")</f>
        <v>http://dx.doi.org/10.1007/s10750-006-0397-4</v>
      </c>
      <c r="BG180" t="s">
        <v>74</v>
      </c>
      <c r="BH180" t="s">
        <v>74</v>
      </c>
      <c r="BI180" t="s">
        <v>74</v>
      </c>
      <c r="BJ180" t="s">
        <v>74</v>
      </c>
      <c r="BK180" t="s">
        <v>74</v>
      </c>
      <c r="BL180" t="s">
        <v>74</v>
      </c>
      <c r="BM180" t="s">
        <v>74</v>
      </c>
      <c r="BN180" t="s">
        <v>74</v>
      </c>
      <c r="BO180" t="s">
        <v>74</v>
      </c>
      <c r="BP180" t="s">
        <v>74</v>
      </c>
      <c r="BQ180" t="s">
        <v>74</v>
      </c>
      <c r="BR180" t="s">
        <v>74</v>
      </c>
      <c r="BS180" t="s">
        <v>5594</v>
      </c>
      <c r="BT180" t="str">
        <f>HYPERLINK("https%3A%2F%2Fwww.webofscience.com%2Fwos%2Fwoscc%2Ffull-record%2FWOS:000244187200011","View Full Record in Web of Science")</f>
        <v>View Full Record in Web of Science</v>
      </c>
    </row>
    <row r="181" spans="1:72" x14ac:dyDescent="0.2">
      <c r="A181" t="s">
        <v>72</v>
      </c>
      <c r="B181" t="s">
        <v>5595</v>
      </c>
      <c r="C181" t="s">
        <v>74</v>
      </c>
      <c r="D181" t="s">
        <v>74</v>
      </c>
      <c r="E181" t="s">
        <v>74</v>
      </c>
      <c r="F181" t="s">
        <v>5596</v>
      </c>
      <c r="G181" t="s">
        <v>74</v>
      </c>
      <c r="H181" t="s">
        <v>74</v>
      </c>
      <c r="I181" t="s">
        <v>5597</v>
      </c>
      <c r="J181" t="s">
        <v>423</v>
      </c>
      <c r="K181" t="s">
        <v>74</v>
      </c>
      <c r="L181" t="s">
        <v>74</v>
      </c>
      <c r="M181" t="s">
        <v>74</v>
      </c>
      <c r="N181" t="s">
        <v>74</v>
      </c>
      <c r="O181" t="s">
        <v>74</v>
      </c>
      <c r="P181" t="s">
        <v>74</v>
      </c>
      <c r="Q181" t="s">
        <v>74</v>
      </c>
      <c r="R181" t="s">
        <v>74</v>
      </c>
      <c r="S181" t="s">
        <v>74</v>
      </c>
      <c r="T181" t="s">
        <v>74</v>
      </c>
      <c r="U181" t="s">
        <v>74</v>
      </c>
      <c r="V181" t="s">
        <v>74</v>
      </c>
      <c r="W181" t="s">
        <v>74</v>
      </c>
      <c r="X181" t="s">
        <v>74</v>
      </c>
      <c r="Y181" t="s">
        <v>74</v>
      </c>
      <c r="Z181" t="s">
        <v>74</v>
      </c>
      <c r="AA181" t="s">
        <v>7163</v>
      </c>
      <c r="AB181" t="s">
        <v>7164</v>
      </c>
      <c r="AC181" t="s">
        <v>74</v>
      </c>
      <c r="AD181" t="s">
        <v>74</v>
      </c>
      <c r="AE181" t="s">
        <v>74</v>
      </c>
      <c r="AF181" t="s">
        <v>74</v>
      </c>
      <c r="AG181" t="s">
        <v>74</v>
      </c>
      <c r="AH181" t="s">
        <v>74</v>
      </c>
      <c r="AI181" t="s">
        <v>74</v>
      </c>
      <c r="AJ181" t="s">
        <v>74</v>
      </c>
      <c r="AK181" t="s">
        <v>74</v>
      </c>
      <c r="AL181" t="s">
        <v>74</v>
      </c>
      <c r="AM181" t="s">
        <v>74</v>
      </c>
      <c r="AN181" t="s">
        <v>74</v>
      </c>
      <c r="AO181" t="s">
        <v>425</v>
      </c>
      <c r="AP181" t="s">
        <v>74</v>
      </c>
      <c r="AQ181" t="s">
        <v>74</v>
      </c>
      <c r="AR181" t="s">
        <v>74</v>
      </c>
      <c r="AS181" t="s">
        <v>74</v>
      </c>
      <c r="AT181" t="s">
        <v>157</v>
      </c>
      <c r="AU181">
        <v>2007</v>
      </c>
      <c r="AV181">
        <v>52</v>
      </c>
      <c r="AW181">
        <v>3</v>
      </c>
      <c r="AX181" t="s">
        <v>74</v>
      </c>
      <c r="AY181" t="s">
        <v>74</v>
      </c>
      <c r="AZ181" t="s">
        <v>74</v>
      </c>
      <c r="BA181" t="s">
        <v>74</v>
      </c>
      <c r="BB181">
        <v>421</v>
      </c>
      <c r="BC181">
        <v>433</v>
      </c>
      <c r="BD181" t="s">
        <v>74</v>
      </c>
      <c r="BE181" t="s">
        <v>5598</v>
      </c>
      <c r="BF181" t="str">
        <f>HYPERLINK("http://dx.doi.org/10.1111/j.1365-2427.2006.01717.x","http://dx.doi.org/10.1111/j.1365-2427.2006.01717.x")</f>
        <v>http://dx.doi.org/10.1111/j.1365-2427.2006.01717.x</v>
      </c>
      <c r="BG181" t="s">
        <v>74</v>
      </c>
      <c r="BH181" t="s">
        <v>74</v>
      </c>
      <c r="BI181" t="s">
        <v>74</v>
      </c>
      <c r="BJ181" t="s">
        <v>74</v>
      </c>
      <c r="BK181" t="s">
        <v>74</v>
      </c>
      <c r="BL181" t="s">
        <v>74</v>
      </c>
      <c r="BM181" t="s">
        <v>74</v>
      </c>
      <c r="BN181" t="s">
        <v>74</v>
      </c>
      <c r="BO181" t="s">
        <v>74</v>
      </c>
      <c r="BP181" t="s">
        <v>74</v>
      </c>
      <c r="BQ181" t="s">
        <v>74</v>
      </c>
      <c r="BR181" t="s">
        <v>74</v>
      </c>
      <c r="BS181" t="s">
        <v>5599</v>
      </c>
      <c r="BT181" t="str">
        <f>HYPERLINK("https%3A%2F%2Fwww.webofscience.com%2Fwos%2Fwoscc%2Ffull-record%2FWOS:000244111400003","View Full Record in Web of Science")</f>
        <v>View Full Record in Web of Science</v>
      </c>
    </row>
    <row r="182" spans="1:72" x14ac:dyDescent="0.2">
      <c r="A182" t="s">
        <v>72</v>
      </c>
      <c r="B182" t="s">
        <v>5688</v>
      </c>
      <c r="C182" t="s">
        <v>74</v>
      </c>
      <c r="D182" t="s">
        <v>74</v>
      </c>
      <c r="E182" t="s">
        <v>74</v>
      </c>
      <c r="F182" t="s">
        <v>5689</v>
      </c>
      <c r="G182" t="s">
        <v>74</v>
      </c>
      <c r="H182" t="s">
        <v>74</v>
      </c>
      <c r="I182" t="s">
        <v>5690</v>
      </c>
      <c r="J182" t="s">
        <v>5691</v>
      </c>
      <c r="K182" t="s">
        <v>74</v>
      </c>
      <c r="L182" t="s">
        <v>74</v>
      </c>
      <c r="M182" t="s">
        <v>74</v>
      </c>
      <c r="N182" t="s">
        <v>74</v>
      </c>
      <c r="O182" t="s">
        <v>74</v>
      </c>
      <c r="P182" t="s">
        <v>74</v>
      </c>
      <c r="Q182" t="s">
        <v>74</v>
      </c>
      <c r="R182" t="s">
        <v>74</v>
      </c>
      <c r="S182" t="s">
        <v>74</v>
      </c>
      <c r="T182" t="s">
        <v>74</v>
      </c>
      <c r="U182" t="s">
        <v>74</v>
      </c>
      <c r="V182" t="s">
        <v>74</v>
      </c>
      <c r="W182" t="s">
        <v>74</v>
      </c>
      <c r="X182" t="s">
        <v>74</v>
      </c>
      <c r="Y182" t="s">
        <v>74</v>
      </c>
      <c r="Z182" t="s">
        <v>74</v>
      </c>
      <c r="AA182" t="s">
        <v>4508</v>
      </c>
      <c r="AB182" t="s">
        <v>4509</v>
      </c>
      <c r="AC182" t="s">
        <v>74</v>
      </c>
      <c r="AD182" t="s">
        <v>74</v>
      </c>
      <c r="AE182" t="s">
        <v>74</v>
      </c>
      <c r="AF182" t="s">
        <v>74</v>
      </c>
      <c r="AG182" t="s">
        <v>74</v>
      </c>
      <c r="AH182" t="s">
        <v>74</v>
      </c>
      <c r="AI182" t="s">
        <v>74</v>
      </c>
      <c r="AJ182" t="s">
        <v>74</v>
      </c>
      <c r="AK182" t="s">
        <v>74</v>
      </c>
      <c r="AL182" t="s">
        <v>74</v>
      </c>
      <c r="AM182" t="s">
        <v>74</v>
      </c>
      <c r="AN182" t="s">
        <v>74</v>
      </c>
      <c r="AO182" t="s">
        <v>5692</v>
      </c>
      <c r="AP182" t="s">
        <v>74</v>
      </c>
      <c r="AQ182" t="s">
        <v>74</v>
      </c>
      <c r="AR182" t="s">
        <v>74</v>
      </c>
      <c r="AS182" t="s">
        <v>74</v>
      </c>
      <c r="AT182" t="s">
        <v>406</v>
      </c>
      <c r="AU182">
        <v>2006</v>
      </c>
      <c r="AV182">
        <v>34</v>
      </c>
      <c r="AW182">
        <v>5</v>
      </c>
      <c r="AX182" t="s">
        <v>74</v>
      </c>
      <c r="AY182" t="s">
        <v>74</v>
      </c>
      <c r="AZ182" t="s">
        <v>74</v>
      </c>
      <c r="BA182" t="s">
        <v>74</v>
      </c>
      <c r="BB182">
        <v>474</v>
      </c>
      <c r="BC182">
        <v>479</v>
      </c>
      <c r="BD182" t="s">
        <v>74</v>
      </c>
      <c r="BE182" t="s">
        <v>5693</v>
      </c>
      <c r="BF182" t="str">
        <f>HYPERLINK("http://dx.doi.org/10.1002/aheh.200600642","http://dx.doi.org/10.1002/aheh.200600642")</f>
        <v>http://dx.doi.org/10.1002/aheh.200600642</v>
      </c>
      <c r="BG182" t="s">
        <v>74</v>
      </c>
      <c r="BH182" t="s">
        <v>74</v>
      </c>
      <c r="BI182" t="s">
        <v>74</v>
      </c>
      <c r="BJ182" t="s">
        <v>74</v>
      </c>
      <c r="BK182" t="s">
        <v>74</v>
      </c>
      <c r="BL182" t="s">
        <v>74</v>
      </c>
      <c r="BM182" t="s">
        <v>74</v>
      </c>
      <c r="BN182" t="s">
        <v>74</v>
      </c>
      <c r="BO182" t="s">
        <v>74</v>
      </c>
      <c r="BP182" t="s">
        <v>74</v>
      </c>
      <c r="BQ182" t="s">
        <v>74</v>
      </c>
      <c r="BR182" t="s">
        <v>74</v>
      </c>
      <c r="BS182" t="s">
        <v>5694</v>
      </c>
      <c r="BT182" t="str">
        <f>HYPERLINK("https%3A%2F%2Fwww.webofscience.com%2Fwos%2Fwoscc%2Ffull-record%2FWOS:000241779200007","View Full Record in Web of Science")</f>
        <v>View Full Record in Web of Science</v>
      </c>
    </row>
    <row r="183" spans="1:72" x14ac:dyDescent="0.2">
      <c r="A183" t="s">
        <v>72</v>
      </c>
      <c r="B183" t="s">
        <v>5695</v>
      </c>
      <c r="C183" t="s">
        <v>74</v>
      </c>
      <c r="D183" t="s">
        <v>74</v>
      </c>
      <c r="E183" t="s">
        <v>74</v>
      </c>
      <c r="F183" t="s">
        <v>5696</v>
      </c>
      <c r="G183" t="s">
        <v>74</v>
      </c>
      <c r="H183" t="s">
        <v>74</v>
      </c>
      <c r="I183" t="s">
        <v>5697</v>
      </c>
      <c r="J183" t="s">
        <v>124</v>
      </c>
      <c r="K183" t="s">
        <v>74</v>
      </c>
      <c r="L183" t="s">
        <v>74</v>
      </c>
      <c r="M183" t="s">
        <v>74</v>
      </c>
      <c r="N183" t="s">
        <v>74</v>
      </c>
      <c r="O183" t="s">
        <v>74</v>
      </c>
      <c r="P183" t="s">
        <v>74</v>
      </c>
      <c r="Q183" t="s">
        <v>74</v>
      </c>
      <c r="R183" t="s">
        <v>74</v>
      </c>
      <c r="S183" t="s">
        <v>74</v>
      </c>
      <c r="T183" t="s">
        <v>74</v>
      </c>
      <c r="U183" t="s">
        <v>74</v>
      </c>
      <c r="V183" t="s">
        <v>74</v>
      </c>
      <c r="W183" t="s">
        <v>74</v>
      </c>
      <c r="X183" t="s">
        <v>74</v>
      </c>
      <c r="Y183" t="s">
        <v>74</v>
      </c>
      <c r="Z183" t="s">
        <v>74</v>
      </c>
      <c r="AA183" t="s">
        <v>5698</v>
      </c>
      <c r="AB183" t="s">
        <v>5699</v>
      </c>
      <c r="AC183" t="s">
        <v>74</v>
      </c>
      <c r="AD183" t="s">
        <v>74</v>
      </c>
      <c r="AE183" t="s">
        <v>74</v>
      </c>
      <c r="AF183" t="s">
        <v>74</v>
      </c>
      <c r="AG183" t="s">
        <v>74</v>
      </c>
      <c r="AH183" t="s">
        <v>74</v>
      </c>
      <c r="AI183" t="s">
        <v>74</v>
      </c>
      <c r="AJ183" t="s">
        <v>74</v>
      </c>
      <c r="AK183" t="s">
        <v>74</v>
      </c>
      <c r="AL183" t="s">
        <v>74</v>
      </c>
      <c r="AM183" t="s">
        <v>74</v>
      </c>
      <c r="AN183" t="s">
        <v>74</v>
      </c>
      <c r="AO183" t="s">
        <v>127</v>
      </c>
      <c r="AP183" t="s">
        <v>74</v>
      </c>
      <c r="AQ183" t="s">
        <v>74</v>
      </c>
      <c r="AR183" t="s">
        <v>74</v>
      </c>
      <c r="AS183" t="s">
        <v>74</v>
      </c>
      <c r="AT183" t="s">
        <v>406</v>
      </c>
      <c r="AU183">
        <v>2006</v>
      </c>
      <c r="AV183">
        <v>569</v>
      </c>
      <c r="AW183" t="s">
        <v>74</v>
      </c>
      <c r="AX183" t="s">
        <v>74</v>
      </c>
      <c r="AY183" t="s">
        <v>74</v>
      </c>
      <c r="AZ183" t="s">
        <v>74</v>
      </c>
      <c r="BA183" t="s">
        <v>74</v>
      </c>
      <c r="BB183">
        <v>209</v>
      </c>
      <c r="BC183">
        <v>221</v>
      </c>
      <c r="BD183" t="s">
        <v>74</v>
      </c>
      <c r="BE183" t="s">
        <v>5700</v>
      </c>
      <c r="BF183" t="str">
        <f>HYPERLINK("http://dx.doi.org/10.1007/s10750-006-0133-0","http://dx.doi.org/10.1007/s10750-006-0133-0")</f>
        <v>http://dx.doi.org/10.1007/s10750-006-0133-0</v>
      </c>
      <c r="BG183" t="s">
        <v>74</v>
      </c>
      <c r="BH183" t="s">
        <v>74</v>
      </c>
      <c r="BI183" t="s">
        <v>74</v>
      </c>
      <c r="BJ183" t="s">
        <v>74</v>
      </c>
      <c r="BK183" t="s">
        <v>74</v>
      </c>
      <c r="BL183" t="s">
        <v>74</v>
      </c>
      <c r="BM183" t="s">
        <v>74</v>
      </c>
      <c r="BN183" t="s">
        <v>74</v>
      </c>
      <c r="BO183" t="s">
        <v>74</v>
      </c>
      <c r="BP183" t="s">
        <v>74</v>
      </c>
      <c r="BQ183" t="s">
        <v>74</v>
      </c>
      <c r="BR183" t="s">
        <v>74</v>
      </c>
      <c r="BS183" t="s">
        <v>5701</v>
      </c>
      <c r="BT183" t="str">
        <f>HYPERLINK("https%3A%2F%2Fwww.webofscience.com%2Fwos%2Fwoscc%2Ffull-record%2FWOS:000240576200016","View Full Record in Web of Science")</f>
        <v>View Full Record in Web of Science</v>
      </c>
    </row>
    <row r="184" spans="1:72" x14ac:dyDescent="0.2">
      <c r="A184" t="s">
        <v>72</v>
      </c>
      <c r="B184" t="s">
        <v>5702</v>
      </c>
      <c r="C184" t="s">
        <v>74</v>
      </c>
      <c r="D184" t="s">
        <v>74</v>
      </c>
      <c r="E184" t="s">
        <v>74</v>
      </c>
      <c r="F184" t="s">
        <v>5703</v>
      </c>
      <c r="G184" t="s">
        <v>74</v>
      </c>
      <c r="H184" t="s">
        <v>74</v>
      </c>
      <c r="I184" t="s">
        <v>5704</v>
      </c>
      <c r="J184" t="s">
        <v>5705</v>
      </c>
      <c r="K184" t="s">
        <v>74</v>
      </c>
      <c r="L184" t="s">
        <v>74</v>
      </c>
      <c r="M184" t="s">
        <v>74</v>
      </c>
      <c r="N184" t="s">
        <v>74</v>
      </c>
      <c r="O184" t="s">
        <v>74</v>
      </c>
      <c r="P184" t="s">
        <v>74</v>
      </c>
      <c r="Q184" t="s">
        <v>74</v>
      </c>
      <c r="R184" t="s">
        <v>74</v>
      </c>
      <c r="S184" t="s">
        <v>74</v>
      </c>
      <c r="T184" t="s">
        <v>74</v>
      </c>
      <c r="U184" t="s">
        <v>74</v>
      </c>
      <c r="V184" t="s">
        <v>74</v>
      </c>
      <c r="W184" t="s">
        <v>74</v>
      </c>
      <c r="X184" t="s">
        <v>74</v>
      </c>
      <c r="Y184" t="s">
        <v>74</v>
      </c>
      <c r="Z184" t="s">
        <v>74</v>
      </c>
      <c r="AA184" t="s">
        <v>7167</v>
      </c>
      <c r="AB184" t="s">
        <v>7168</v>
      </c>
      <c r="AC184" t="s">
        <v>74</v>
      </c>
      <c r="AD184" t="s">
        <v>74</v>
      </c>
      <c r="AE184" t="s">
        <v>74</v>
      </c>
      <c r="AF184" t="s">
        <v>74</v>
      </c>
      <c r="AG184" t="s">
        <v>74</v>
      </c>
      <c r="AH184" t="s">
        <v>74</v>
      </c>
      <c r="AI184" t="s">
        <v>74</v>
      </c>
      <c r="AJ184" t="s">
        <v>74</v>
      </c>
      <c r="AK184" t="s">
        <v>74</v>
      </c>
      <c r="AL184" t="s">
        <v>74</v>
      </c>
      <c r="AM184" t="s">
        <v>74</v>
      </c>
      <c r="AN184" t="s">
        <v>74</v>
      </c>
      <c r="AO184" t="s">
        <v>5706</v>
      </c>
      <c r="AP184" t="s">
        <v>74</v>
      </c>
      <c r="AQ184" t="s">
        <v>74</v>
      </c>
      <c r="AR184" t="s">
        <v>74</v>
      </c>
      <c r="AS184" t="s">
        <v>74</v>
      </c>
      <c r="AT184" t="s">
        <v>451</v>
      </c>
      <c r="AU184">
        <v>2006</v>
      </c>
      <c r="AV184">
        <v>25</v>
      </c>
      <c r="AW184">
        <v>3</v>
      </c>
      <c r="AX184" t="s">
        <v>74</v>
      </c>
      <c r="AY184" t="s">
        <v>74</v>
      </c>
      <c r="AZ184" t="s">
        <v>74</v>
      </c>
      <c r="BA184" t="s">
        <v>74</v>
      </c>
      <c r="BB184">
        <v>616</v>
      </c>
      <c r="BC184">
        <v>631</v>
      </c>
      <c r="BD184" t="s">
        <v>74</v>
      </c>
      <c r="BE184" t="s">
        <v>5707</v>
      </c>
      <c r="BF184" t="str">
        <f>HYPERLINK("http://dx.doi.org/10.1899/0887-3593(2006)25[616:PRTNAI]2.0.CO;2","http://dx.doi.org/10.1899/0887-3593(2006)25[616:PRTNAI]2.0.CO;2")</f>
        <v>http://dx.doi.org/10.1899/0887-3593(2006)25[616:PRTNAI]2.0.CO;2</v>
      </c>
      <c r="BG184" t="s">
        <v>74</v>
      </c>
      <c r="BH184" t="s">
        <v>74</v>
      </c>
      <c r="BI184" t="s">
        <v>74</v>
      </c>
      <c r="BJ184" t="s">
        <v>74</v>
      </c>
      <c r="BK184" t="s">
        <v>74</v>
      </c>
      <c r="BL184" t="s">
        <v>74</v>
      </c>
      <c r="BM184" t="s">
        <v>74</v>
      </c>
      <c r="BN184" t="s">
        <v>74</v>
      </c>
      <c r="BO184" t="s">
        <v>74</v>
      </c>
      <c r="BP184" t="s">
        <v>74</v>
      </c>
      <c r="BQ184" t="s">
        <v>74</v>
      </c>
      <c r="BR184" t="s">
        <v>74</v>
      </c>
      <c r="BS184" t="s">
        <v>5708</v>
      </c>
      <c r="BT184" t="str">
        <f>HYPERLINK("https%3A%2F%2Fwww.webofscience.com%2Fwos%2Fwoscc%2Ffull-record%2FWOS:000239769000008","View Full Record in Web of Science")</f>
        <v>View Full Record in Web of Science</v>
      </c>
    </row>
    <row r="185" spans="1:72" x14ac:dyDescent="0.2">
      <c r="A185" t="s">
        <v>72</v>
      </c>
      <c r="B185" t="s">
        <v>5818</v>
      </c>
      <c r="C185" t="s">
        <v>74</v>
      </c>
      <c r="D185" t="s">
        <v>74</v>
      </c>
      <c r="E185" t="s">
        <v>74</v>
      </c>
      <c r="F185" t="s">
        <v>5818</v>
      </c>
      <c r="G185" t="s">
        <v>74</v>
      </c>
      <c r="H185" t="s">
        <v>74</v>
      </c>
      <c r="I185" t="s">
        <v>5819</v>
      </c>
      <c r="J185" t="s">
        <v>973</v>
      </c>
      <c r="K185" t="s">
        <v>74</v>
      </c>
      <c r="L185" t="s">
        <v>74</v>
      </c>
      <c r="M185" t="s">
        <v>74</v>
      </c>
      <c r="N185" t="s">
        <v>74</v>
      </c>
      <c r="O185" t="s">
        <v>74</v>
      </c>
      <c r="P185" t="s">
        <v>74</v>
      </c>
      <c r="Q185" t="s">
        <v>74</v>
      </c>
      <c r="R185" t="s">
        <v>74</v>
      </c>
      <c r="S185" t="s">
        <v>74</v>
      </c>
      <c r="T185" t="s">
        <v>74</v>
      </c>
      <c r="U185" t="s">
        <v>74</v>
      </c>
      <c r="V185" t="s">
        <v>74</v>
      </c>
      <c r="W185" t="s">
        <v>74</v>
      </c>
      <c r="X185" t="s">
        <v>74</v>
      </c>
      <c r="Y185" t="s">
        <v>74</v>
      </c>
      <c r="Z185" t="s">
        <v>74</v>
      </c>
      <c r="AA185" t="s">
        <v>7170</v>
      </c>
      <c r="AB185" t="s">
        <v>4705</v>
      </c>
      <c r="AC185" t="s">
        <v>74</v>
      </c>
      <c r="AD185" t="s">
        <v>74</v>
      </c>
      <c r="AE185" t="s">
        <v>74</v>
      </c>
      <c r="AF185" t="s">
        <v>74</v>
      </c>
      <c r="AG185" t="s">
        <v>74</v>
      </c>
      <c r="AH185" t="s">
        <v>74</v>
      </c>
      <c r="AI185" t="s">
        <v>74</v>
      </c>
      <c r="AJ185" t="s">
        <v>74</v>
      </c>
      <c r="AK185" t="s">
        <v>74</v>
      </c>
      <c r="AL185" t="s">
        <v>74</v>
      </c>
      <c r="AM185" t="s">
        <v>74</v>
      </c>
      <c r="AN185" t="s">
        <v>74</v>
      </c>
      <c r="AO185" t="s">
        <v>974</v>
      </c>
      <c r="AP185" t="s">
        <v>74</v>
      </c>
      <c r="AQ185" t="s">
        <v>74</v>
      </c>
      <c r="AR185" t="s">
        <v>74</v>
      </c>
      <c r="AS185" t="s">
        <v>74</v>
      </c>
      <c r="AT185" t="s">
        <v>520</v>
      </c>
      <c r="AU185">
        <v>2005</v>
      </c>
      <c r="AV185">
        <v>64</v>
      </c>
      <c r="AW185" t="s">
        <v>5820</v>
      </c>
      <c r="AX185" t="s">
        <v>74</v>
      </c>
      <c r="AY185" t="s">
        <v>74</v>
      </c>
      <c r="AZ185" t="s">
        <v>74</v>
      </c>
      <c r="BA185" t="s">
        <v>74</v>
      </c>
      <c r="BB185">
        <v>249</v>
      </c>
      <c r="BC185">
        <v>260</v>
      </c>
      <c r="BD185" t="s">
        <v>74</v>
      </c>
      <c r="BE185" t="s">
        <v>5821</v>
      </c>
      <c r="BF185" t="str">
        <f>HYPERLINK("http://dx.doi.org/10.1016/j.ecss.2005.02.017","http://dx.doi.org/10.1016/j.ecss.2005.02.017")</f>
        <v>http://dx.doi.org/10.1016/j.ecss.2005.02.017</v>
      </c>
      <c r="BG185" t="s">
        <v>74</v>
      </c>
      <c r="BH185" t="s">
        <v>74</v>
      </c>
      <c r="BI185" t="s">
        <v>74</v>
      </c>
      <c r="BJ185" t="s">
        <v>74</v>
      </c>
      <c r="BK185" t="s">
        <v>74</v>
      </c>
      <c r="BL185" t="s">
        <v>74</v>
      </c>
      <c r="BM185" t="s">
        <v>74</v>
      </c>
      <c r="BN185" t="s">
        <v>74</v>
      </c>
      <c r="BO185" t="s">
        <v>74</v>
      </c>
      <c r="BP185" t="s">
        <v>74</v>
      </c>
      <c r="BQ185" t="s">
        <v>74</v>
      </c>
      <c r="BR185" t="s">
        <v>74</v>
      </c>
      <c r="BS185" t="s">
        <v>5822</v>
      </c>
      <c r="BT185" t="str">
        <f>HYPERLINK("https%3A%2F%2Fwww.webofscience.com%2Fwos%2Fwoscc%2Ffull-record%2FWOS:000230873200011","View Full Record in Web of Science")</f>
        <v>View Full Record in Web of Science</v>
      </c>
    </row>
    <row r="186" spans="1:72" x14ac:dyDescent="0.2">
      <c r="A186" t="s">
        <v>72</v>
      </c>
      <c r="B186" t="s">
        <v>5846</v>
      </c>
      <c r="C186" t="s">
        <v>74</v>
      </c>
      <c r="D186" t="s">
        <v>74</v>
      </c>
      <c r="E186" t="s">
        <v>74</v>
      </c>
      <c r="F186" t="s">
        <v>5846</v>
      </c>
      <c r="G186" t="s">
        <v>74</v>
      </c>
      <c r="H186" t="s">
        <v>74</v>
      </c>
      <c r="I186" t="s">
        <v>5847</v>
      </c>
      <c r="J186" t="s">
        <v>844</v>
      </c>
      <c r="K186" t="s">
        <v>74</v>
      </c>
      <c r="L186" t="s">
        <v>74</v>
      </c>
      <c r="M186" t="s">
        <v>74</v>
      </c>
      <c r="N186" t="s">
        <v>74</v>
      </c>
      <c r="O186" t="s">
        <v>74</v>
      </c>
      <c r="P186" t="s">
        <v>74</v>
      </c>
      <c r="Q186" t="s">
        <v>74</v>
      </c>
      <c r="R186" t="s">
        <v>74</v>
      </c>
      <c r="S186" t="s">
        <v>74</v>
      </c>
      <c r="T186" t="s">
        <v>74</v>
      </c>
      <c r="U186" t="s">
        <v>74</v>
      </c>
      <c r="V186" t="s">
        <v>74</v>
      </c>
      <c r="W186" t="s">
        <v>74</v>
      </c>
      <c r="X186" t="s">
        <v>74</v>
      </c>
      <c r="Y186" t="s">
        <v>74</v>
      </c>
      <c r="Z186" t="s">
        <v>74</v>
      </c>
      <c r="AA186" t="s">
        <v>74</v>
      </c>
      <c r="AB186" t="s">
        <v>5848</v>
      </c>
      <c r="AC186" t="s">
        <v>74</v>
      </c>
      <c r="AD186" t="s">
        <v>74</v>
      </c>
      <c r="AE186" t="s">
        <v>74</v>
      </c>
      <c r="AF186" t="s">
        <v>74</v>
      </c>
      <c r="AG186" t="s">
        <v>74</v>
      </c>
      <c r="AH186" t="s">
        <v>74</v>
      </c>
      <c r="AI186" t="s">
        <v>74</v>
      </c>
      <c r="AJ186" t="s">
        <v>74</v>
      </c>
      <c r="AK186" t="s">
        <v>74</v>
      </c>
      <c r="AL186" t="s">
        <v>74</v>
      </c>
      <c r="AM186" t="s">
        <v>74</v>
      </c>
      <c r="AN186" t="s">
        <v>74</v>
      </c>
      <c r="AO186" t="s">
        <v>847</v>
      </c>
      <c r="AP186" t="s">
        <v>848</v>
      </c>
      <c r="AQ186" t="s">
        <v>74</v>
      </c>
      <c r="AR186" t="s">
        <v>74</v>
      </c>
      <c r="AS186" t="s">
        <v>74</v>
      </c>
      <c r="AT186" t="s">
        <v>575</v>
      </c>
      <c r="AU186">
        <v>2005</v>
      </c>
      <c r="AV186">
        <v>24</v>
      </c>
      <c r="AW186">
        <v>5</v>
      </c>
      <c r="AX186" t="s">
        <v>74</v>
      </c>
      <c r="AY186" t="s">
        <v>74</v>
      </c>
      <c r="AZ186" t="s">
        <v>74</v>
      </c>
      <c r="BA186" t="s">
        <v>74</v>
      </c>
      <c r="BB186">
        <v>1116</v>
      </c>
      <c r="BC186">
        <v>1124</v>
      </c>
      <c r="BD186" t="s">
        <v>74</v>
      </c>
      <c r="BE186" t="s">
        <v>5849</v>
      </c>
      <c r="BF186" t="str">
        <f>HYPERLINK("http://dx.doi.org/10.1897/04-228R.1","http://dx.doi.org/10.1897/04-228R.1")</f>
        <v>http://dx.doi.org/10.1897/04-228R.1</v>
      </c>
      <c r="BG186" t="s">
        <v>74</v>
      </c>
      <c r="BH186" t="s">
        <v>74</v>
      </c>
      <c r="BI186" t="s">
        <v>74</v>
      </c>
      <c r="BJ186" t="s">
        <v>74</v>
      </c>
      <c r="BK186" t="s">
        <v>74</v>
      </c>
      <c r="BL186" t="s">
        <v>74</v>
      </c>
      <c r="BM186" t="s">
        <v>74</v>
      </c>
      <c r="BN186">
        <v>16110989</v>
      </c>
      <c r="BO186" t="s">
        <v>74</v>
      </c>
      <c r="BP186" t="s">
        <v>74</v>
      </c>
      <c r="BQ186" t="s">
        <v>74</v>
      </c>
      <c r="BR186" t="s">
        <v>74</v>
      </c>
      <c r="BS186" t="s">
        <v>5850</v>
      </c>
      <c r="BT186" t="str">
        <f>HYPERLINK("https%3A%2F%2Fwww.webofscience.com%2Fwos%2Fwoscc%2Ffull-record%2FWOS:000228627100014","View Full Record in Web of Science")</f>
        <v>View Full Record in Web of Science</v>
      </c>
    </row>
    <row r="187" spans="1:72" x14ac:dyDescent="0.2">
      <c r="A187" t="s">
        <v>72</v>
      </c>
      <c r="B187" t="s">
        <v>5855</v>
      </c>
      <c r="C187" t="s">
        <v>74</v>
      </c>
      <c r="D187" t="s">
        <v>74</v>
      </c>
      <c r="E187" t="s">
        <v>74</v>
      </c>
      <c r="F187" t="s">
        <v>5855</v>
      </c>
      <c r="G187" t="s">
        <v>74</v>
      </c>
      <c r="H187" t="s">
        <v>74</v>
      </c>
      <c r="I187" t="s">
        <v>5856</v>
      </c>
      <c r="J187" t="s">
        <v>1299</v>
      </c>
      <c r="K187" t="s">
        <v>74</v>
      </c>
      <c r="L187" t="s">
        <v>74</v>
      </c>
      <c r="M187" t="s">
        <v>74</v>
      </c>
      <c r="N187" t="s">
        <v>74</v>
      </c>
      <c r="O187" t="s">
        <v>74</v>
      </c>
      <c r="P187" t="s">
        <v>74</v>
      </c>
      <c r="Q187" t="s">
        <v>74</v>
      </c>
      <c r="R187" t="s">
        <v>74</v>
      </c>
      <c r="S187" t="s">
        <v>74</v>
      </c>
      <c r="T187" t="s">
        <v>74</v>
      </c>
      <c r="U187" t="s">
        <v>74</v>
      </c>
      <c r="V187" t="s">
        <v>74</v>
      </c>
      <c r="W187" t="s">
        <v>74</v>
      </c>
      <c r="X187" t="s">
        <v>74</v>
      </c>
      <c r="Y187" t="s">
        <v>74</v>
      </c>
      <c r="Z187" t="s">
        <v>74</v>
      </c>
      <c r="AA187" t="s">
        <v>7172</v>
      </c>
      <c r="AB187" t="s">
        <v>7173</v>
      </c>
      <c r="AC187" t="s">
        <v>74</v>
      </c>
      <c r="AD187" t="s">
        <v>74</v>
      </c>
      <c r="AE187" t="s">
        <v>74</v>
      </c>
      <c r="AF187" t="s">
        <v>74</v>
      </c>
      <c r="AG187" t="s">
        <v>74</v>
      </c>
      <c r="AH187" t="s">
        <v>74</v>
      </c>
      <c r="AI187" t="s">
        <v>74</v>
      </c>
      <c r="AJ187" t="s">
        <v>74</v>
      </c>
      <c r="AK187" t="s">
        <v>74</v>
      </c>
      <c r="AL187" t="s">
        <v>74</v>
      </c>
      <c r="AM187" t="s">
        <v>74</v>
      </c>
      <c r="AN187" t="s">
        <v>74</v>
      </c>
      <c r="AO187" t="s">
        <v>1302</v>
      </c>
      <c r="AP187" t="s">
        <v>1303</v>
      </c>
      <c r="AQ187" t="s">
        <v>74</v>
      </c>
      <c r="AR187" t="s">
        <v>74</v>
      </c>
      <c r="AS187" t="s">
        <v>74</v>
      </c>
      <c r="AT187" t="s">
        <v>575</v>
      </c>
      <c r="AU187">
        <v>2005</v>
      </c>
      <c r="AV187">
        <v>143</v>
      </c>
      <c r="AW187">
        <v>4</v>
      </c>
      <c r="AX187" t="s">
        <v>74</v>
      </c>
      <c r="AY187" t="s">
        <v>74</v>
      </c>
      <c r="AZ187" t="s">
        <v>74</v>
      </c>
      <c r="BA187" t="s">
        <v>74</v>
      </c>
      <c r="BB187">
        <v>537</v>
      </c>
      <c r="BC187">
        <v>547</v>
      </c>
      <c r="BD187" t="s">
        <v>74</v>
      </c>
      <c r="BE187" t="s">
        <v>5857</v>
      </c>
      <c r="BF187" t="str">
        <f>HYPERLINK("http://dx.doi.org/10.1007/s00442-005-0003-x","http://dx.doi.org/10.1007/s00442-005-0003-x")</f>
        <v>http://dx.doi.org/10.1007/s00442-005-0003-x</v>
      </c>
      <c r="BG187" t="s">
        <v>74</v>
      </c>
      <c r="BH187" t="s">
        <v>74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>
        <v>15791427</v>
      </c>
      <c r="BO187" t="s">
        <v>74</v>
      </c>
      <c r="BP187" t="s">
        <v>74</v>
      </c>
      <c r="BQ187" t="s">
        <v>74</v>
      </c>
      <c r="BR187" t="s">
        <v>74</v>
      </c>
      <c r="BS187" t="s">
        <v>5858</v>
      </c>
      <c r="BT187" t="str">
        <f>HYPERLINK("https%3A%2F%2Fwww.webofscience.com%2Fwos%2Fwoscc%2Ffull-record%2FWOS:000229781100006","View Full Record in Web of Science")</f>
        <v>View Full Record in Web of Science</v>
      </c>
    </row>
    <row r="188" spans="1:72" x14ac:dyDescent="0.2">
      <c r="A188" t="s">
        <v>72</v>
      </c>
      <c r="B188" t="s">
        <v>5859</v>
      </c>
      <c r="C188" t="s">
        <v>74</v>
      </c>
      <c r="D188" t="s">
        <v>74</v>
      </c>
      <c r="E188" t="s">
        <v>74</v>
      </c>
      <c r="F188" t="s">
        <v>5859</v>
      </c>
      <c r="G188" t="s">
        <v>74</v>
      </c>
      <c r="H188" t="s">
        <v>74</v>
      </c>
      <c r="I188" t="s">
        <v>5860</v>
      </c>
      <c r="J188" t="s">
        <v>1716</v>
      </c>
      <c r="K188" t="s">
        <v>74</v>
      </c>
      <c r="L188" t="s">
        <v>74</v>
      </c>
      <c r="M188" t="s">
        <v>74</v>
      </c>
      <c r="N188" t="s">
        <v>74</v>
      </c>
      <c r="O188" t="s">
        <v>74</v>
      </c>
      <c r="P188" t="s">
        <v>74</v>
      </c>
      <c r="Q188" t="s">
        <v>74</v>
      </c>
      <c r="R188" t="s">
        <v>74</v>
      </c>
      <c r="S188" t="s">
        <v>74</v>
      </c>
      <c r="T188" t="s">
        <v>74</v>
      </c>
      <c r="U188" t="s">
        <v>74</v>
      </c>
      <c r="V188" t="s">
        <v>74</v>
      </c>
      <c r="W188" t="s">
        <v>74</v>
      </c>
      <c r="X188" t="s">
        <v>74</v>
      </c>
      <c r="Y188" t="s">
        <v>74</v>
      </c>
      <c r="Z188" t="s">
        <v>74</v>
      </c>
      <c r="AA188" t="s">
        <v>5861</v>
      </c>
      <c r="AB188" t="s">
        <v>5862</v>
      </c>
      <c r="AC188" t="s">
        <v>74</v>
      </c>
      <c r="AD188" t="s">
        <v>74</v>
      </c>
      <c r="AE188" t="s">
        <v>74</v>
      </c>
      <c r="AF188" t="s">
        <v>74</v>
      </c>
      <c r="AG188" t="s">
        <v>74</v>
      </c>
      <c r="AH188" t="s">
        <v>74</v>
      </c>
      <c r="AI188" t="s">
        <v>74</v>
      </c>
      <c r="AJ188" t="s">
        <v>74</v>
      </c>
      <c r="AK188" t="s">
        <v>74</v>
      </c>
      <c r="AL188" t="s">
        <v>74</v>
      </c>
      <c r="AM188" t="s">
        <v>74</v>
      </c>
      <c r="AN188" t="s">
        <v>74</v>
      </c>
      <c r="AO188" t="s">
        <v>1717</v>
      </c>
      <c r="AP188" t="s">
        <v>1718</v>
      </c>
      <c r="AQ188" t="s">
        <v>74</v>
      </c>
      <c r="AR188" t="s">
        <v>74</v>
      </c>
      <c r="AS188" t="s">
        <v>74</v>
      </c>
      <c r="AT188" t="s">
        <v>203</v>
      </c>
      <c r="AU188">
        <v>2005</v>
      </c>
      <c r="AV188">
        <v>41</v>
      </c>
      <c r="AW188">
        <v>2</v>
      </c>
      <c r="AX188" t="s">
        <v>74</v>
      </c>
      <c r="AY188" t="s">
        <v>74</v>
      </c>
      <c r="AZ188" t="s">
        <v>74</v>
      </c>
      <c r="BA188" t="s">
        <v>74</v>
      </c>
      <c r="BB188">
        <v>439</v>
      </c>
      <c r="BC188">
        <v>446</v>
      </c>
      <c r="BD188" t="s">
        <v>74</v>
      </c>
      <c r="BE188" t="s">
        <v>5863</v>
      </c>
      <c r="BF188" t="str">
        <f>HYPERLINK("http://dx.doi.org/10.1111/j.1529-8817.2005.04162.x","http://dx.doi.org/10.1111/j.1529-8817.2005.04162.x")</f>
        <v>http://dx.doi.org/10.1111/j.1529-8817.2005.04162.x</v>
      </c>
      <c r="BG188" t="s">
        <v>74</v>
      </c>
      <c r="BH188" t="s">
        <v>74</v>
      </c>
      <c r="BI188" t="s">
        <v>74</v>
      </c>
      <c r="BJ188" t="s">
        <v>74</v>
      </c>
      <c r="BK188" t="s">
        <v>74</v>
      </c>
      <c r="BL188" t="s">
        <v>74</v>
      </c>
      <c r="BM188" t="s">
        <v>74</v>
      </c>
      <c r="BN188" t="s">
        <v>74</v>
      </c>
      <c r="BO188" t="s">
        <v>74</v>
      </c>
      <c r="BP188" t="s">
        <v>74</v>
      </c>
      <c r="BQ188" t="s">
        <v>74</v>
      </c>
      <c r="BR188" t="s">
        <v>74</v>
      </c>
      <c r="BS188" t="s">
        <v>5864</v>
      </c>
      <c r="BT188" t="str">
        <f>HYPERLINK("https%3A%2F%2Fwww.webofscience.com%2Fwos%2Fwoscc%2Ffull-record%2FWOS:000227859400021","View Full Record in Web of Science")</f>
        <v>View Full Record in Web of Science</v>
      </c>
    </row>
    <row r="189" spans="1:72" x14ac:dyDescent="0.2">
      <c r="A189" t="s">
        <v>72</v>
      </c>
      <c r="B189" t="s">
        <v>5890</v>
      </c>
      <c r="C189" t="s">
        <v>74</v>
      </c>
      <c r="D189" t="s">
        <v>74</v>
      </c>
      <c r="E189" t="s">
        <v>74</v>
      </c>
      <c r="F189" t="s">
        <v>5890</v>
      </c>
      <c r="G189" t="s">
        <v>74</v>
      </c>
      <c r="H189" t="s">
        <v>74</v>
      </c>
      <c r="I189" t="s">
        <v>5891</v>
      </c>
      <c r="J189" t="s">
        <v>124</v>
      </c>
      <c r="K189" t="s">
        <v>74</v>
      </c>
      <c r="L189" t="s">
        <v>74</v>
      </c>
      <c r="M189" t="s">
        <v>74</v>
      </c>
      <c r="N189" t="s">
        <v>74</v>
      </c>
      <c r="O189" t="s">
        <v>5892</v>
      </c>
      <c r="P189" t="s">
        <v>5893</v>
      </c>
      <c r="Q189" t="s">
        <v>5894</v>
      </c>
      <c r="R189" t="s">
        <v>74</v>
      </c>
      <c r="S189" t="s">
        <v>5895</v>
      </c>
      <c r="T189" t="s">
        <v>74</v>
      </c>
      <c r="U189" t="s">
        <v>74</v>
      </c>
      <c r="V189" t="s">
        <v>74</v>
      </c>
      <c r="W189" t="s">
        <v>74</v>
      </c>
      <c r="X189" t="s">
        <v>74</v>
      </c>
      <c r="Y189" t="s">
        <v>74</v>
      </c>
      <c r="Z189" t="s">
        <v>74</v>
      </c>
      <c r="AA189" t="s">
        <v>74</v>
      </c>
      <c r="AB189" t="s">
        <v>74</v>
      </c>
      <c r="AC189" t="s">
        <v>74</v>
      </c>
      <c r="AD189" t="s">
        <v>74</v>
      </c>
      <c r="AE189" t="s">
        <v>74</v>
      </c>
      <c r="AF189" t="s">
        <v>74</v>
      </c>
      <c r="AG189" t="s">
        <v>74</v>
      </c>
      <c r="AH189" t="s">
        <v>74</v>
      </c>
      <c r="AI189" t="s">
        <v>74</v>
      </c>
      <c r="AJ189" t="s">
        <v>74</v>
      </c>
      <c r="AK189" t="s">
        <v>74</v>
      </c>
      <c r="AL189" t="s">
        <v>74</v>
      </c>
      <c r="AM189" t="s">
        <v>74</v>
      </c>
      <c r="AN189" t="s">
        <v>74</v>
      </c>
      <c r="AO189" t="s">
        <v>127</v>
      </c>
      <c r="AP189" t="s">
        <v>128</v>
      </c>
      <c r="AQ189" t="s">
        <v>74</v>
      </c>
      <c r="AR189" t="s">
        <v>74</v>
      </c>
      <c r="AS189" t="s">
        <v>74</v>
      </c>
      <c r="AT189" t="s">
        <v>1015</v>
      </c>
      <c r="AU189">
        <v>2004</v>
      </c>
      <c r="AV189">
        <v>530</v>
      </c>
      <c r="AW189" t="s">
        <v>74</v>
      </c>
      <c r="AX189" t="s">
        <v>74</v>
      </c>
      <c r="AY189" t="s">
        <v>74</v>
      </c>
      <c r="AZ189" t="s">
        <v>632</v>
      </c>
      <c r="BA189" t="s">
        <v>74</v>
      </c>
      <c r="BB189">
        <v>521</v>
      </c>
      <c r="BC189">
        <v>528</v>
      </c>
      <c r="BD189" t="s">
        <v>74</v>
      </c>
      <c r="BE189" t="s">
        <v>5896</v>
      </c>
      <c r="BF189" t="str">
        <f>HYPERLINK("http://dx.doi.org/10.1007/s10750-004-2648-6","http://dx.doi.org/10.1007/s10750-004-2648-6")</f>
        <v>http://dx.doi.org/10.1007/s10750-004-2648-6</v>
      </c>
      <c r="BG189" t="s">
        <v>74</v>
      </c>
      <c r="BH189" t="s">
        <v>74</v>
      </c>
      <c r="BI189" t="s">
        <v>74</v>
      </c>
      <c r="BJ189" t="s">
        <v>74</v>
      </c>
      <c r="BK189" t="s">
        <v>74</v>
      </c>
      <c r="BL189" t="s">
        <v>74</v>
      </c>
      <c r="BM189" t="s">
        <v>74</v>
      </c>
      <c r="BN189" t="s">
        <v>74</v>
      </c>
      <c r="BO189" t="s">
        <v>74</v>
      </c>
      <c r="BP189" t="s">
        <v>74</v>
      </c>
      <c r="BQ189" t="s">
        <v>74</v>
      </c>
      <c r="BR189" t="s">
        <v>74</v>
      </c>
      <c r="BS189" t="s">
        <v>5897</v>
      </c>
      <c r="BT189" t="str">
        <f>HYPERLINK("https%3A%2F%2Fwww.webofscience.com%2Fwos%2Fwoscc%2Ffull-record%2FWOS:000226416700060","View Full Record in Web of Science")</f>
        <v>View Full Record in Web of Science</v>
      </c>
    </row>
    <row r="190" spans="1:72" x14ac:dyDescent="0.2">
      <c r="A190" t="s">
        <v>72</v>
      </c>
      <c r="B190" t="s">
        <v>5924</v>
      </c>
      <c r="C190" t="s">
        <v>74</v>
      </c>
      <c r="D190" t="s">
        <v>74</v>
      </c>
      <c r="E190" t="s">
        <v>74</v>
      </c>
      <c r="F190" t="s">
        <v>5924</v>
      </c>
      <c r="G190" t="s">
        <v>74</v>
      </c>
      <c r="H190" t="s">
        <v>74</v>
      </c>
      <c r="I190" t="s">
        <v>5925</v>
      </c>
      <c r="J190" t="s">
        <v>1299</v>
      </c>
      <c r="K190" t="s">
        <v>74</v>
      </c>
      <c r="L190" t="s">
        <v>74</v>
      </c>
      <c r="M190" t="s">
        <v>74</v>
      </c>
      <c r="N190" t="s">
        <v>74</v>
      </c>
      <c r="O190" t="s">
        <v>74</v>
      </c>
      <c r="P190" t="s">
        <v>74</v>
      </c>
      <c r="Q190" t="s">
        <v>74</v>
      </c>
      <c r="R190" t="s">
        <v>74</v>
      </c>
      <c r="S190" t="s">
        <v>74</v>
      </c>
      <c r="T190" t="s">
        <v>74</v>
      </c>
      <c r="U190" t="s">
        <v>74</v>
      </c>
      <c r="V190" t="s">
        <v>74</v>
      </c>
      <c r="W190" t="s">
        <v>74</v>
      </c>
      <c r="X190" t="s">
        <v>74</v>
      </c>
      <c r="Y190" t="s">
        <v>74</v>
      </c>
      <c r="Z190" t="s">
        <v>74</v>
      </c>
      <c r="AA190" t="s">
        <v>74</v>
      </c>
      <c r="AB190" t="s">
        <v>5926</v>
      </c>
      <c r="AC190" t="s">
        <v>74</v>
      </c>
      <c r="AD190" t="s">
        <v>74</v>
      </c>
      <c r="AE190" t="s">
        <v>74</v>
      </c>
      <c r="AF190" t="s">
        <v>74</v>
      </c>
      <c r="AG190" t="s">
        <v>74</v>
      </c>
      <c r="AH190" t="s">
        <v>74</v>
      </c>
      <c r="AI190" t="s">
        <v>74</v>
      </c>
      <c r="AJ190" t="s">
        <v>74</v>
      </c>
      <c r="AK190" t="s">
        <v>74</v>
      </c>
      <c r="AL190" t="s">
        <v>74</v>
      </c>
      <c r="AM190" t="s">
        <v>74</v>
      </c>
      <c r="AN190" t="s">
        <v>74</v>
      </c>
      <c r="AO190" t="s">
        <v>1302</v>
      </c>
      <c r="AP190" t="s">
        <v>1303</v>
      </c>
      <c r="AQ190" t="s">
        <v>74</v>
      </c>
      <c r="AR190" t="s">
        <v>74</v>
      </c>
      <c r="AS190" t="s">
        <v>74</v>
      </c>
      <c r="AT190" t="s">
        <v>569</v>
      </c>
      <c r="AU190">
        <v>2004</v>
      </c>
      <c r="AV190">
        <v>140</v>
      </c>
      <c r="AW190">
        <v>1</v>
      </c>
      <c r="AX190" t="s">
        <v>74</v>
      </c>
      <c r="AY190" t="s">
        <v>74</v>
      </c>
      <c r="AZ190" t="s">
        <v>74</v>
      </c>
      <c r="BA190" t="s">
        <v>74</v>
      </c>
      <c r="BB190">
        <v>150</v>
      </c>
      <c r="BC190">
        <v>159</v>
      </c>
      <c r="BD190" t="s">
        <v>74</v>
      </c>
      <c r="BE190" t="s">
        <v>5927</v>
      </c>
      <c r="BF190" t="str">
        <f>HYPERLINK("http://dx.doi.org/10.1007/s00442-004-1548-9","http://dx.doi.org/10.1007/s00442-004-1548-9")</f>
        <v>http://dx.doi.org/10.1007/s00442-004-1548-9</v>
      </c>
      <c r="BG190" t="s">
        <v>74</v>
      </c>
      <c r="BH190" t="s">
        <v>74</v>
      </c>
      <c r="BI190" t="s">
        <v>74</v>
      </c>
      <c r="BJ190" t="s">
        <v>74</v>
      </c>
      <c r="BK190" t="s">
        <v>74</v>
      </c>
      <c r="BL190" t="s">
        <v>74</v>
      </c>
      <c r="BM190" t="s">
        <v>74</v>
      </c>
      <c r="BN190">
        <v>15064944</v>
      </c>
      <c r="BO190" t="s">
        <v>74</v>
      </c>
      <c r="BP190" t="s">
        <v>74</v>
      </c>
      <c r="BQ190" t="s">
        <v>74</v>
      </c>
      <c r="BR190" t="s">
        <v>74</v>
      </c>
      <c r="BS190" t="s">
        <v>5928</v>
      </c>
      <c r="BT190" t="str">
        <f>HYPERLINK("https%3A%2F%2Fwww.webofscience.com%2Fwos%2Fwoscc%2Ffull-record%2FWOS:000221850300017","View Full Record in Web of Science")</f>
        <v>View Full Record in Web of Science</v>
      </c>
    </row>
    <row r="191" spans="1:72" x14ac:dyDescent="0.2">
      <c r="A191" t="s">
        <v>72</v>
      </c>
      <c r="B191" t="s">
        <v>5969</v>
      </c>
      <c r="C191" t="s">
        <v>74</v>
      </c>
      <c r="D191" t="s">
        <v>74</v>
      </c>
      <c r="E191" t="s">
        <v>74</v>
      </c>
      <c r="F191" t="s">
        <v>5969</v>
      </c>
      <c r="G191" t="s">
        <v>74</v>
      </c>
      <c r="H191" t="s">
        <v>74</v>
      </c>
      <c r="I191" t="s">
        <v>5970</v>
      </c>
      <c r="J191" t="s">
        <v>423</v>
      </c>
      <c r="K191" t="s">
        <v>74</v>
      </c>
      <c r="L191" t="s">
        <v>74</v>
      </c>
      <c r="M191" t="s">
        <v>74</v>
      </c>
      <c r="N191" t="s">
        <v>74</v>
      </c>
      <c r="O191" t="s">
        <v>74</v>
      </c>
      <c r="P191" t="s">
        <v>74</v>
      </c>
      <c r="Q191" t="s">
        <v>74</v>
      </c>
      <c r="R191" t="s">
        <v>74</v>
      </c>
      <c r="S191" t="s">
        <v>74</v>
      </c>
      <c r="T191" t="s">
        <v>74</v>
      </c>
      <c r="U191" t="s">
        <v>74</v>
      </c>
      <c r="V191" t="s">
        <v>74</v>
      </c>
      <c r="W191" t="s">
        <v>74</v>
      </c>
      <c r="X191" t="s">
        <v>74</v>
      </c>
      <c r="Y191" t="s">
        <v>74</v>
      </c>
      <c r="Z191" t="s">
        <v>74</v>
      </c>
      <c r="AA191" t="s">
        <v>74</v>
      </c>
      <c r="AB191" t="s">
        <v>5971</v>
      </c>
      <c r="AC191" t="s">
        <v>74</v>
      </c>
      <c r="AD191" t="s">
        <v>74</v>
      </c>
      <c r="AE191" t="s">
        <v>74</v>
      </c>
      <c r="AF191" t="s">
        <v>74</v>
      </c>
      <c r="AG191" t="s">
        <v>74</v>
      </c>
      <c r="AH191" t="s">
        <v>74</v>
      </c>
      <c r="AI191" t="s">
        <v>74</v>
      </c>
      <c r="AJ191" t="s">
        <v>74</v>
      </c>
      <c r="AK191" t="s">
        <v>74</v>
      </c>
      <c r="AL191" t="s">
        <v>74</v>
      </c>
      <c r="AM191" t="s">
        <v>74</v>
      </c>
      <c r="AN191" t="s">
        <v>74</v>
      </c>
      <c r="AO191" t="s">
        <v>425</v>
      </c>
      <c r="AP191" t="s">
        <v>426</v>
      </c>
      <c r="AQ191" t="s">
        <v>74</v>
      </c>
      <c r="AR191" t="s">
        <v>74</v>
      </c>
      <c r="AS191" t="s">
        <v>74</v>
      </c>
      <c r="AT191" t="s">
        <v>315</v>
      </c>
      <c r="AU191">
        <v>2004</v>
      </c>
      <c r="AV191">
        <v>49</v>
      </c>
      <c r="AW191">
        <v>1</v>
      </c>
      <c r="AX191" t="s">
        <v>74</v>
      </c>
      <c r="AY191" t="s">
        <v>74</v>
      </c>
      <c r="AZ191" t="s">
        <v>74</v>
      </c>
      <c r="BA191" t="s">
        <v>74</v>
      </c>
      <c r="BB191">
        <v>87</v>
      </c>
      <c r="BC191">
        <v>97</v>
      </c>
      <c r="BD191" t="s">
        <v>74</v>
      </c>
      <c r="BE191" t="s">
        <v>5972</v>
      </c>
      <c r="BF191" t="str">
        <f>HYPERLINK("http://dx.doi.org/10.1046/j.1365-2426.2003.01171.x","http://dx.doi.org/10.1046/j.1365-2426.2003.01171.x")</f>
        <v>http://dx.doi.org/10.1046/j.1365-2426.2003.01171.x</v>
      </c>
      <c r="BG191" t="s">
        <v>74</v>
      </c>
      <c r="BH191" t="s">
        <v>74</v>
      </c>
      <c r="BI191" t="s">
        <v>74</v>
      </c>
      <c r="BJ191" t="s">
        <v>74</v>
      </c>
      <c r="BK191" t="s">
        <v>74</v>
      </c>
      <c r="BL191" t="s">
        <v>74</v>
      </c>
      <c r="BM191" t="s">
        <v>74</v>
      </c>
      <c r="BN191" t="s">
        <v>74</v>
      </c>
      <c r="BO191" t="s">
        <v>74</v>
      </c>
      <c r="BP191" t="s">
        <v>74</v>
      </c>
      <c r="BQ191" t="s">
        <v>74</v>
      </c>
      <c r="BR191" t="s">
        <v>74</v>
      </c>
      <c r="BS191" t="s">
        <v>5973</v>
      </c>
      <c r="BT191" t="str">
        <f>HYPERLINK("https%3A%2F%2Fwww.webofscience.com%2Fwos%2Fwoscc%2Ffull-record%2FWOS:000187405500008","View Full Record in Web of Science")</f>
        <v>View Full Record in Web of Science</v>
      </c>
    </row>
    <row r="192" spans="1:72" x14ac:dyDescent="0.2">
      <c r="A192" t="s">
        <v>72</v>
      </c>
      <c r="B192" t="s">
        <v>6006</v>
      </c>
      <c r="C192" t="s">
        <v>74</v>
      </c>
      <c r="D192" t="s">
        <v>74</v>
      </c>
      <c r="E192" t="s">
        <v>74</v>
      </c>
      <c r="F192" t="s">
        <v>6006</v>
      </c>
      <c r="G192" t="s">
        <v>74</v>
      </c>
      <c r="H192" t="s">
        <v>74</v>
      </c>
      <c r="I192" t="s">
        <v>6007</v>
      </c>
      <c r="J192" t="s">
        <v>124</v>
      </c>
      <c r="K192" t="s">
        <v>74</v>
      </c>
      <c r="L192" t="s">
        <v>74</v>
      </c>
      <c r="M192" t="s">
        <v>74</v>
      </c>
      <c r="N192" t="s">
        <v>74</v>
      </c>
      <c r="O192" t="s">
        <v>6008</v>
      </c>
      <c r="P192" t="s">
        <v>6009</v>
      </c>
      <c r="Q192" t="s">
        <v>6010</v>
      </c>
      <c r="R192" t="s">
        <v>6011</v>
      </c>
      <c r="S192" t="s">
        <v>74</v>
      </c>
      <c r="T192" t="s">
        <v>74</v>
      </c>
      <c r="U192" t="s">
        <v>74</v>
      </c>
      <c r="V192" t="s">
        <v>74</v>
      </c>
      <c r="W192" t="s">
        <v>74</v>
      </c>
      <c r="X192" t="s">
        <v>74</v>
      </c>
      <c r="Y192" t="s">
        <v>74</v>
      </c>
      <c r="Z192" t="s">
        <v>74</v>
      </c>
      <c r="AA192" t="s">
        <v>74</v>
      </c>
      <c r="AB192" t="s">
        <v>74</v>
      </c>
      <c r="AC192" t="s">
        <v>74</v>
      </c>
      <c r="AD192" t="s">
        <v>74</v>
      </c>
      <c r="AE192" t="s">
        <v>74</v>
      </c>
      <c r="AF192" t="s">
        <v>74</v>
      </c>
      <c r="AG192" t="s">
        <v>74</v>
      </c>
      <c r="AH192" t="s">
        <v>74</v>
      </c>
      <c r="AI192" t="s">
        <v>74</v>
      </c>
      <c r="AJ192" t="s">
        <v>74</v>
      </c>
      <c r="AK192" t="s">
        <v>74</v>
      </c>
      <c r="AL192" t="s">
        <v>74</v>
      </c>
      <c r="AM192" t="s">
        <v>74</v>
      </c>
      <c r="AN192" t="s">
        <v>74</v>
      </c>
      <c r="AO192" t="s">
        <v>127</v>
      </c>
      <c r="AP192" t="s">
        <v>128</v>
      </c>
      <c r="AQ192" t="s">
        <v>74</v>
      </c>
      <c r="AR192" t="s">
        <v>74</v>
      </c>
      <c r="AS192" t="s">
        <v>74</v>
      </c>
      <c r="AT192" t="s">
        <v>1015</v>
      </c>
      <c r="AU192">
        <v>2003</v>
      </c>
      <c r="AV192">
        <v>506</v>
      </c>
      <c r="AW192" t="s">
        <v>5469</v>
      </c>
      <c r="AX192" t="s">
        <v>74</v>
      </c>
      <c r="AY192" t="s">
        <v>74</v>
      </c>
      <c r="AZ192" t="s">
        <v>74</v>
      </c>
      <c r="BA192" t="s">
        <v>74</v>
      </c>
      <c r="BB192">
        <v>281</v>
      </c>
      <c r="BC192">
        <v>287</v>
      </c>
      <c r="BD192" t="s">
        <v>74</v>
      </c>
      <c r="BE192" t="s">
        <v>6012</v>
      </c>
      <c r="BF192" t="str">
        <f>HYPERLINK("http://dx.doi.org/10.1023/B:HYDR.0000008565.23626.aa","http://dx.doi.org/10.1023/B:HYDR.0000008565.23626.aa")</f>
        <v>http://dx.doi.org/10.1023/B:HYDR.0000008565.23626.aa</v>
      </c>
      <c r="BG192" t="s">
        <v>74</v>
      </c>
      <c r="BH192" t="s">
        <v>74</v>
      </c>
      <c r="BI192" t="s">
        <v>74</v>
      </c>
      <c r="BJ192" t="s">
        <v>74</v>
      </c>
      <c r="BK192" t="s">
        <v>74</v>
      </c>
      <c r="BL192" t="s">
        <v>74</v>
      </c>
      <c r="BM192" t="s">
        <v>74</v>
      </c>
      <c r="BN192" t="s">
        <v>74</v>
      </c>
      <c r="BO192" t="s">
        <v>74</v>
      </c>
      <c r="BP192" t="s">
        <v>74</v>
      </c>
      <c r="BQ192" t="s">
        <v>74</v>
      </c>
      <c r="BR192" t="s">
        <v>74</v>
      </c>
      <c r="BS192" t="s">
        <v>6013</v>
      </c>
      <c r="BT192" t="str">
        <f>HYPERLINK("https%3A%2F%2Fwww.webofscience.com%2Fwos%2Fwoscc%2Ffull-record%2FWOS:000188455600037","View Full Record in Web of Science")</f>
        <v>View Full Record in Web of Science</v>
      </c>
    </row>
    <row r="193" spans="1:72" x14ac:dyDescent="0.2">
      <c r="A193" t="s">
        <v>72</v>
      </c>
      <c r="B193" t="s">
        <v>6020</v>
      </c>
      <c r="C193" t="s">
        <v>74</v>
      </c>
      <c r="D193" t="s">
        <v>74</v>
      </c>
      <c r="E193" t="s">
        <v>74</v>
      </c>
      <c r="F193" t="s">
        <v>6020</v>
      </c>
      <c r="G193" t="s">
        <v>74</v>
      </c>
      <c r="H193" t="s">
        <v>74</v>
      </c>
      <c r="I193" t="s">
        <v>6021</v>
      </c>
      <c r="J193" t="s">
        <v>6022</v>
      </c>
      <c r="K193" t="s">
        <v>74</v>
      </c>
      <c r="L193" t="s">
        <v>74</v>
      </c>
      <c r="M193" t="s">
        <v>74</v>
      </c>
      <c r="N193" t="s">
        <v>74</v>
      </c>
      <c r="O193" t="s">
        <v>74</v>
      </c>
      <c r="P193" t="s">
        <v>74</v>
      </c>
      <c r="Q193" t="s">
        <v>74</v>
      </c>
      <c r="R193" t="s">
        <v>74</v>
      </c>
      <c r="S193" t="s">
        <v>74</v>
      </c>
      <c r="T193" t="s">
        <v>74</v>
      </c>
      <c r="U193" t="s">
        <v>74</v>
      </c>
      <c r="V193" t="s">
        <v>74</v>
      </c>
      <c r="W193" t="s">
        <v>74</v>
      </c>
      <c r="X193" t="s">
        <v>74</v>
      </c>
      <c r="Y193" t="s">
        <v>74</v>
      </c>
      <c r="Z193" t="s">
        <v>74</v>
      </c>
      <c r="AA193" t="s">
        <v>6023</v>
      </c>
      <c r="AB193" t="s">
        <v>6024</v>
      </c>
      <c r="AC193" t="s">
        <v>74</v>
      </c>
      <c r="AD193" t="s">
        <v>74</v>
      </c>
      <c r="AE193" t="s">
        <v>74</v>
      </c>
      <c r="AF193" t="s">
        <v>74</v>
      </c>
      <c r="AG193" t="s">
        <v>74</v>
      </c>
      <c r="AH193" t="s">
        <v>74</v>
      </c>
      <c r="AI193" t="s">
        <v>74</v>
      </c>
      <c r="AJ193" t="s">
        <v>74</v>
      </c>
      <c r="AK193" t="s">
        <v>74</v>
      </c>
      <c r="AL193" t="s">
        <v>74</v>
      </c>
      <c r="AM193" t="s">
        <v>74</v>
      </c>
      <c r="AN193" t="s">
        <v>74</v>
      </c>
      <c r="AO193" t="s">
        <v>6025</v>
      </c>
      <c r="AP193" t="s">
        <v>6026</v>
      </c>
      <c r="AQ193" t="s">
        <v>74</v>
      </c>
      <c r="AR193" t="s">
        <v>74</v>
      </c>
      <c r="AS193" t="s">
        <v>74</v>
      </c>
      <c r="AT193" t="s">
        <v>406</v>
      </c>
      <c r="AU193">
        <v>2003</v>
      </c>
      <c r="AV193">
        <v>40</v>
      </c>
      <c r="AW193">
        <v>5</v>
      </c>
      <c r="AX193" t="s">
        <v>74</v>
      </c>
      <c r="AY193" t="s">
        <v>74</v>
      </c>
      <c r="AZ193" t="s">
        <v>74</v>
      </c>
      <c r="BA193" t="s">
        <v>74</v>
      </c>
      <c r="BB193">
        <v>782</v>
      </c>
      <c r="BC193">
        <v>792</v>
      </c>
      <c r="BD193" t="s">
        <v>74</v>
      </c>
      <c r="BE193" t="s">
        <v>6027</v>
      </c>
      <c r="BF193" t="str">
        <f>HYPERLINK("http://dx.doi.org/10.1046/j.1365-2664.2003.00839.x","http://dx.doi.org/10.1046/j.1365-2664.2003.00839.x")</f>
        <v>http://dx.doi.org/10.1046/j.1365-2664.2003.00839.x</v>
      </c>
      <c r="BG193" t="s">
        <v>74</v>
      </c>
      <c r="BH193" t="s">
        <v>74</v>
      </c>
      <c r="BI193" t="s">
        <v>74</v>
      </c>
      <c r="BJ193" t="s">
        <v>74</v>
      </c>
      <c r="BK193" t="s">
        <v>74</v>
      </c>
      <c r="BL193" t="s">
        <v>74</v>
      </c>
      <c r="BM193" t="s">
        <v>74</v>
      </c>
      <c r="BN193" t="s">
        <v>74</v>
      </c>
      <c r="BO193" t="s">
        <v>74</v>
      </c>
      <c r="BP193" t="s">
        <v>74</v>
      </c>
      <c r="BQ193" t="s">
        <v>74</v>
      </c>
      <c r="BR193" t="s">
        <v>74</v>
      </c>
      <c r="BS193" t="s">
        <v>6028</v>
      </c>
      <c r="BT193" t="str">
        <f>HYPERLINK("https%3A%2F%2Fwww.webofscience.com%2Fwos%2Fwoscc%2Ffull-record%2FWOS:000185552400002","View Full Record in Web of Science")</f>
        <v>View Full Record in Web of Science</v>
      </c>
    </row>
    <row r="194" spans="1:72" x14ac:dyDescent="0.2">
      <c r="A194" t="s">
        <v>72</v>
      </c>
      <c r="B194" t="s">
        <v>6051</v>
      </c>
      <c r="C194" t="s">
        <v>74</v>
      </c>
      <c r="D194" t="s">
        <v>74</v>
      </c>
      <c r="E194" t="s">
        <v>74</v>
      </c>
      <c r="F194" t="s">
        <v>6051</v>
      </c>
      <c r="G194" t="s">
        <v>74</v>
      </c>
      <c r="H194" t="s">
        <v>74</v>
      </c>
      <c r="I194" t="s">
        <v>6052</v>
      </c>
      <c r="J194" t="s">
        <v>2849</v>
      </c>
      <c r="K194" t="s">
        <v>74</v>
      </c>
      <c r="L194" t="s">
        <v>74</v>
      </c>
      <c r="M194" t="s">
        <v>74</v>
      </c>
      <c r="N194" t="s">
        <v>74</v>
      </c>
      <c r="O194" t="s">
        <v>74</v>
      </c>
      <c r="P194" t="s">
        <v>74</v>
      </c>
      <c r="Q194" t="s">
        <v>74</v>
      </c>
      <c r="R194" t="s">
        <v>74</v>
      </c>
      <c r="S194" t="s">
        <v>74</v>
      </c>
      <c r="T194" t="s">
        <v>74</v>
      </c>
      <c r="U194" t="s">
        <v>74</v>
      </c>
      <c r="V194" t="s">
        <v>74</v>
      </c>
      <c r="W194" t="s">
        <v>74</v>
      </c>
      <c r="X194" t="s">
        <v>74</v>
      </c>
      <c r="Y194" t="s">
        <v>74</v>
      </c>
      <c r="Z194" t="s">
        <v>74</v>
      </c>
      <c r="AA194" t="s">
        <v>74</v>
      </c>
      <c r="AB194" t="s">
        <v>74</v>
      </c>
      <c r="AC194" t="s">
        <v>74</v>
      </c>
      <c r="AD194" t="s">
        <v>74</v>
      </c>
      <c r="AE194" t="s">
        <v>74</v>
      </c>
      <c r="AF194" t="s">
        <v>74</v>
      </c>
      <c r="AG194" t="s">
        <v>74</v>
      </c>
      <c r="AH194" t="s">
        <v>74</v>
      </c>
      <c r="AI194" t="s">
        <v>74</v>
      </c>
      <c r="AJ194" t="s">
        <v>74</v>
      </c>
      <c r="AK194" t="s">
        <v>74</v>
      </c>
      <c r="AL194" t="s">
        <v>74</v>
      </c>
      <c r="AM194" t="s">
        <v>74</v>
      </c>
      <c r="AN194" t="s">
        <v>74</v>
      </c>
      <c r="AO194" t="s">
        <v>74</v>
      </c>
      <c r="AP194" t="s">
        <v>74</v>
      </c>
      <c r="AQ194" t="s">
        <v>74</v>
      </c>
      <c r="AR194" t="s">
        <v>74</v>
      </c>
      <c r="AS194" t="s">
        <v>74</v>
      </c>
      <c r="AT194" t="s">
        <v>74</v>
      </c>
      <c r="AU194">
        <v>2003</v>
      </c>
      <c r="AV194">
        <v>1</v>
      </c>
      <c r="AW194" t="s">
        <v>74</v>
      </c>
      <c r="AX194" t="s">
        <v>74</v>
      </c>
      <c r="AY194" t="s">
        <v>74</v>
      </c>
      <c r="AZ194" t="s">
        <v>74</v>
      </c>
      <c r="BA194" t="s">
        <v>74</v>
      </c>
      <c r="BB194">
        <v>45</v>
      </c>
      <c r="BC194">
        <v>50</v>
      </c>
      <c r="BD194" t="s">
        <v>74</v>
      </c>
      <c r="BE194" t="s">
        <v>6053</v>
      </c>
      <c r="BF194" t="str">
        <f>HYPERLINK("http://dx.doi.org/10.4319/lom.2003.1.45","http://dx.doi.org/10.4319/lom.2003.1.45")</f>
        <v>http://dx.doi.org/10.4319/lom.2003.1.45</v>
      </c>
      <c r="BG194" t="s">
        <v>74</v>
      </c>
      <c r="BH194" t="s">
        <v>74</v>
      </c>
      <c r="BI194" t="s">
        <v>74</v>
      </c>
      <c r="BJ194" t="s">
        <v>74</v>
      </c>
      <c r="BK194" t="s">
        <v>74</v>
      </c>
      <c r="BL194" t="s">
        <v>74</v>
      </c>
      <c r="BM194" t="s">
        <v>74</v>
      </c>
      <c r="BN194" t="s">
        <v>74</v>
      </c>
      <c r="BO194" t="s">
        <v>74</v>
      </c>
      <c r="BP194" t="s">
        <v>74</v>
      </c>
      <c r="BQ194" t="s">
        <v>74</v>
      </c>
      <c r="BR194" t="s">
        <v>74</v>
      </c>
      <c r="BS194" t="s">
        <v>6054</v>
      </c>
      <c r="BT194" t="str">
        <f>HYPERLINK("https%3A%2F%2Fwww.webofscience.com%2Fwos%2Fwoscc%2Ffull-record%2FWOS:000202872600006","View Full Record in Web of Science")</f>
        <v>View Full Record in Web of Science</v>
      </c>
    </row>
    <row r="195" spans="1:72" x14ac:dyDescent="0.2">
      <c r="A195" t="s">
        <v>72</v>
      </c>
      <c r="B195" t="s">
        <v>6055</v>
      </c>
      <c r="C195" t="s">
        <v>74</v>
      </c>
      <c r="D195" t="s">
        <v>74</v>
      </c>
      <c r="E195" t="s">
        <v>74</v>
      </c>
      <c r="F195" t="s">
        <v>6055</v>
      </c>
      <c r="G195" t="s">
        <v>74</v>
      </c>
      <c r="H195" t="s">
        <v>74</v>
      </c>
      <c r="I195" t="s">
        <v>6056</v>
      </c>
      <c r="J195" t="s">
        <v>2827</v>
      </c>
      <c r="K195" t="s">
        <v>74</v>
      </c>
      <c r="L195" t="s">
        <v>74</v>
      </c>
      <c r="M195" t="s">
        <v>74</v>
      </c>
      <c r="N195" t="s">
        <v>74</v>
      </c>
      <c r="O195" t="s">
        <v>74</v>
      </c>
      <c r="P195" t="s">
        <v>74</v>
      </c>
      <c r="Q195" t="s">
        <v>74</v>
      </c>
      <c r="R195" t="s">
        <v>74</v>
      </c>
      <c r="S195" t="s">
        <v>74</v>
      </c>
      <c r="T195" t="s">
        <v>74</v>
      </c>
      <c r="U195" t="s">
        <v>74</v>
      </c>
      <c r="V195" t="s">
        <v>74</v>
      </c>
      <c r="W195" t="s">
        <v>74</v>
      </c>
      <c r="X195" t="s">
        <v>74</v>
      </c>
      <c r="Y195" t="s">
        <v>74</v>
      </c>
      <c r="Z195" t="s">
        <v>74</v>
      </c>
      <c r="AA195" t="s">
        <v>6057</v>
      </c>
      <c r="AB195" t="s">
        <v>6058</v>
      </c>
      <c r="AC195" t="s">
        <v>74</v>
      </c>
      <c r="AD195" t="s">
        <v>74</v>
      </c>
      <c r="AE195" t="s">
        <v>74</v>
      </c>
      <c r="AF195" t="s">
        <v>74</v>
      </c>
      <c r="AG195" t="s">
        <v>74</v>
      </c>
      <c r="AH195" t="s">
        <v>74</v>
      </c>
      <c r="AI195" t="s">
        <v>74</v>
      </c>
      <c r="AJ195" t="s">
        <v>74</v>
      </c>
      <c r="AK195" t="s">
        <v>74</v>
      </c>
      <c r="AL195" t="s">
        <v>74</v>
      </c>
      <c r="AM195" t="s">
        <v>74</v>
      </c>
      <c r="AN195" t="s">
        <v>74</v>
      </c>
      <c r="AO195" t="s">
        <v>2828</v>
      </c>
      <c r="AP195" t="s">
        <v>74</v>
      </c>
      <c r="AQ195" t="s">
        <v>74</v>
      </c>
      <c r="AR195" t="s">
        <v>74</v>
      </c>
      <c r="AS195" t="s">
        <v>74</v>
      </c>
      <c r="AT195" t="s">
        <v>74</v>
      </c>
      <c r="AU195">
        <v>2003</v>
      </c>
      <c r="AV195">
        <v>255</v>
      </c>
      <c r="AW195" t="s">
        <v>74</v>
      </c>
      <c r="AX195" t="s">
        <v>74</v>
      </c>
      <c r="AY195" t="s">
        <v>74</v>
      </c>
      <c r="AZ195" t="s">
        <v>74</v>
      </c>
      <c r="BA195" t="s">
        <v>74</v>
      </c>
      <c r="BB195">
        <v>219</v>
      </c>
      <c r="BC195">
        <v>233</v>
      </c>
      <c r="BD195" t="s">
        <v>74</v>
      </c>
      <c r="BE195" t="s">
        <v>6059</v>
      </c>
      <c r="BF195" t="str">
        <f>HYPERLINK("http://dx.doi.org/10.3354/meps255219","http://dx.doi.org/10.3354/meps255219")</f>
        <v>http://dx.doi.org/10.3354/meps255219</v>
      </c>
      <c r="BG195" t="s">
        <v>74</v>
      </c>
      <c r="BH195" t="s">
        <v>74</v>
      </c>
      <c r="BI195" t="s">
        <v>74</v>
      </c>
      <c r="BJ195" t="s">
        <v>74</v>
      </c>
      <c r="BK195" t="s">
        <v>74</v>
      </c>
      <c r="BL195" t="s">
        <v>74</v>
      </c>
      <c r="BM195" t="s">
        <v>74</v>
      </c>
      <c r="BN195" t="s">
        <v>74</v>
      </c>
      <c r="BO195" t="s">
        <v>74</v>
      </c>
      <c r="BP195" t="s">
        <v>74</v>
      </c>
      <c r="BQ195" t="s">
        <v>74</v>
      </c>
      <c r="BR195" t="s">
        <v>74</v>
      </c>
      <c r="BS195" t="s">
        <v>6060</v>
      </c>
      <c r="BT195" t="str">
        <f>HYPERLINK("https%3A%2F%2Fwww.webofscience.com%2Fwos%2Fwoscc%2Ffull-record%2FWOS:000184268600018","View Full Record in Web of Science")</f>
        <v>View Full Record in Web of Science</v>
      </c>
    </row>
    <row r="196" spans="1:72" x14ac:dyDescent="0.2">
      <c r="A196" t="s">
        <v>72</v>
      </c>
      <c r="B196" t="s">
        <v>6061</v>
      </c>
      <c r="C196" t="s">
        <v>74</v>
      </c>
      <c r="D196" t="s">
        <v>74</v>
      </c>
      <c r="E196" t="s">
        <v>74</v>
      </c>
      <c r="F196" t="s">
        <v>6061</v>
      </c>
      <c r="G196" t="s">
        <v>74</v>
      </c>
      <c r="H196" t="s">
        <v>74</v>
      </c>
      <c r="I196" t="s">
        <v>6062</v>
      </c>
      <c r="J196" t="s">
        <v>106</v>
      </c>
      <c r="K196" t="s">
        <v>74</v>
      </c>
      <c r="L196" t="s">
        <v>74</v>
      </c>
      <c r="M196" t="s">
        <v>74</v>
      </c>
      <c r="N196" t="s">
        <v>74</v>
      </c>
      <c r="O196" t="s">
        <v>74</v>
      </c>
      <c r="P196" t="s">
        <v>74</v>
      </c>
      <c r="Q196" t="s">
        <v>74</v>
      </c>
      <c r="R196" t="s">
        <v>74</v>
      </c>
      <c r="S196" t="s">
        <v>74</v>
      </c>
      <c r="T196" t="s">
        <v>74</v>
      </c>
      <c r="U196" t="s">
        <v>74</v>
      </c>
      <c r="V196" t="s">
        <v>74</v>
      </c>
      <c r="W196" t="s">
        <v>74</v>
      </c>
      <c r="X196" t="s">
        <v>74</v>
      </c>
      <c r="Y196" t="s">
        <v>74</v>
      </c>
      <c r="Z196" t="s">
        <v>74</v>
      </c>
      <c r="AA196" t="s">
        <v>6063</v>
      </c>
      <c r="AB196" t="s">
        <v>6064</v>
      </c>
      <c r="AC196" t="s">
        <v>74</v>
      </c>
      <c r="AD196" t="s">
        <v>74</v>
      </c>
      <c r="AE196" t="s">
        <v>74</v>
      </c>
      <c r="AF196" t="s">
        <v>74</v>
      </c>
      <c r="AG196" t="s">
        <v>74</v>
      </c>
      <c r="AH196" t="s">
        <v>74</v>
      </c>
      <c r="AI196" t="s">
        <v>74</v>
      </c>
      <c r="AJ196" t="s">
        <v>74</v>
      </c>
      <c r="AK196" t="s">
        <v>74</v>
      </c>
      <c r="AL196" t="s">
        <v>74</v>
      </c>
      <c r="AM196" t="s">
        <v>74</v>
      </c>
      <c r="AN196" t="s">
        <v>74</v>
      </c>
      <c r="AO196" t="s">
        <v>107</v>
      </c>
      <c r="AP196" t="s">
        <v>74</v>
      </c>
      <c r="AQ196" t="s">
        <v>74</v>
      </c>
      <c r="AR196" t="s">
        <v>74</v>
      </c>
      <c r="AS196" t="s">
        <v>74</v>
      </c>
      <c r="AT196" t="s">
        <v>335</v>
      </c>
      <c r="AU196">
        <v>2002</v>
      </c>
      <c r="AV196">
        <v>24</v>
      </c>
      <c r="AW196">
        <v>11</v>
      </c>
      <c r="AX196" t="s">
        <v>74</v>
      </c>
      <c r="AY196" t="s">
        <v>74</v>
      </c>
      <c r="AZ196" t="s">
        <v>74</v>
      </c>
      <c r="BA196" t="s">
        <v>74</v>
      </c>
      <c r="BB196">
        <v>1197</v>
      </c>
      <c r="BC196">
        <v>1206</v>
      </c>
      <c r="BD196" t="s">
        <v>74</v>
      </c>
      <c r="BE196" t="s">
        <v>6065</v>
      </c>
      <c r="BF196" t="str">
        <f>HYPERLINK("http://dx.doi.org/10.1093/plankt/24.11.1197","http://dx.doi.org/10.1093/plankt/24.11.1197")</f>
        <v>http://dx.doi.org/10.1093/plankt/24.11.1197</v>
      </c>
      <c r="BG196" t="s">
        <v>74</v>
      </c>
      <c r="BH196" t="s">
        <v>74</v>
      </c>
      <c r="BI196" t="s">
        <v>74</v>
      </c>
      <c r="BJ196" t="s">
        <v>74</v>
      </c>
      <c r="BK196" t="s">
        <v>74</v>
      </c>
      <c r="BL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R196" t="s">
        <v>74</v>
      </c>
      <c r="BS196" t="s">
        <v>6066</v>
      </c>
      <c r="BT196" t="str">
        <f>HYPERLINK("https%3A%2F%2Fwww.webofscience.com%2Fwos%2Fwoscc%2Ffull-record%2FWOS:000179038500007","View Full Record in Web of Science")</f>
        <v>View Full Record in Web of Science</v>
      </c>
    </row>
    <row r="197" spans="1:72" x14ac:dyDescent="0.2">
      <c r="A197" t="s">
        <v>72</v>
      </c>
      <c r="B197" t="s">
        <v>6099</v>
      </c>
      <c r="C197" t="s">
        <v>74</v>
      </c>
      <c r="D197" t="s">
        <v>74</v>
      </c>
      <c r="E197" t="s">
        <v>74</v>
      </c>
      <c r="F197" t="s">
        <v>6099</v>
      </c>
      <c r="G197" t="s">
        <v>74</v>
      </c>
      <c r="H197" t="s">
        <v>74</v>
      </c>
      <c r="I197" t="s">
        <v>6100</v>
      </c>
      <c r="J197" t="s">
        <v>423</v>
      </c>
      <c r="K197" t="s">
        <v>74</v>
      </c>
      <c r="L197" t="s">
        <v>74</v>
      </c>
      <c r="M197" t="s">
        <v>74</v>
      </c>
      <c r="N197" t="s">
        <v>74</v>
      </c>
      <c r="O197" t="s">
        <v>74</v>
      </c>
      <c r="P197" t="s">
        <v>74</v>
      </c>
      <c r="Q197" t="s">
        <v>74</v>
      </c>
      <c r="R197" t="s">
        <v>74</v>
      </c>
      <c r="S197" t="s">
        <v>74</v>
      </c>
      <c r="T197" t="s">
        <v>74</v>
      </c>
      <c r="U197" t="s">
        <v>74</v>
      </c>
      <c r="V197" t="s">
        <v>74</v>
      </c>
      <c r="W197" t="s">
        <v>74</v>
      </c>
      <c r="X197" t="s">
        <v>74</v>
      </c>
      <c r="Y197" t="s">
        <v>74</v>
      </c>
      <c r="Z197" t="s">
        <v>74</v>
      </c>
      <c r="AA197" t="s">
        <v>6101</v>
      </c>
      <c r="AB197" t="s">
        <v>6102</v>
      </c>
      <c r="AC197" t="s">
        <v>74</v>
      </c>
      <c r="AD197" t="s">
        <v>74</v>
      </c>
      <c r="AE197" t="s">
        <v>74</v>
      </c>
      <c r="AF197" t="s">
        <v>74</v>
      </c>
      <c r="AG197" t="s">
        <v>74</v>
      </c>
      <c r="AH197" t="s">
        <v>74</v>
      </c>
      <c r="AI197" t="s">
        <v>74</v>
      </c>
      <c r="AJ197" t="s">
        <v>74</v>
      </c>
      <c r="AK197" t="s">
        <v>74</v>
      </c>
      <c r="AL197" t="s">
        <v>74</v>
      </c>
      <c r="AM197" t="s">
        <v>74</v>
      </c>
      <c r="AN197" t="s">
        <v>74</v>
      </c>
      <c r="AO197" t="s">
        <v>425</v>
      </c>
      <c r="AP197" t="s">
        <v>426</v>
      </c>
      <c r="AQ197" t="s">
        <v>74</v>
      </c>
      <c r="AR197" t="s">
        <v>74</v>
      </c>
      <c r="AS197" t="s">
        <v>74</v>
      </c>
      <c r="AT197" t="s">
        <v>520</v>
      </c>
      <c r="AU197">
        <v>2002</v>
      </c>
      <c r="AV197">
        <v>47</v>
      </c>
      <c r="AW197">
        <v>8</v>
      </c>
      <c r="AX197" t="s">
        <v>74</v>
      </c>
      <c r="AY197" t="s">
        <v>74</v>
      </c>
      <c r="AZ197" t="s">
        <v>74</v>
      </c>
      <c r="BA197" t="s">
        <v>74</v>
      </c>
      <c r="BB197">
        <v>1557</v>
      </c>
      <c r="BC197">
        <v>1570</v>
      </c>
      <c r="BD197" t="s">
        <v>74</v>
      </c>
      <c r="BE197" t="s">
        <v>6103</v>
      </c>
      <c r="BF197" t="str">
        <f>HYPERLINK("http://dx.doi.org/10.1046/j.1365-2427.2002.00878.x","http://dx.doi.org/10.1046/j.1365-2427.2002.00878.x")</f>
        <v>http://dx.doi.org/10.1046/j.1365-2427.2002.00878.x</v>
      </c>
      <c r="BG197" t="s">
        <v>74</v>
      </c>
      <c r="BH197" t="s">
        <v>74</v>
      </c>
      <c r="BI197" t="s">
        <v>74</v>
      </c>
      <c r="BJ197" t="s">
        <v>74</v>
      </c>
      <c r="BK197" t="s">
        <v>74</v>
      </c>
      <c r="BL197" t="s">
        <v>74</v>
      </c>
      <c r="BM197" t="s">
        <v>74</v>
      </c>
      <c r="BN197" t="s">
        <v>74</v>
      </c>
      <c r="BO197" t="s">
        <v>74</v>
      </c>
      <c r="BP197" t="s">
        <v>74</v>
      </c>
      <c r="BQ197" t="s">
        <v>74</v>
      </c>
      <c r="BR197" t="s">
        <v>74</v>
      </c>
      <c r="BS197" t="s">
        <v>6104</v>
      </c>
      <c r="BT197" t="str">
        <f>HYPERLINK("https%3A%2F%2Fwww.webofscience.com%2Fwos%2Fwoscc%2Ffull-record%2FWOS:000177025900017","View Full Record in Web of Science")</f>
        <v>View Full Record in Web of Science</v>
      </c>
    </row>
    <row r="198" spans="1:72" x14ac:dyDescent="0.2">
      <c r="A198" t="s">
        <v>72</v>
      </c>
      <c r="B198" t="s">
        <v>6114</v>
      </c>
      <c r="C198" t="s">
        <v>74</v>
      </c>
      <c r="D198" t="s">
        <v>74</v>
      </c>
      <c r="E198" t="s">
        <v>74</v>
      </c>
      <c r="F198" t="s">
        <v>6114</v>
      </c>
      <c r="G198" t="s">
        <v>74</v>
      </c>
      <c r="H198" t="s">
        <v>74</v>
      </c>
      <c r="I198" t="s">
        <v>6115</v>
      </c>
      <c r="J198" t="s">
        <v>2827</v>
      </c>
      <c r="K198" t="s">
        <v>74</v>
      </c>
      <c r="L198" t="s">
        <v>74</v>
      </c>
      <c r="M198" t="s">
        <v>74</v>
      </c>
      <c r="N198" t="s">
        <v>74</v>
      </c>
      <c r="O198" t="s">
        <v>74</v>
      </c>
      <c r="P198" t="s">
        <v>74</v>
      </c>
      <c r="Q198" t="s">
        <v>74</v>
      </c>
      <c r="R198" t="s">
        <v>74</v>
      </c>
      <c r="S198" t="s">
        <v>74</v>
      </c>
      <c r="T198" t="s">
        <v>74</v>
      </c>
      <c r="U198" t="s">
        <v>74</v>
      </c>
      <c r="V198" t="s">
        <v>74</v>
      </c>
      <c r="W198" t="s">
        <v>74</v>
      </c>
      <c r="X198" t="s">
        <v>74</v>
      </c>
      <c r="Y198" t="s">
        <v>74</v>
      </c>
      <c r="Z198" t="s">
        <v>74</v>
      </c>
      <c r="AA198" t="s">
        <v>6116</v>
      </c>
      <c r="AB198" t="s">
        <v>6117</v>
      </c>
      <c r="AC198" t="s">
        <v>74</v>
      </c>
      <c r="AD198" t="s">
        <v>74</v>
      </c>
      <c r="AE198" t="s">
        <v>74</v>
      </c>
      <c r="AF198" t="s">
        <v>74</v>
      </c>
      <c r="AG198" t="s">
        <v>74</v>
      </c>
      <c r="AH198" t="s">
        <v>74</v>
      </c>
      <c r="AI198" t="s">
        <v>74</v>
      </c>
      <c r="AJ198" t="s">
        <v>74</v>
      </c>
      <c r="AK198" t="s">
        <v>74</v>
      </c>
      <c r="AL198" t="s">
        <v>74</v>
      </c>
      <c r="AM198" t="s">
        <v>74</v>
      </c>
      <c r="AN198" t="s">
        <v>74</v>
      </c>
      <c r="AO198" t="s">
        <v>2828</v>
      </c>
      <c r="AP198" t="s">
        <v>2829</v>
      </c>
      <c r="AQ198" t="s">
        <v>74</v>
      </c>
      <c r="AR198" t="s">
        <v>74</v>
      </c>
      <c r="AS198" t="s">
        <v>74</v>
      </c>
      <c r="AT198" t="s">
        <v>74</v>
      </c>
      <c r="AU198">
        <v>2002</v>
      </c>
      <c r="AV198">
        <v>228</v>
      </c>
      <c r="AW198" t="s">
        <v>74</v>
      </c>
      <c r="AX198" t="s">
        <v>74</v>
      </c>
      <c r="AY198" t="s">
        <v>74</v>
      </c>
      <c r="AZ198" t="s">
        <v>74</v>
      </c>
      <c r="BA198" t="s">
        <v>74</v>
      </c>
      <c r="BB198">
        <v>35</v>
      </c>
      <c r="BC198">
        <v>45</v>
      </c>
      <c r="BD198" t="s">
        <v>74</v>
      </c>
      <c r="BE198" t="s">
        <v>6118</v>
      </c>
      <c r="BF198" t="str">
        <f>HYPERLINK("http://dx.doi.org/10.3354/meps228035","http://dx.doi.org/10.3354/meps228035")</f>
        <v>http://dx.doi.org/10.3354/meps228035</v>
      </c>
      <c r="BG198" t="s">
        <v>74</v>
      </c>
      <c r="BH198" t="s">
        <v>74</v>
      </c>
      <c r="BI198" t="s">
        <v>74</v>
      </c>
      <c r="BJ198" t="s">
        <v>74</v>
      </c>
      <c r="BK198" t="s">
        <v>74</v>
      </c>
      <c r="BL198" t="s">
        <v>74</v>
      </c>
      <c r="BM198" t="s">
        <v>74</v>
      </c>
      <c r="BN198" t="s">
        <v>74</v>
      </c>
      <c r="BO198" t="s">
        <v>74</v>
      </c>
      <c r="BP198" t="s">
        <v>74</v>
      </c>
      <c r="BQ198" t="s">
        <v>74</v>
      </c>
      <c r="BR198" t="s">
        <v>74</v>
      </c>
      <c r="BS198" t="s">
        <v>6119</v>
      </c>
      <c r="BT198" t="str">
        <f>HYPERLINK("https%3A%2F%2Fwww.webofscience.com%2Fwos%2Fwoscc%2Ffull-record%2FWOS:000174655000005","View Full Record in Web of Science")</f>
        <v>View Full Record in Web of Science</v>
      </c>
    </row>
    <row r="199" spans="1:72" x14ac:dyDescent="0.2">
      <c r="A199" t="s">
        <v>72</v>
      </c>
      <c r="B199" t="s">
        <v>6124</v>
      </c>
      <c r="C199" t="s">
        <v>74</v>
      </c>
      <c r="D199" t="s">
        <v>74</v>
      </c>
      <c r="E199" t="s">
        <v>74</v>
      </c>
      <c r="F199" t="s">
        <v>6124</v>
      </c>
      <c r="G199" t="s">
        <v>74</v>
      </c>
      <c r="H199" t="s">
        <v>74</v>
      </c>
      <c r="I199" t="s">
        <v>6125</v>
      </c>
      <c r="J199" t="s">
        <v>1523</v>
      </c>
      <c r="K199" t="s">
        <v>74</v>
      </c>
      <c r="L199" t="s">
        <v>74</v>
      </c>
      <c r="M199" t="s">
        <v>74</v>
      </c>
      <c r="N199" t="s">
        <v>74</v>
      </c>
      <c r="O199" t="s">
        <v>74</v>
      </c>
      <c r="P199" t="s">
        <v>74</v>
      </c>
      <c r="Q199" t="s">
        <v>74</v>
      </c>
      <c r="R199" t="s">
        <v>74</v>
      </c>
      <c r="S199" t="s">
        <v>74</v>
      </c>
      <c r="T199" t="s">
        <v>74</v>
      </c>
      <c r="U199" t="s">
        <v>74</v>
      </c>
      <c r="V199" t="s">
        <v>74</v>
      </c>
      <c r="W199" t="s">
        <v>74</v>
      </c>
      <c r="X199" t="s">
        <v>74</v>
      </c>
      <c r="Y199" t="s">
        <v>74</v>
      </c>
      <c r="Z199" t="s">
        <v>74</v>
      </c>
      <c r="AA199" t="s">
        <v>74</v>
      </c>
      <c r="AB199" t="s">
        <v>74</v>
      </c>
      <c r="AC199" t="s">
        <v>74</v>
      </c>
      <c r="AD199" t="s">
        <v>74</v>
      </c>
      <c r="AE199" t="s">
        <v>74</v>
      </c>
      <c r="AF199" t="s">
        <v>74</v>
      </c>
      <c r="AG199" t="s">
        <v>74</v>
      </c>
      <c r="AH199" t="s">
        <v>74</v>
      </c>
      <c r="AI199" t="s">
        <v>74</v>
      </c>
      <c r="AJ199" t="s">
        <v>74</v>
      </c>
      <c r="AK199" t="s">
        <v>74</v>
      </c>
      <c r="AL199" t="s">
        <v>74</v>
      </c>
      <c r="AM199" t="s">
        <v>74</v>
      </c>
      <c r="AN199" t="s">
        <v>74</v>
      </c>
      <c r="AO199" t="s">
        <v>1524</v>
      </c>
      <c r="AP199" t="s">
        <v>1525</v>
      </c>
      <c r="AQ199" t="s">
        <v>74</v>
      </c>
      <c r="AR199" t="s">
        <v>74</v>
      </c>
      <c r="AS199" t="s">
        <v>74</v>
      </c>
      <c r="AT199" t="s">
        <v>315</v>
      </c>
      <c r="AU199">
        <v>2002</v>
      </c>
      <c r="AV199">
        <v>83</v>
      </c>
      <c r="AW199">
        <v>1</v>
      </c>
      <c r="AX199" t="s">
        <v>74</v>
      </c>
      <c r="AY199" t="s">
        <v>74</v>
      </c>
      <c r="AZ199" t="s">
        <v>74</v>
      </c>
      <c r="BA199" t="s">
        <v>74</v>
      </c>
      <c r="BB199">
        <v>129</v>
      </c>
      <c r="BC199">
        <v>136</v>
      </c>
      <c r="BD199" t="s">
        <v>74</v>
      </c>
      <c r="BE199" t="s">
        <v>6126</v>
      </c>
      <c r="BF199" t="str">
        <f>HYPERLINK("http://dx.doi.org/10.1890/0012-9658(2002)083[0129:TOBCAA]2.0.CO;2","http://dx.doi.org/10.1890/0012-9658(2002)083[0129:TOBCAA]2.0.CO;2")</f>
        <v>http://dx.doi.org/10.1890/0012-9658(2002)083[0129:TOBCAA]2.0.CO;2</v>
      </c>
      <c r="BG199" t="s">
        <v>74</v>
      </c>
      <c r="BH199" t="s">
        <v>74</v>
      </c>
      <c r="BI199" t="s">
        <v>74</v>
      </c>
      <c r="BJ199" t="s">
        <v>74</v>
      </c>
      <c r="BK199" t="s">
        <v>74</v>
      </c>
      <c r="BL199" t="s">
        <v>74</v>
      </c>
      <c r="BM199" t="s">
        <v>74</v>
      </c>
      <c r="BN199" t="s">
        <v>74</v>
      </c>
      <c r="BO199" t="s">
        <v>74</v>
      </c>
      <c r="BP199" t="s">
        <v>74</v>
      </c>
      <c r="BQ199" t="s">
        <v>74</v>
      </c>
      <c r="BR199" t="s">
        <v>74</v>
      </c>
      <c r="BS199" t="s">
        <v>6127</v>
      </c>
      <c r="BT199" t="str">
        <f>HYPERLINK("https%3A%2F%2Fwww.webofscience.com%2Fwos%2Fwoscc%2Ffull-record%2FWOS:000173117700012","View Full Record in Web of Science")</f>
        <v>View Full Record in Web of Science</v>
      </c>
    </row>
    <row r="200" spans="1:72" x14ac:dyDescent="0.2">
      <c r="A200" t="s">
        <v>72</v>
      </c>
      <c r="B200" t="s">
        <v>6139</v>
      </c>
      <c r="C200" t="s">
        <v>74</v>
      </c>
      <c r="D200" t="s">
        <v>74</v>
      </c>
      <c r="E200" t="s">
        <v>74</v>
      </c>
      <c r="F200" t="s">
        <v>6139</v>
      </c>
      <c r="G200" t="s">
        <v>74</v>
      </c>
      <c r="H200" t="s">
        <v>74</v>
      </c>
      <c r="I200" t="s">
        <v>6140</v>
      </c>
      <c r="J200" t="s">
        <v>6141</v>
      </c>
      <c r="K200" t="s">
        <v>74</v>
      </c>
      <c r="L200" t="s">
        <v>74</v>
      </c>
      <c r="M200" t="s">
        <v>74</v>
      </c>
      <c r="N200" t="s">
        <v>74</v>
      </c>
      <c r="O200" t="s">
        <v>74</v>
      </c>
      <c r="P200" t="s">
        <v>74</v>
      </c>
      <c r="Q200" t="s">
        <v>74</v>
      </c>
      <c r="R200" t="s">
        <v>74</v>
      </c>
      <c r="S200" t="s">
        <v>74</v>
      </c>
      <c r="T200" t="s">
        <v>74</v>
      </c>
      <c r="U200" t="s">
        <v>74</v>
      </c>
      <c r="V200" t="s">
        <v>74</v>
      </c>
      <c r="W200" t="s">
        <v>74</v>
      </c>
      <c r="X200" t="s">
        <v>74</v>
      </c>
      <c r="Y200" t="s">
        <v>74</v>
      </c>
      <c r="Z200" t="s">
        <v>74</v>
      </c>
      <c r="AA200" t="s">
        <v>6142</v>
      </c>
      <c r="AB200" t="s">
        <v>6143</v>
      </c>
      <c r="AC200" t="s">
        <v>74</v>
      </c>
      <c r="AD200" t="s">
        <v>74</v>
      </c>
      <c r="AE200" t="s">
        <v>74</v>
      </c>
      <c r="AF200" t="s">
        <v>74</v>
      </c>
      <c r="AG200" t="s">
        <v>74</v>
      </c>
      <c r="AH200" t="s">
        <v>74</v>
      </c>
      <c r="AI200" t="s">
        <v>74</v>
      </c>
      <c r="AJ200" t="s">
        <v>74</v>
      </c>
      <c r="AK200" t="s">
        <v>74</v>
      </c>
      <c r="AL200" t="s">
        <v>74</v>
      </c>
      <c r="AM200" t="s">
        <v>74</v>
      </c>
      <c r="AN200" t="s">
        <v>74</v>
      </c>
      <c r="AO200" t="s">
        <v>6144</v>
      </c>
      <c r="AP200" t="s">
        <v>6145</v>
      </c>
      <c r="AQ200" t="s">
        <v>74</v>
      </c>
      <c r="AR200" t="s">
        <v>74</v>
      </c>
      <c r="AS200" t="s">
        <v>74</v>
      </c>
      <c r="AT200" t="s">
        <v>335</v>
      </c>
      <c r="AU200">
        <v>2001</v>
      </c>
      <c r="AV200">
        <v>27</v>
      </c>
      <c r="AW200">
        <v>5</v>
      </c>
      <c r="AX200" t="s">
        <v>74</v>
      </c>
      <c r="AY200" t="s">
        <v>74</v>
      </c>
      <c r="AZ200" t="s">
        <v>74</v>
      </c>
      <c r="BA200" t="s">
        <v>74</v>
      </c>
      <c r="BB200">
        <v>363</v>
      </c>
      <c r="BC200">
        <v>371</v>
      </c>
      <c r="BD200" t="s">
        <v>74</v>
      </c>
      <c r="BE200" t="s">
        <v>6146</v>
      </c>
      <c r="BF200" t="str">
        <f>HYPERLINK("http://dx.doi.org/10.1016/S0160-4120(01)00087-3","http://dx.doi.org/10.1016/S0160-4120(01)00087-3")</f>
        <v>http://dx.doi.org/10.1016/S0160-4120(01)00087-3</v>
      </c>
      <c r="BG200" t="s">
        <v>74</v>
      </c>
      <c r="BH200" t="s">
        <v>74</v>
      </c>
      <c r="BI200" t="s">
        <v>74</v>
      </c>
      <c r="BJ200" t="s">
        <v>74</v>
      </c>
      <c r="BK200" t="s">
        <v>74</v>
      </c>
      <c r="BL200" t="s">
        <v>74</v>
      </c>
      <c r="BM200" t="s">
        <v>74</v>
      </c>
      <c r="BN200">
        <v>11757850</v>
      </c>
      <c r="BO200" t="s">
        <v>74</v>
      </c>
      <c r="BP200" t="s">
        <v>74</v>
      </c>
      <c r="BQ200" t="s">
        <v>74</v>
      </c>
      <c r="BR200" t="s">
        <v>74</v>
      </c>
      <c r="BS200" t="s">
        <v>6147</v>
      </c>
      <c r="BT200" t="str">
        <f>HYPERLINK("https%3A%2F%2Fwww.webofscience.com%2Fwos%2Fwoscc%2Ffull-record%2FWOS:000172154700003","View Full Record in Web of Science")</f>
        <v>View Full Record in Web of Science</v>
      </c>
    </row>
    <row r="201" spans="1:72" x14ac:dyDescent="0.2">
      <c r="A201" t="s">
        <v>72</v>
      </c>
      <c r="B201" t="s">
        <v>6172</v>
      </c>
      <c r="C201" t="s">
        <v>74</v>
      </c>
      <c r="D201" t="s">
        <v>74</v>
      </c>
      <c r="E201" t="s">
        <v>74</v>
      </c>
      <c r="F201" t="s">
        <v>6172</v>
      </c>
      <c r="G201" t="s">
        <v>74</v>
      </c>
      <c r="H201" t="s">
        <v>74</v>
      </c>
      <c r="I201" t="s">
        <v>6173</v>
      </c>
      <c r="J201" t="s">
        <v>124</v>
      </c>
      <c r="K201" t="s">
        <v>74</v>
      </c>
      <c r="L201" t="s">
        <v>74</v>
      </c>
      <c r="M201" t="s">
        <v>74</v>
      </c>
      <c r="N201" t="s">
        <v>74</v>
      </c>
      <c r="O201" t="s">
        <v>74</v>
      </c>
      <c r="P201" t="s">
        <v>74</v>
      </c>
      <c r="Q201" t="s">
        <v>74</v>
      </c>
      <c r="R201" t="s">
        <v>74</v>
      </c>
      <c r="S201" t="s">
        <v>74</v>
      </c>
      <c r="T201" t="s">
        <v>74</v>
      </c>
      <c r="U201" t="s">
        <v>74</v>
      </c>
      <c r="V201" t="s">
        <v>74</v>
      </c>
      <c r="W201" t="s">
        <v>74</v>
      </c>
      <c r="X201" t="s">
        <v>74</v>
      </c>
      <c r="Y201" t="s">
        <v>74</v>
      </c>
      <c r="Z201" t="s">
        <v>74</v>
      </c>
      <c r="AA201" t="s">
        <v>74</v>
      </c>
      <c r="AB201" t="s">
        <v>74</v>
      </c>
      <c r="AC201" t="s">
        <v>74</v>
      </c>
      <c r="AD201" t="s">
        <v>74</v>
      </c>
      <c r="AE201" t="s">
        <v>74</v>
      </c>
      <c r="AF201" t="s">
        <v>74</v>
      </c>
      <c r="AG201" t="s">
        <v>74</v>
      </c>
      <c r="AH201" t="s">
        <v>74</v>
      </c>
      <c r="AI201" t="s">
        <v>74</v>
      </c>
      <c r="AJ201" t="s">
        <v>74</v>
      </c>
      <c r="AK201" t="s">
        <v>74</v>
      </c>
      <c r="AL201" t="s">
        <v>74</v>
      </c>
      <c r="AM201" t="s">
        <v>74</v>
      </c>
      <c r="AN201" t="s">
        <v>74</v>
      </c>
      <c r="AO201" t="s">
        <v>127</v>
      </c>
      <c r="AP201" t="s">
        <v>128</v>
      </c>
      <c r="AQ201" t="s">
        <v>74</v>
      </c>
      <c r="AR201" t="s">
        <v>74</v>
      </c>
      <c r="AS201" t="s">
        <v>74</v>
      </c>
      <c r="AT201" t="s">
        <v>315</v>
      </c>
      <c r="AU201">
        <v>2001</v>
      </c>
      <c r="AV201">
        <v>442</v>
      </c>
      <c r="AW201" t="s">
        <v>5469</v>
      </c>
      <c r="AX201" t="s">
        <v>74</v>
      </c>
      <c r="AY201" t="s">
        <v>74</v>
      </c>
      <c r="AZ201" t="s">
        <v>74</v>
      </c>
      <c r="BA201" t="s">
        <v>74</v>
      </c>
      <c r="BB201">
        <v>291</v>
      </c>
      <c r="BC201">
        <v>300</v>
      </c>
      <c r="BD201" t="s">
        <v>74</v>
      </c>
      <c r="BE201" t="s">
        <v>74</v>
      </c>
      <c r="BF201" t="s">
        <v>74</v>
      </c>
      <c r="BG201" t="s">
        <v>74</v>
      </c>
      <c r="BH201" t="s">
        <v>74</v>
      </c>
      <c r="BI201" t="s">
        <v>74</v>
      </c>
      <c r="BJ201" t="s">
        <v>74</v>
      </c>
      <c r="BK201" t="s">
        <v>74</v>
      </c>
      <c r="BL201" t="s">
        <v>74</v>
      </c>
      <c r="BM201" t="s">
        <v>74</v>
      </c>
      <c r="BN201" t="s">
        <v>74</v>
      </c>
      <c r="BO201" t="s">
        <v>74</v>
      </c>
      <c r="BP201" t="s">
        <v>74</v>
      </c>
      <c r="BQ201" t="s">
        <v>74</v>
      </c>
      <c r="BR201" t="s">
        <v>74</v>
      </c>
      <c r="BS201" t="s">
        <v>6174</v>
      </c>
      <c r="BT201" t="str">
        <f>HYPERLINK("https%3A%2F%2Fwww.webofscience.com%2Fwos%2Fwoscc%2Ffull-record%2FWOS:000167924900028","View Full Record in Web of Science")</f>
        <v>View Full Record in Web of Science</v>
      </c>
    </row>
    <row r="202" spans="1:72" x14ac:dyDescent="0.2">
      <c r="A202" t="s">
        <v>72</v>
      </c>
      <c r="B202" t="s">
        <v>6184</v>
      </c>
      <c r="C202" t="s">
        <v>74</v>
      </c>
      <c r="D202" t="s">
        <v>74</v>
      </c>
      <c r="E202" t="s">
        <v>74</v>
      </c>
      <c r="F202" t="s">
        <v>6184</v>
      </c>
      <c r="G202" t="s">
        <v>74</v>
      </c>
      <c r="H202" t="s">
        <v>74</v>
      </c>
      <c r="I202" t="s">
        <v>6185</v>
      </c>
      <c r="J202" t="s">
        <v>227</v>
      </c>
      <c r="K202" t="s">
        <v>74</v>
      </c>
      <c r="L202" t="s">
        <v>74</v>
      </c>
      <c r="M202" t="s">
        <v>74</v>
      </c>
      <c r="N202" t="s">
        <v>74</v>
      </c>
      <c r="O202" t="s">
        <v>74</v>
      </c>
      <c r="P202" t="s">
        <v>74</v>
      </c>
      <c r="Q202" t="s">
        <v>74</v>
      </c>
      <c r="R202" t="s">
        <v>74</v>
      </c>
      <c r="S202" t="s">
        <v>74</v>
      </c>
      <c r="T202" t="s">
        <v>74</v>
      </c>
      <c r="U202" t="s">
        <v>74</v>
      </c>
      <c r="V202" t="s">
        <v>74</v>
      </c>
      <c r="W202" t="s">
        <v>74</v>
      </c>
      <c r="X202" t="s">
        <v>74</v>
      </c>
      <c r="Y202" t="s">
        <v>74</v>
      </c>
      <c r="Z202" t="s">
        <v>74</v>
      </c>
      <c r="AA202" t="s">
        <v>6186</v>
      </c>
      <c r="AB202" t="s">
        <v>6187</v>
      </c>
      <c r="AC202" t="s">
        <v>74</v>
      </c>
      <c r="AD202" t="s">
        <v>74</v>
      </c>
      <c r="AE202" t="s">
        <v>74</v>
      </c>
      <c r="AF202" t="s">
        <v>74</v>
      </c>
      <c r="AG202" t="s">
        <v>74</v>
      </c>
      <c r="AH202" t="s">
        <v>74</v>
      </c>
      <c r="AI202" t="s">
        <v>74</v>
      </c>
      <c r="AJ202" t="s">
        <v>74</v>
      </c>
      <c r="AK202" t="s">
        <v>74</v>
      </c>
      <c r="AL202" t="s">
        <v>74</v>
      </c>
      <c r="AM202" t="s">
        <v>74</v>
      </c>
      <c r="AN202" t="s">
        <v>74</v>
      </c>
      <c r="AO202" t="s">
        <v>230</v>
      </c>
      <c r="AP202" t="s">
        <v>74</v>
      </c>
      <c r="AQ202" t="s">
        <v>74</v>
      </c>
      <c r="AR202" t="s">
        <v>74</v>
      </c>
      <c r="AS202" t="s">
        <v>74</v>
      </c>
      <c r="AT202" t="s">
        <v>335</v>
      </c>
      <c r="AU202">
        <v>2000</v>
      </c>
      <c r="AV202">
        <v>45</v>
      </c>
      <c r="AW202">
        <v>7</v>
      </c>
      <c r="AX202" t="s">
        <v>74</v>
      </c>
      <c r="AY202" t="s">
        <v>74</v>
      </c>
      <c r="AZ202" t="s">
        <v>74</v>
      </c>
      <c r="BA202" t="s">
        <v>74</v>
      </c>
      <c r="BB202">
        <v>1672</v>
      </c>
      <c r="BC202">
        <v>1676</v>
      </c>
      <c r="BD202" t="s">
        <v>74</v>
      </c>
      <c r="BE202" t="s">
        <v>6188</v>
      </c>
      <c r="BF202" t="str">
        <f>HYPERLINK("http://dx.doi.org/10.4319/lo.2000.45.7.1672","http://dx.doi.org/10.4319/lo.2000.45.7.1672")</f>
        <v>http://dx.doi.org/10.4319/lo.2000.45.7.1672</v>
      </c>
      <c r="BG202" t="s">
        <v>74</v>
      </c>
      <c r="BH202" t="s">
        <v>74</v>
      </c>
      <c r="BI202" t="s">
        <v>74</v>
      </c>
      <c r="BJ202" t="s">
        <v>74</v>
      </c>
      <c r="BK202" t="s">
        <v>74</v>
      </c>
      <c r="BL202" t="s">
        <v>74</v>
      </c>
      <c r="BM202" t="s">
        <v>74</v>
      </c>
      <c r="BN202" t="s">
        <v>74</v>
      </c>
      <c r="BO202" t="s">
        <v>74</v>
      </c>
      <c r="BP202" t="s">
        <v>74</v>
      </c>
      <c r="BQ202" t="s">
        <v>74</v>
      </c>
      <c r="BR202" t="s">
        <v>74</v>
      </c>
      <c r="BS202" t="s">
        <v>6189</v>
      </c>
      <c r="BT202" t="str">
        <f>HYPERLINK("https%3A%2F%2Fwww.webofscience.com%2Fwos%2Fwoscc%2Ffull-record%2FWOS:000165267100021","View Full Record in Web of Science")</f>
        <v>View Full Record in Web of Science</v>
      </c>
    </row>
    <row r="203" spans="1:72" x14ac:dyDescent="0.2">
      <c r="A203" t="s">
        <v>72</v>
      </c>
      <c r="B203" t="s">
        <v>6199</v>
      </c>
      <c r="C203" t="s">
        <v>74</v>
      </c>
      <c r="D203" t="s">
        <v>74</v>
      </c>
      <c r="E203" t="s">
        <v>74</v>
      </c>
      <c r="F203" t="s">
        <v>6199</v>
      </c>
      <c r="G203" t="s">
        <v>74</v>
      </c>
      <c r="H203" t="s">
        <v>74</v>
      </c>
      <c r="I203" t="s">
        <v>6200</v>
      </c>
      <c r="J203" t="s">
        <v>88</v>
      </c>
      <c r="K203" t="s">
        <v>74</v>
      </c>
      <c r="L203" t="s">
        <v>74</v>
      </c>
      <c r="M203" t="s">
        <v>74</v>
      </c>
      <c r="N203" t="s">
        <v>74</v>
      </c>
      <c r="O203" t="s">
        <v>74</v>
      </c>
      <c r="P203" t="s">
        <v>74</v>
      </c>
      <c r="Q203" t="s">
        <v>74</v>
      </c>
      <c r="R203" t="s">
        <v>74</v>
      </c>
      <c r="S203" t="s">
        <v>74</v>
      </c>
      <c r="T203" t="s">
        <v>74</v>
      </c>
      <c r="U203" t="s">
        <v>74</v>
      </c>
      <c r="V203" t="s">
        <v>74</v>
      </c>
      <c r="W203" t="s">
        <v>74</v>
      </c>
      <c r="X203" t="s">
        <v>74</v>
      </c>
      <c r="Y203" t="s">
        <v>74</v>
      </c>
      <c r="Z203" t="s">
        <v>74</v>
      </c>
      <c r="AA203" t="s">
        <v>5677</v>
      </c>
      <c r="AB203" t="s">
        <v>5678</v>
      </c>
      <c r="AC203" t="s">
        <v>74</v>
      </c>
      <c r="AD203" t="s">
        <v>74</v>
      </c>
      <c r="AE203" t="s">
        <v>74</v>
      </c>
      <c r="AF203" t="s">
        <v>74</v>
      </c>
      <c r="AG203" t="s">
        <v>74</v>
      </c>
      <c r="AH203" t="s">
        <v>74</v>
      </c>
      <c r="AI203" t="s">
        <v>74</v>
      </c>
      <c r="AJ203" t="s">
        <v>74</v>
      </c>
      <c r="AK203" t="s">
        <v>74</v>
      </c>
      <c r="AL203" t="s">
        <v>74</v>
      </c>
      <c r="AM203" t="s">
        <v>74</v>
      </c>
      <c r="AN203" t="s">
        <v>74</v>
      </c>
      <c r="AO203" t="s">
        <v>89</v>
      </c>
      <c r="AP203" t="s">
        <v>74</v>
      </c>
      <c r="AQ203" t="s">
        <v>74</v>
      </c>
      <c r="AR203" t="s">
        <v>74</v>
      </c>
      <c r="AS203" t="s">
        <v>74</v>
      </c>
      <c r="AT203" t="s">
        <v>406</v>
      </c>
      <c r="AU203">
        <v>2000</v>
      </c>
      <c r="AV203">
        <v>57</v>
      </c>
      <c r="AW203">
        <v>10</v>
      </c>
      <c r="AX203" t="s">
        <v>74</v>
      </c>
      <c r="AY203" t="s">
        <v>74</v>
      </c>
      <c r="AZ203" t="s">
        <v>74</v>
      </c>
      <c r="BA203" t="s">
        <v>74</v>
      </c>
      <c r="BB203">
        <v>1965</v>
      </c>
      <c r="BC203">
        <v>1968</v>
      </c>
      <c r="BD203" t="s">
        <v>74</v>
      </c>
      <c r="BE203" t="s">
        <v>6201</v>
      </c>
      <c r="BF203" t="str">
        <f>HYPERLINK("http://dx.doi.org/10.1139/cjfas-57-10-1965","http://dx.doi.org/10.1139/cjfas-57-10-1965")</f>
        <v>http://dx.doi.org/10.1139/cjfas-57-10-1965</v>
      </c>
      <c r="BG203" t="s">
        <v>74</v>
      </c>
      <c r="BH203" t="s">
        <v>74</v>
      </c>
      <c r="BI203" t="s">
        <v>74</v>
      </c>
      <c r="BJ203" t="s">
        <v>74</v>
      </c>
      <c r="BK203" t="s">
        <v>74</v>
      </c>
      <c r="BL203" t="s">
        <v>74</v>
      </c>
      <c r="BM203" t="s">
        <v>74</v>
      </c>
      <c r="BN203" t="s">
        <v>74</v>
      </c>
      <c r="BO203" t="s">
        <v>74</v>
      </c>
      <c r="BP203" t="s">
        <v>74</v>
      </c>
      <c r="BQ203" t="s">
        <v>74</v>
      </c>
      <c r="BR203" t="s">
        <v>74</v>
      </c>
      <c r="BS203" t="s">
        <v>6202</v>
      </c>
      <c r="BT203" t="str">
        <f>HYPERLINK("https%3A%2F%2Fwww.webofscience.com%2Fwos%2Fwoscc%2Ffull-record%2FWOS:000165188300001","View Full Record in Web of Science")</f>
        <v>View Full Record in Web of Science</v>
      </c>
    </row>
    <row r="204" spans="1:72" x14ac:dyDescent="0.2">
      <c r="A204" t="s">
        <v>72</v>
      </c>
      <c r="B204" t="s">
        <v>6259</v>
      </c>
      <c r="C204" t="s">
        <v>74</v>
      </c>
      <c r="D204" t="s">
        <v>74</v>
      </c>
      <c r="E204" t="s">
        <v>74</v>
      </c>
      <c r="F204" t="s">
        <v>6259</v>
      </c>
      <c r="G204" t="s">
        <v>74</v>
      </c>
      <c r="H204" t="s">
        <v>74</v>
      </c>
      <c r="I204" t="s">
        <v>6260</v>
      </c>
      <c r="J204" t="s">
        <v>5142</v>
      </c>
      <c r="K204" t="s">
        <v>74</v>
      </c>
      <c r="L204" t="s">
        <v>74</v>
      </c>
      <c r="M204" t="s">
        <v>74</v>
      </c>
      <c r="N204" t="s">
        <v>74</v>
      </c>
      <c r="O204" t="s">
        <v>74</v>
      </c>
      <c r="P204" t="s">
        <v>74</v>
      </c>
      <c r="Q204" t="s">
        <v>74</v>
      </c>
      <c r="R204" t="s">
        <v>74</v>
      </c>
      <c r="S204" t="s">
        <v>74</v>
      </c>
      <c r="T204" t="s">
        <v>74</v>
      </c>
      <c r="U204" t="s">
        <v>74</v>
      </c>
      <c r="V204" t="s">
        <v>74</v>
      </c>
      <c r="W204" t="s">
        <v>74</v>
      </c>
      <c r="X204" t="s">
        <v>74</v>
      </c>
      <c r="Y204" t="s">
        <v>74</v>
      </c>
      <c r="Z204" t="s">
        <v>74</v>
      </c>
      <c r="AA204" t="s">
        <v>6261</v>
      </c>
      <c r="AB204" t="s">
        <v>6262</v>
      </c>
      <c r="AC204" t="s">
        <v>74</v>
      </c>
      <c r="AD204" t="s">
        <v>74</v>
      </c>
      <c r="AE204" t="s">
        <v>74</v>
      </c>
      <c r="AF204" t="s">
        <v>74</v>
      </c>
      <c r="AG204" t="s">
        <v>74</v>
      </c>
      <c r="AH204" t="s">
        <v>74</v>
      </c>
      <c r="AI204" t="s">
        <v>74</v>
      </c>
      <c r="AJ204" t="s">
        <v>74</v>
      </c>
      <c r="AK204" t="s">
        <v>74</v>
      </c>
      <c r="AL204" t="s">
        <v>74</v>
      </c>
      <c r="AM204" t="s">
        <v>74</v>
      </c>
      <c r="AN204" t="s">
        <v>74</v>
      </c>
      <c r="AO204" t="s">
        <v>5143</v>
      </c>
      <c r="AP204" t="s">
        <v>5144</v>
      </c>
      <c r="AQ204" t="s">
        <v>74</v>
      </c>
      <c r="AR204" t="s">
        <v>74</v>
      </c>
      <c r="AS204" t="s">
        <v>74</v>
      </c>
      <c r="AT204" t="s">
        <v>335</v>
      </c>
      <c r="AU204">
        <v>1999</v>
      </c>
      <c r="AV204">
        <v>47</v>
      </c>
      <c r="AW204">
        <v>2</v>
      </c>
      <c r="AX204" t="s">
        <v>74</v>
      </c>
      <c r="AY204" t="s">
        <v>74</v>
      </c>
      <c r="AZ204" t="s">
        <v>74</v>
      </c>
      <c r="BA204" t="s">
        <v>74</v>
      </c>
      <c r="BB204">
        <v>93</v>
      </c>
      <c r="BC204">
        <v>105</v>
      </c>
      <c r="BD204" t="s">
        <v>74</v>
      </c>
      <c r="BE204" t="s">
        <v>6263</v>
      </c>
      <c r="BF204" t="str">
        <f>HYPERLINK("http://dx.doi.org/10.1016/S0166-445X(99)00012-0","http://dx.doi.org/10.1016/S0166-445X(99)00012-0")</f>
        <v>http://dx.doi.org/10.1016/S0166-445X(99)00012-0</v>
      </c>
      <c r="BG204" t="s">
        <v>74</v>
      </c>
      <c r="BH204" t="s">
        <v>74</v>
      </c>
      <c r="BI204" t="s">
        <v>74</v>
      </c>
      <c r="BJ204" t="s">
        <v>74</v>
      </c>
      <c r="BK204" t="s">
        <v>74</v>
      </c>
      <c r="BL204" t="s">
        <v>74</v>
      </c>
      <c r="BM204" t="s">
        <v>74</v>
      </c>
      <c r="BN204" t="s">
        <v>74</v>
      </c>
      <c r="BO204" t="s">
        <v>74</v>
      </c>
      <c r="BP204" t="s">
        <v>74</v>
      </c>
      <c r="BQ204" t="s">
        <v>74</v>
      </c>
      <c r="BR204" t="s">
        <v>74</v>
      </c>
      <c r="BS204" t="s">
        <v>6264</v>
      </c>
      <c r="BT204" t="str">
        <f>HYPERLINK("https%3A%2F%2Fwww.webofscience.com%2Fwos%2Fwoscc%2Ffull-record%2FWOS:000083718700002","View Full Record in Web of Science")</f>
        <v>View Full Record in Web of Science</v>
      </c>
    </row>
    <row r="205" spans="1:72" x14ac:dyDescent="0.2">
      <c r="A205" t="s">
        <v>72</v>
      </c>
      <c r="B205" t="s">
        <v>6269</v>
      </c>
      <c r="C205" t="s">
        <v>74</v>
      </c>
      <c r="D205" t="s">
        <v>74</v>
      </c>
      <c r="E205" t="s">
        <v>74</v>
      </c>
      <c r="F205" t="s">
        <v>6269</v>
      </c>
      <c r="G205" t="s">
        <v>74</v>
      </c>
      <c r="H205" t="s">
        <v>74</v>
      </c>
      <c r="I205" t="s">
        <v>6270</v>
      </c>
      <c r="J205" t="s">
        <v>180</v>
      </c>
      <c r="K205" t="s">
        <v>74</v>
      </c>
      <c r="L205" t="s">
        <v>74</v>
      </c>
      <c r="M205" t="s">
        <v>74</v>
      </c>
      <c r="N205" t="s">
        <v>74</v>
      </c>
      <c r="O205" t="s">
        <v>74</v>
      </c>
      <c r="P205" t="s">
        <v>74</v>
      </c>
      <c r="Q205" t="s">
        <v>74</v>
      </c>
      <c r="R205" t="s">
        <v>74</v>
      </c>
      <c r="S205" t="s">
        <v>74</v>
      </c>
      <c r="T205" t="s">
        <v>74</v>
      </c>
      <c r="U205" t="s">
        <v>74</v>
      </c>
      <c r="V205" t="s">
        <v>74</v>
      </c>
      <c r="W205" t="s">
        <v>74</v>
      </c>
      <c r="X205" t="s">
        <v>74</v>
      </c>
      <c r="Y205" t="s">
        <v>74</v>
      </c>
      <c r="Z205" t="s">
        <v>74</v>
      </c>
      <c r="AA205" t="s">
        <v>6271</v>
      </c>
      <c r="AB205" t="s">
        <v>6272</v>
      </c>
      <c r="AC205" t="s">
        <v>74</v>
      </c>
      <c r="AD205" t="s">
        <v>74</v>
      </c>
      <c r="AE205" t="s">
        <v>74</v>
      </c>
      <c r="AF205" t="s">
        <v>74</v>
      </c>
      <c r="AG205" t="s">
        <v>74</v>
      </c>
      <c r="AH205" t="s">
        <v>74</v>
      </c>
      <c r="AI205" t="s">
        <v>74</v>
      </c>
      <c r="AJ205" t="s">
        <v>74</v>
      </c>
      <c r="AK205" t="s">
        <v>74</v>
      </c>
      <c r="AL205" t="s">
        <v>74</v>
      </c>
      <c r="AM205" t="s">
        <v>74</v>
      </c>
      <c r="AN205" t="s">
        <v>74</v>
      </c>
      <c r="AO205" t="s">
        <v>182</v>
      </c>
      <c r="AP205" t="s">
        <v>183</v>
      </c>
      <c r="AQ205" t="s">
        <v>74</v>
      </c>
      <c r="AR205" t="s">
        <v>74</v>
      </c>
      <c r="AS205" t="s">
        <v>74</v>
      </c>
      <c r="AT205" t="s">
        <v>520</v>
      </c>
      <c r="AU205">
        <v>1999</v>
      </c>
      <c r="AV205">
        <v>86</v>
      </c>
      <c r="AW205">
        <v>2</v>
      </c>
      <c r="AX205" t="s">
        <v>74</v>
      </c>
      <c r="AY205" t="s">
        <v>74</v>
      </c>
      <c r="AZ205" t="s">
        <v>74</v>
      </c>
      <c r="BA205" t="s">
        <v>74</v>
      </c>
      <c r="BB205">
        <v>217</v>
      </c>
      <c r="BC205">
        <v>232</v>
      </c>
      <c r="BD205" t="s">
        <v>74</v>
      </c>
      <c r="BE205" t="s">
        <v>6273</v>
      </c>
      <c r="BF205" t="str">
        <f>HYPERLINK("http://dx.doi.org/10.2307/3546440","http://dx.doi.org/10.2307/3546440")</f>
        <v>http://dx.doi.org/10.2307/3546440</v>
      </c>
      <c r="BG205" t="s">
        <v>74</v>
      </c>
      <c r="BH205" t="s">
        <v>74</v>
      </c>
      <c r="BI205" t="s">
        <v>74</v>
      </c>
      <c r="BJ205" t="s">
        <v>74</v>
      </c>
      <c r="BK205" t="s">
        <v>74</v>
      </c>
      <c r="BL205" t="s">
        <v>74</v>
      </c>
      <c r="BM205" t="s">
        <v>74</v>
      </c>
      <c r="BN205" t="s">
        <v>74</v>
      </c>
      <c r="BO205" t="s">
        <v>74</v>
      </c>
      <c r="BP205" t="s">
        <v>74</v>
      </c>
      <c r="BQ205" t="s">
        <v>74</v>
      </c>
      <c r="BR205" t="s">
        <v>74</v>
      </c>
      <c r="BS205" t="s">
        <v>6274</v>
      </c>
      <c r="BT205" t="str">
        <f>HYPERLINK("https%3A%2F%2Fwww.webofscience.com%2Fwos%2Fwoscc%2Ffull-record%2FWOS:000082100200004","View Full Record in Web of Science")</f>
        <v>View Full Record in Web of Science</v>
      </c>
    </row>
    <row r="206" spans="1:72" x14ac:dyDescent="0.2">
      <c r="A206" t="s">
        <v>72</v>
      </c>
      <c r="B206" t="s">
        <v>6289</v>
      </c>
      <c r="C206" t="s">
        <v>74</v>
      </c>
      <c r="D206" t="s">
        <v>74</v>
      </c>
      <c r="E206" t="s">
        <v>74</v>
      </c>
      <c r="F206" t="s">
        <v>6289</v>
      </c>
      <c r="G206" t="s">
        <v>74</v>
      </c>
      <c r="H206" t="s">
        <v>74</v>
      </c>
      <c r="I206" t="s">
        <v>6290</v>
      </c>
      <c r="J206" t="s">
        <v>6291</v>
      </c>
      <c r="K206" t="s">
        <v>74</v>
      </c>
      <c r="L206" t="s">
        <v>74</v>
      </c>
      <c r="M206" t="s">
        <v>74</v>
      </c>
      <c r="N206" t="s">
        <v>74</v>
      </c>
      <c r="O206" t="s">
        <v>74</v>
      </c>
      <c r="P206" t="s">
        <v>74</v>
      </c>
      <c r="Q206" t="s">
        <v>74</v>
      </c>
      <c r="R206" t="s">
        <v>74</v>
      </c>
      <c r="S206" t="s">
        <v>74</v>
      </c>
      <c r="T206" t="s">
        <v>74</v>
      </c>
      <c r="U206" t="s">
        <v>74</v>
      </c>
      <c r="V206" t="s">
        <v>74</v>
      </c>
      <c r="W206" t="s">
        <v>74</v>
      </c>
      <c r="X206" t="s">
        <v>74</v>
      </c>
      <c r="Y206" t="s">
        <v>74</v>
      </c>
      <c r="Z206" t="s">
        <v>74</v>
      </c>
      <c r="AA206" t="s">
        <v>74</v>
      </c>
      <c r="AB206" t="s">
        <v>74</v>
      </c>
      <c r="AC206" t="s">
        <v>74</v>
      </c>
      <c r="AD206" t="s">
        <v>74</v>
      </c>
      <c r="AE206" t="s">
        <v>74</v>
      </c>
      <c r="AF206" t="s">
        <v>74</v>
      </c>
      <c r="AG206" t="s">
        <v>74</v>
      </c>
      <c r="AH206" t="s">
        <v>74</v>
      </c>
      <c r="AI206" t="s">
        <v>74</v>
      </c>
      <c r="AJ206" t="s">
        <v>74</v>
      </c>
      <c r="AK206" t="s">
        <v>74</v>
      </c>
      <c r="AL206" t="s">
        <v>74</v>
      </c>
      <c r="AM206" t="s">
        <v>74</v>
      </c>
      <c r="AN206" t="s">
        <v>74</v>
      </c>
      <c r="AO206" t="s">
        <v>6292</v>
      </c>
      <c r="AP206" t="s">
        <v>74</v>
      </c>
      <c r="AQ206" t="s">
        <v>74</v>
      </c>
      <c r="AR206" t="s">
        <v>74</v>
      </c>
      <c r="AS206" t="s">
        <v>74</v>
      </c>
      <c r="AT206" t="s">
        <v>335</v>
      </c>
      <c r="AU206">
        <v>1998</v>
      </c>
      <c r="AV206">
        <v>127</v>
      </c>
      <c r="AW206">
        <v>6</v>
      </c>
      <c r="AX206" t="s">
        <v>74</v>
      </c>
      <c r="AY206" t="s">
        <v>74</v>
      </c>
      <c r="AZ206" t="s">
        <v>74</v>
      </c>
      <c r="BA206" t="s">
        <v>74</v>
      </c>
      <c r="BB206">
        <v>1040</v>
      </c>
      <c r="BC206">
        <v>1050</v>
      </c>
      <c r="BD206" t="s">
        <v>74</v>
      </c>
      <c r="BE206" t="s">
        <v>6293</v>
      </c>
      <c r="BF206" t="str">
        <f>HYPERLINK("http://dx.doi.org/10.1577/1548-8659(1998)127&lt;1040:PSBLFA&gt;2.0.CO;2","http://dx.doi.org/10.1577/1548-8659(1998)127&lt;1040:PSBLFA&gt;2.0.CO;2")</f>
        <v>http://dx.doi.org/10.1577/1548-8659(1998)127&lt;1040:PSBLFA&gt;2.0.CO;2</v>
      </c>
      <c r="BG206" t="s">
        <v>74</v>
      </c>
      <c r="BH206" t="s">
        <v>74</v>
      </c>
      <c r="BI206" t="s">
        <v>74</v>
      </c>
      <c r="BJ206" t="s">
        <v>74</v>
      </c>
      <c r="BK206" t="s">
        <v>74</v>
      </c>
      <c r="BL206" t="s">
        <v>74</v>
      </c>
      <c r="BM206" t="s">
        <v>74</v>
      </c>
      <c r="BN206" t="s">
        <v>74</v>
      </c>
      <c r="BO206" t="s">
        <v>74</v>
      </c>
      <c r="BP206" t="s">
        <v>74</v>
      </c>
      <c r="BQ206" t="s">
        <v>74</v>
      </c>
      <c r="BR206" t="s">
        <v>74</v>
      </c>
      <c r="BS206" t="s">
        <v>6294</v>
      </c>
      <c r="BT206" t="str">
        <f>HYPERLINK("https%3A%2F%2Fwww.webofscience.com%2Fwos%2Fwoscc%2Ffull-record%2FWOS:000078728600014","View Full Record in Web of Science")</f>
        <v>View Full Record in Web of Science</v>
      </c>
    </row>
    <row r="207" spans="1:72" x14ac:dyDescent="0.2">
      <c r="A207" t="s">
        <v>72</v>
      </c>
      <c r="B207" t="s">
        <v>6298</v>
      </c>
      <c r="C207" t="s">
        <v>74</v>
      </c>
      <c r="D207" t="s">
        <v>74</v>
      </c>
      <c r="E207" t="s">
        <v>74</v>
      </c>
      <c r="F207" t="s">
        <v>6298</v>
      </c>
      <c r="G207" t="s">
        <v>74</v>
      </c>
      <c r="H207" t="s">
        <v>74</v>
      </c>
      <c r="I207" t="s">
        <v>6299</v>
      </c>
      <c r="J207" t="s">
        <v>227</v>
      </c>
      <c r="K207" t="s">
        <v>74</v>
      </c>
      <c r="L207" t="s">
        <v>74</v>
      </c>
      <c r="M207" t="s">
        <v>74</v>
      </c>
      <c r="N207" t="s">
        <v>74</v>
      </c>
      <c r="O207" t="s">
        <v>74</v>
      </c>
      <c r="P207" t="s">
        <v>74</v>
      </c>
      <c r="Q207" t="s">
        <v>74</v>
      </c>
      <c r="R207" t="s">
        <v>74</v>
      </c>
      <c r="S207" t="s">
        <v>74</v>
      </c>
      <c r="T207" t="s">
        <v>74</v>
      </c>
      <c r="U207" t="s">
        <v>74</v>
      </c>
      <c r="V207" t="s">
        <v>74</v>
      </c>
      <c r="W207" t="s">
        <v>74</v>
      </c>
      <c r="X207" t="s">
        <v>74</v>
      </c>
      <c r="Y207" t="s">
        <v>74</v>
      </c>
      <c r="Z207" t="s">
        <v>74</v>
      </c>
      <c r="AA207" t="s">
        <v>6300</v>
      </c>
      <c r="AB207" t="s">
        <v>3975</v>
      </c>
      <c r="AC207" t="s">
        <v>74</v>
      </c>
      <c r="AD207" t="s">
        <v>74</v>
      </c>
      <c r="AE207" t="s">
        <v>74</v>
      </c>
      <c r="AF207" t="s">
        <v>74</v>
      </c>
      <c r="AG207" t="s">
        <v>74</v>
      </c>
      <c r="AH207" t="s">
        <v>74</v>
      </c>
      <c r="AI207" t="s">
        <v>74</v>
      </c>
      <c r="AJ207" t="s">
        <v>74</v>
      </c>
      <c r="AK207" t="s">
        <v>74</v>
      </c>
      <c r="AL207" t="s">
        <v>74</v>
      </c>
      <c r="AM207" t="s">
        <v>74</v>
      </c>
      <c r="AN207" t="s">
        <v>74</v>
      </c>
      <c r="AO207" t="s">
        <v>230</v>
      </c>
      <c r="AP207" t="s">
        <v>74</v>
      </c>
      <c r="AQ207" t="s">
        <v>74</v>
      </c>
      <c r="AR207" t="s">
        <v>74</v>
      </c>
      <c r="AS207" t="s">
        <v>74</v>
      </c>
      <c r="AT207" t="s">
        <v>451</v>
      </c>
      <c r="AU207">
        <v>1998</v>
      </c>
      <c r="AV207">
        <v>43</v>
      </c>
      <c r="AW207">
        <v>6</v>
      </c>
      <c r="AX207" t="s">
        <v>74</v>
      </c>
      <c r="AY207" t="s">
        <v>74</v>
      </c>
      <c r="AZ207" t="s">
        <v>74</v>
      </c>
      <c r="BA207" t="s">
        <v>74</v>
      </c>
      <c r="BB207">
        <v>1362</v>
      </c>
      <c r="BC207">
        <v>1368</v>
      </c>
      <c r="BD207" t="s">
        <v>74</v>
      </c>
      <c r="BE207" t="s">
        <v>6301</v>
      </c>
      <c r="BF207" t="str">
        <f>HYPERLINK("http://dx.doi.org/10.4319/lo.1998.43.6.1362","http://dx.doi.org/10.4319/lo.1998.43.6.1362")</f>
        <v>http://dx.doi.org/10.4319/lo.1998.43.6.1362</v>
      </c>
      <c r="BG207" t="s">
        <v>74</v>
      </c>
      <c r="BH207" t="s">
        <v>74</v>
      </c>
      <c r="BI207" t="s">
        <v>74</v>
      </c>
      <c r="BJ207" t="s">
        <v>74</v>
      </c>
      <c r="BK207" t="s">
        <v>74</v>
      </c>
      <c r="BL207" t="s">
        <v>74</v>
      </c>
      <c r="BM207" t="s">
        <v>74</v>
      </c>
      <c r="BN207" t="s">
        <v>74</v>
      </c>
      <c r="BO207" t="s">
        <v>74</v>
      </c>
      <c r="BP207" t="s">
        <v>74</v>
      </c>
      <c r="BQ207" t="s">
        <v>74</v>
      </c>
      <c r="BR207" t="s">
        <v>74</v>
      </c>
      <c r="BS207" t="s">
        <v>6302</v>
      </c>
      <c r="BT207" t="str">
        <f>HYPERLINK("https%3A%2F%2Fwww.webofscience.com%2Fwos%2Fwoscc%2Ffull-record%2FWOS:000076791700029","View Full Record in Web of Science")</f>
        <v>View Full Record in Web of Science</v>
      </c>
    </row>
    <row r="208" spans="1:72" x14ac:dyDescent="0.2">
      <c r="A208" t="s">
        <v>72</v>
      </c>
      <c r="B208" t="s">
        <v>6303</v>
      </c>
      <c r="C208" t="s">
        <v>74</v>
      </c>
      <c r="D208" t="s">
        <v>74</v>
      </c>
      <c r="E208" t="s">
        <v>74</v>
      </c>
      <c r="F208" t="s">
        <v>6303</v>
      </c>
      <c r="G208" t="s">
        <v>74</v>
      </c>
      <c r="H208" t="s">
        <v>74</v>
      </c>
      <c r="I208" t="s">
        <v>6304</v>
      </c>
      <c r="J208" t="s">
        <v>1523</v>
      </c>
      <c r="K208" t="s">
        <v>74</v>
      </c>
      <c r="L208" t="s">
        <v>74</v>
      </c>
      <c r="M208" t="s">
        <v>74</v>
      </c>
      <c r="N208" t="s">
        <v>74</v>
      </c>
      <c r="O208" t="s">
        <v>74</v>
      </c>
      <c r="P208" t="s">
        <v>74</v>
      </c>
      <c r="Q208" t="s">
        <v>74</v>
      </c>
      <c r="R208" t="s">
        <v>74</v>
      </c>
      <c r="S208" t="s">
        <v>74</v>
      </c>
      <c r="T208" t="s">
        <v>74</v>
      </c>
      <c r="U208" t="s">
        <v>74</v>
      </c>
      <c r="V208" t="s">
        <v>74</v>
      </c>
      <c r="W208" t="s">
        <v>74</v>
      </c>
      <c r="X208" t="s">
        <v>74</v>
      </c>
      <c r="Y208" t="s">
        <v>74</v>
      </c>
      <c r="Z208" t="s">
        <v>74</v>
      </c>
      <c r="AA208" t="s">
        <v>74</v>
      </c>
      <c r="AB208" t="s">
        <v>74</v>
      </c>
      <c r="AC208" t="s">
        <v>74</v>
      </c>
      <c r="AD208" t="s">
        <v>74</v>
      </c>
      <c r="AE208" t="s">
        <v>74</v>
      </c>
      <c r="AF208" t="s">
        <v>74</v>
      </c>
      <c r="AG208" t="s">
        <v>74</v>
      </c>
      <c r="AH208" t="s">
        <v>74</v>
      </c>
      <c r="AI208" t="s">
        <v>74</v>
      </c>
      <c r="AJ208" t="s">
        <v>74</v>
      </c>
      <c r="AK208" t="s">
        <v>74</v>
      </c>
      <c r="AL208" t="s">
        <v>74</v>
      </c>
      <c r="AM208" t="s">
        <v>74</v>
      </c>
      <c r="AN208" t="s">
        <v>74</v>
      </c>
      <c r="AO208" t="s">
        <v>1524</v>
      </c>
      <c r="AP208" t="s">
        <v>1525</v>
      </c>
      <c r="AQ208" t="s">
        <v>74</v>
      </c>
      <c r="AR208" t="s">
        <v>74</v>
      </c>
      <c r="AS208" t="s">
        <v>74</v>
      </c>
      <c r="AT208" t="s">
        <v>451</v>
      </c>
      <c r="AU208">
        <v>1998</v>
      </c>
      <c r="AV208">
        <v>79</v>
      </c>
      <c r="AW208">
        <v>6</v>
      </c>
      <c r="AX208" t="s">
        <v>74</v>
      </c>
      <c r="AY208" t="s">
        <v>74</v>
      </c>
      <c r="AZ208" t="s">
        <v>74</v>
      </c>
      <c r="BA208" t="s">
        <v>74</v>
      </c>
      <c r="BB208">
        <v>1980</v>
      </c>
      <c r="BC208">
        <v>1994</v>
      </c>
      <c r="BD208" t="s">
        <v>74</v>
      </c>
      <c r="BE208" t="s">
        <v>74</v>
      </c>
      <c r="BF208" t="s">
        <v>74</v>
      </c>
      <c r="BG208" t="s">
        <v>74</v>
      </c>
      <c r="BH208" t="s">
        <v>74</v>
      </c>
      <c r="BI208" t="s">
        <v>74</v>
      </c>
      <c r="BJ208" t="s">
        <v>74</v>
      </c>
      <c r="BK208" t="s">
        <v>74</v>
      </c>
      <c r="BL208" t="s">
        <v>74</v>
      </c>
      <c r="BM208" t="s">
        <v>74</v>
      </c>
      <c r="BN208" t="s">
        <v>74</v>
      </c>
      <c r="BO208" t="s">
        <v>74</v>
      </c>
      <c r="BP208" t="s">
        <v>74</v>
      </c>
      <c r="BQ208" t="s">
        <v>74</v>
      </c>
      <c r="BR208" t="s">
        <v>74</v>
      </c>
      <c r="BS208" t="s">
        <v>6305</v>
      </c>
      <c r="BT208" t="str">
        <f>HYPERLINK("https%3A%2F%2Fwww.webofscience.com%2Fwos%2Fwoscc%2Ffull-record%2FWOS:000075752700011","View Full Record in Web of Science")</f>
        <v>View Full Record in Web of Science</v>
      </c>
    </row>
    <row r="209" spans="1:72" x14ac:dyDescent="0.2">
      <c r="A209" t="s">
        <v>72</v>
      </c>
      <c r="B209" t="s">
        <v>6323</v>
      </c>
      <c r="C209" t="s">
        <v>74</v>
      </c>
      <c r="D209" t="s">
        <v>74</v>
      </c>
      <c r="E209" t="s">
        <v>74</v>
      </c>
      <c r="F209" t="s">
        <v>6323</v>
      </c>
      <c r="G209" t="s">
        <v>74</v>
      </c>
      <c r="H209" t="s">
        <v>74</v>
      </c>
      <c r="I209" t="s">
        <v>6324</v>
      </c>
      <c r="J209" t="s">
        <v>106</v>
      </c>
      <c r="K209" t="s">
        <v>74</v>
      </c>
      <c r="L209" t="s">
        <v>74</v>
      </c>
      <c r="M209" t="s">
        <v>74</v>
      </c>
      <c r="N209" t="s">
        <v>74</v>
      </c>
      <c r="O209" t="s">
        <v>74</v>
      </c>
      <c r="P209" t="s">
        <v>74</v>
      </c>
      <c r="Q209" t="s">
        <v>74</v>
      </c>
      <c r="R209" t="s">
        <v>74</v>
      </c>
      <c r="S209" t="s">
        <v>74</v>
      </c>
      <c r="T209" t="s">
        <v>74</v>
      </c>
      <c r="U209" t="s">
        <v>74</v>
      </c>
      <c r="V209" t="s">
        <v>74</v>
      </c>
      <c r="W209" t="s">
        <v>74</v>
      </c>
      <c r="X209" t="s">
        <v>74</v>
      </c>
      <c r="Y209" t="s">
        <v>74</v>
      </c>
      <c r="Z209" t="s">
        <v>74</v>
      </c>
      <c r="AA209" t="s">
        <v>6325</v>
      </c>
      <c r="AB209" t="s">
        <v>6326</v>
      </c>
      <c r="AC209" t="s">
        <v>74</v>
      </c>
      <c r="AD209" t="s">
        <v>74</v>
      </c>
      <c r="AE209" t="s">
        <v>74</v>
      </c>
      <c r="AF209" t="s">
        <v>74</v>
      </c>
      <c r="AG209" t="s">
        <v>74</v>
      </c>
      <c r="AH209" t="s">
        <v>74</v>
      </c>
      <c r="AI209" t="s">
        <v>74</v>
      </c>
      <c r="AJ209" t="s">
        <v>74</v>
      </c>
      <c r="AK209" t="s">
        <v>74</v>
      </c>
      <c r="AL209" t="s">
        <v>74</v>
      </c>
      <c r="AM209" t="s">
        <v>74</v>
      </c>
      <c r="AN209" t="s">
        <v>74</v>
      </c>
      <c r="AO209" t="s">
        <v>107</v>
      </c>
      <c r="AP209" t="s">
        <v>108</v>
      </c>
      <c r="AQ209" t="s">
        <v>74</v>
      </c>
      <c r="AR209" t="s">
        <v>74</v>
      </c>
      <c r="AS209" t="s">
        <v>74</v>
      </c>
      <c r="AT209" t="s">
        <v>575</v>
      </c>
      <c r="AU209">
        <v>1998</v>
      </c>
      <c r="AV209">
        <v>20</v>
      </c>
      <c r="AW209">
        <v>5</v>
      </c>
      <c r="AX209" t="s">
        <v>74</v>
      </c>
      <c r="AY209" t="s">
        <v>74</v>
      </c>
      <c r="AZ209" t="s">
        <v>74</v>
      </c>
      <c r="BA209" t="s">
        <v>74</v>
      </c>
      <c r="BB209">
        <v>887</v>
      </c>
      <c r="BC209">
        <v>900</v>
      </c>
      <c r="BD209" t="s">
        <v>74</v>
      </c>
      <c r="BE209" t="s">
        <v>6327</v>
      </c>
      <c r="BF209" t="str">
        <f>HYPERLINK("http://dx.doi.org/10.1093/plankt/20.5.887","http://dx.doi.org/10.1093/plankt/20.5.887")</f>
        <v>http://dx.doi.org/10.1093/plankt/20.5.887</v>
      </c>
      <c r="BG209" t="s">
        <v>74</v>
      </c>
      <c r="BH209" t="s">
        <v>74</v>
      </c>
      <c r="BI209" t="s">
        <v>74</v>
      </c>
      <c r="BJ209" t="s">
        <v>74</v>
      </c>
      <c r="BK209" t="s">
        <v>74</v>
      </c>
      <c r="BL209" t="s">
        <v>74</v>
      </c>
      <c r="BM209" t="s">
        <v>74</v>
      </c>
      <c r="BN209" t="s">
        <v>74</v>
      </c>
      <c r="BO209" t="s">
        <v>74</v>
      </c>
      <c r="BP209" t="s">
        <v>74</v>
      </c>
      <c r="BQ209" t="s">
        <v>74</v>
      </c>
      <c r="BR209" t="s">
        <v>74</v>
      </c>
      <c r="BS209" t="s">
        <v>6328</v>
      </c>
      <c r="BT209" t="str">
        <f>HYPERLINK("https%3A%2F%2Fwww.webofscience.com%2Fwos%2Fwoscc%2Ffull-record%2FWOS:000074194600006","View Full Record in Web of Science")</f>
        <v>View Full Record in Web of Science</v>
      </c>
    </row>
    <row r="210" spans="1:72" x14ac:dyDescent="0.2">
      <c r="A210" t="s">
        <v>72</v>
      </c>
      <c r="B210" t="s">
        <v>6419</v>
      </c>
      <c r="C210" t="s">
        <v>74</v>
      </c>
      <c r="D210" t="s">
        <v>74</v>
      </c>
      <c r="E210" t="s">
        <v>74</v>
      </c>
      <c r="F210" t="s">
        <v>6419</v>
      </c>
      <c r="G210" t="s">
        <v>74</v>
      </c>
      <c r="H210" t="s">
        <v>74</v>
      </c>
      <c r="I210" t="s">
        <v>6420</v>
      </c>
      <c r="J210" t="s">
        <v>2759</v>
      </c>
      <c r="K210" t="s">
        <v>74</v>
      </c>
      <c r="L210" t="s">
        <v>74</v>
      </c>
      <c r="M210" t="s">
        <v>74</v>
      </c>
      <c r="N210" t="s">
        <v>74</v>
      </c>
      <c r="O210" t="s">
        <v>74</v>
      </c>
      <c r="P210" t="s">
        <v>74</v>
      </c>
      <c r="Q210" t="s">
        <v>74</v>
      </c>
      <c r="R210" t="s">
        <v>74</v>
      </c>
      <c r="S210" t="s">
        <v>74</v>
      </c>
      <c r="T210" t="s">
        <v>74</v>
      </c>
      <c r="U210" t="s">
        <v>74</v>
      </c>
      <c r="V210" t="s">
        <v>74</v>
      </c>
      <c r="W210" t="s">
        <v>74</v>
      </c>
      <c r="X210" t="s">
        <v>74</v>
      </c>
      <c r="Y210" t="s">
        <v>74</v>
      </c>
      <c r="Z210" t="s">
        <v>74</v>
      </c>
      <c r="AA210" t="s">
        <v>6421</v>
      </c>
      <c r="AB210" t="s">
        <v>6422</v>
      </c>
      <c r="AC210" t="s">
        <v>74</v>
      </c>
      <c r="AD210" t="s">
        <v>74</v>
      </c>
      <c r="AE210" t="s">
        <v>74</v>
      </c>
      <c r="AF210" t="s">
        <v>74</v>
      </c>
      <c r="AG210" t="s">
        <v>74</v>
      </c>
      <c r="AH210" t="s">
        <v>74</v>
      </c>
      <c r="AI210" t="s">
        <v>74</v>
      </c>
      <c r="AJ210" t="s">
        <v>74</v>
      </c>
      <c r="AK210" t="s">
        <v>74</v>
      </c>
      <c r="AL210" t="s">
        <v>74</v>
      </c>
      <c r="AM210" t="s">
        <v>74</v>
      </c>
      <c r="AN210" t="s">
        <v>74</v>
      </c>
      <c r="AO210" t="s">
        <v>2762</v>
      </c>
      <c r="AP210" t="s">
        <v>74</v>
      </c>
      <c r="AQ210" t="s">
        <v>74</v>
      </c>
      <c r="AR210" t="s">
        <v>74</v>
      </c>
      <c r="AS210" t="s">
        <v>74</v>
      </c>
      <c r="AT210" t="s">
        <v>157</v>
      </c>
      <c r="AU210">
        <v>1997</v>
      </c>
      <c r="AV210">
        <v>66</v>
      </c>
      <c r="AW210">
        <v>2</v>
      </c>
      <c r="AX210" t="s">
        <v>74</v>
      </c>
      <c r="AY210" t="s">
        <v>74</v>
      </c>
      <c r="AZ210" t="s">
        <v>74</v>
      </c>
      <c r="BA210" t="s">
        <v>74</v>
      </c>
      <c r="BB210">
        <v>212</v>
      </c>
      <c r="BC210">
        <v>222</v>
      </c>
      <c r="BD210" t="s">
        <v>74</v>
      </c>
      <c r="BE210" t="s">
        <v>6423</v>
      </c>
      <c r="BF210" t="str">
        <f>HYPERLINK("http://dx.doi.org/10.2307/6023","http://dx.doi.org/10.2307/6023")</f>
        <v>http://dx.doi.org/10.2307/6023</v>
      </c>
      <c r="BG210" t="s">
        <v>74</v>
      </c>
      <c r="BH210" t="s">
        <v>74</v>
      </c>
      <c r="BI210" t="s">
        <v>74</v>
      </c>
      <c r="BJ210" t="s">
        <v>74</v>
      </c>
      <c r="BK210" t="s">
        <v>74</v>
      </c>
      <c r="BL210" t="s">
        <v>74</v>
      </c>
      <c r="BM210" t="s">
        <v>74</v>
      </c>
      <c r="BN210" t="s">
        <v>74</v>
      </c>
      <c r="BO210" t="s">
        <v>74</v>
      </c>
      <c r="BP210" t="s">
        <v>74</v>
      </c>
      <c r="BQ210" t="s">
        <v>74</v>
      </c>
      <c r="BR210" t="s">
        <v>74</v>
      </c>
      <c r="BS210" t="s">
        <v>6424</v>
      </c>
      <c r="BT210" t="str">
        <f>HYPERLINK("https%3A%2F%2Fwww.webofscience.com%2Fwos%2Fwoscc%2Ffull-record%2FWOS:A1997WQ19600007","View Full Record in Web of Science")</f>
        <v>View Full Record in Web of Science</v>
      </c>
    </row>
    <row r="211" spans="1:72" x14ac:dyDescent="0.2">
      <c r="A211" t="s">
        <v>72</v>
      </c>
      <c r="B211" t="s">
        <v>6431</v>
      </c>
      <c r="C211" t="s">
        <v>74</v>
      </c>
      <c r="D211" t="s">
        <v>74</v>
      </c>
      <c r="E211" t="s">
        <v>74</v>
      </c>
      <c r="F211" t="s">
        <v>6431</v>
      </c>
      <c r="G211" t="s">
        <v>74</v>
      </c>
      <c r="H211" t="s">
        <v>74</v>
      </c>
      <c r="I211" t="s">
        <v>6432</v>
      </c>
      <c r="J211" t="s">
        <v>124</v>
      </c>
      <c r="K211" t="s">
        <v>74</v>
      </c>
      <c r="L211" t="s">
        <v>74</v>
      </c>
      <c r="M211" t="s">
        <v>74</v>
      </c>
      <c r="N211" t="s">
        <v>74</v>
      </c>
      <c r="O211" t="s">
        <v>74</v>
      </c>
      <c r="P211" t="s">
        <v>74</v>
      </c>
      <c r="Q211" t="s">
        <v>74</v>
      </c>
      <c r="R211" t="s">
        <v>74</v>
      </c>
      <c r="S211" t="s">
        <v>74</v>
      </c>
      <c r="T211" t="s">
        <v>74</v>
      </c>
      <c r="U211" t="s">
        <v>74</v>
      </c>
      <c r="V211" t="s">
        <v>74</v>
      </c>
      <c r="W211" t="s">
        <v>74</v>
      </c>
      <c r="X211" t="s">
        <v>74</v>
      </c>
      <c r="Y211" t="s">
        <v>74</v>
      </c>
      <c r="Z211" t="s">
        <v>74</v>
      </c>
      <c r="AA211" t="s">
        <v>6433</v>
      </c>
      <c r="AB211" t="s">
        <v>6434</v>
      </c>
      <c r="AC211" t="s">
        <v>74</v>
      </c>
      <c r="AD211" t="s">
        <v>74</v>
      </c>
      <c r="AE211" t="s">
        <v>74</v>
      </c>
      <c r="AF211" t="s">
        <v>74</v>
      </c>
      <c r="AG211" t="s">
        <v>74</v>
      </c>
      <c r="AH211" t="s">
        <v>74</v>
      </c>
      <c r="AI211" t="s">
        <v>74</v>
      </c>
      <c r="AJ211" t="s">
        <v>74</v>
      </c>
      <c r="AK211" t="s">
        <v>74</v>
      </c>
      <c r="AL211" t="s">
        <v>74</v>
      </c>
      <c r="AM211" t="s">
        <v>74</v>
      </c>
      <c r="AN211" t="s">
        <v>74</v>
      </c>
      <c r="AO211" t="s">
        <v>127</v>
      </c>
      <c r="AP211" t="s">
        <v>74</v>
      </c>
      <c r="AQ211" t="s">
        <v>74</v>
      </c>
      <c r="AR211" t="s">
        <v>74</v>
      </c>
      <c r="AS211" t="s">
        <v>74</v>
      </c>
      <c r="AT211" t="s">
        <v>6435</v>
      </c>
      <c r="AU211">
        <v>1996</v>
      </c>
      <c r="AV211">
        <v>341</v>
      </c>
      <c r="AW211">
        <v>3</v>
      </c>
      <c r="AX211" t="s">
        <v>74</v>
      </c>
      <c r="AY211" t="s">
        <v>74</v>
      </c>
      <c r="AZ211" t="s">
        <v>74</v>
      </c>
      <c r="BA211" t="s">
        <v>74</v>
      </c>
      <c r="BB211">
        <v>235</v>
      </c>
      <c r="BC211">
        <v>245</v>
      </c>
      <c r="BD211" t="s">
        <v>74</v>
      </c>
      <c r="BE211" t="s">
        <v>6436</v>
      </c>
      <c r="BF211" t="str">
        <f>HYPERLINK("http://dx.doi.org/10.1007/BF00014688","http://dx.doi.org/10.1007/BF00014688")</f>
        <v>http://dx.doi.org/10.1007/BF00014688</v>
      </c>
      <c r="BG211" t="s">
        <v>74</v>
      </c>
      <c r="BH211" t="s">
        <v>74</v>
      </c>
      <c r="BI211" t="s">
        <v>74</v>
      </c>
      <c r="BJ211" t="s">
        <v>74</v>
      </c>
      <c r="BK211" t="s">
        <v>74</v>
      </c>
      <c r="BL211" t="s">
        <v>74</v>
      </c>
      <c r="BM211" t="s">
        <v>74</v>
      </c>
      <c r="BN211" t="s">
        <v>74</v>
      </c>
      <c r="BO211" t="s">
        <v>74</v>
      </c>
      <c r="BP211" t="s">
        <v>74</v>
      </c>
      <c r="BQ211" t="s">
        <v>74</v>
      </c>
      <c r="BR211" t="s">
        <v>74</v>
      </c>
      <c r="BS211" t="s">
        <v>6437</v>
      </c>
      <c r="BT211" t="str">
        <f>HYPERLINK("https%3A%2F%2Fwww.webofscience.com%2Fwos%2Fwoscc%2Ffull-record%2FWOS:A1996WT11300005","View Full Record in Web of Science")</f>
        <v>View Full Record in Web of Science</v>
      </c>
    </row>
    <row r="212" spans="1:72" x14ac:dyDescent="0.2">
      <c r="A212" t="s">
        <v>72</v>
      </c>
      <c r="B212" t="s">
        <v>6446</v>
      </c>
      <c r="C212" t="s">
        <v>74</v>
      </c>
      <c r="D212" t="s">
        <v>74</v>
      </c>
      <c r="E212" t="s">
        <v>74</v>
      </c>
      <c r="F212" t="s">
        <v>6446</v>
      </c>
      <c r="G212" t="s">
        <v>74</v>
      </c>
      <c r="H212" t="s">
        <v>74</v>
      </c>
      <c r="I212" t="s">
        <v>6447</v>
      </c>
      <c r="J212" t="s">
        <v>106</v>
      </c>
      <c r="K212" t="s">
        <v>74</v>
      </c>
      <c r="L212" t="s">
        <v>74</v>
      </c>
      <c r="M212" t="s">
        <v>74</v>
      </c>
      <c r="N212" t="s">
        <v>74</v>
      </c>
      <c r="O212" t="s">
        <v>74</v>
      </c>
      <c r="P212" t="s">
        <v>74</v>
      </c>
      <c r="Q212" t="s">
        <v>74</v>
      </c>
      <c r="R212" t="s">
        <v>74</v>
      </c>
      <c r="S212" t="s">
        <v>74</v>
      </c>
      <c r="T212" t="s">
        <v>74</v>
      </c>
      <c r="U212" t="s">
        <v>74</v>
      </c>
      <c r="V212" t="s">
        <v>74</v>
      </c>
      <c r="W212" t="s">
        <v>74</v>
      </c>
      <c r="X212" t="s">
        <v>74</v>
      </c>
      <c r="Y212" t="s">
        <v>74</v>
      </c>
      <c r="Z212" t="s">
        <v>74</v>
      </c>
      <c r="AA212" t="s">
        <v>74</v>
      </c>
      <c r="AB212" t="s">
        <v>74</v>
      </c>
      <c r="AC212" t="s">
        <v>74</v>
      </c>
      <c r="AD212" t="s">
        <v>74</v>
      </c>
      <c r="AE212" t="s">
        <v>74</v>
      </c>
      <c r="AF212" t="s">
        <v>74</v>
      </c>
      <c r="AG212" t="s">
        <v>74</v>
      </c>
      <c r="AH212" t="s">
        <v>74</v>
      </c>
      <c r="AI212" t="s">
        <v>74</v>
      </c>
      <c r="AJ212" t="s">
        <v>74</v>
      </c>
      <c r="AK212" t="s">
        <v>74</v>
      </c>
      <c r="AL212" t="s">
        <v>74</v>
      </c>
      <c r="AM212" t="s">
        <v>74</v>
      </c>
      <c r="AN212" t="s">
        <v>74</v>
      </c>
      <c r="AO212" t="s">
        <v>107</v>
      </c>
      <c r="AP212" t="s">
        <v>74</v>
      </c>
      <c r="AQ212" t="s">
        <v>74</v>
      </c>
      <c r="AR212" t="s">
        <v>74</v>
      </c>
      <c r="AS212" t="s">
        <v>74</v>
      </c>
      <c r="AT212" t="s">
        <v>335</v>
      </c>
      <c r="AU212">
        <v>1996</v>
      </c>
      <c r="AV212">
        <v>18</v>
      </c>
      <c r="AW212">
        <v>11</v>
      </c>
      <c r="AX212" t="s">
        <v>74</v>
      </c>
      <c r="AY212" t="s">
        <v>74</v>
      </c>
      <c r="AZ212" t="s">
        <v>74</v>
      </c>
      <c r="BA212" t="s">
        <v>74</v>
      </c>
      <c r="BB212">
        <v>2179</v>
      </c>
      <c r="BC212">
        <v>2196</v>
      </c>
      <c r="BD212" t="s">
        <v>74</v>
      </c>
      <c r="BE212" t="s">
        <v>6448</v>
      </c>
      <c r="BF212" t="str">
        <f>HYPERLINK("http://dx.doi.org/10.1093/plankt/18.11.2179","http://dx.doi.org/10.1093/plankt/18.11.2179")</f>
        <v>http://dx.doi.org/10.1093/plankt/18.11.2179</v>
      </c>
      <c r="BG212" t="s">
        <v>74</v>
      </c>
      <c r="BH212" t="s">
        <v>74</v>
      </c>
      <c r="BI212" t="s">
        <v>74</v>
      </c>
      <c r="BJ212" t="s">
        <v>74</v>
      </c>
      <c r="BK212" t="s">
        <v>74</v>
      </c>
      <c r="BL212" t="s">
        <v>74</v>
      </c>
      <c r="BM212" t="s">
        <v>74</v>
      </c>
      <c r="BN212" t="s">
        <v>74</v>
      </c>
      <c r="BO212" t="s">
        <v>74</v>
      </c>
      <c r="BP212" t="s">
        <v>74</v>
      </c>
      <c r="BQ212" t="s">
        <v>74</v>
      </c>
      <c r="BR212" t="s">
        <v>74</v>
      </c>
      <c r="BS212" t="s">
        <v>6449</v>
      </c>
      <c r="BT212" t="str">
        <f>HYPERLINK("https%3A%2F%2Fwww.webofscience.com%2Fwos%2Fwoscc%2Ffull-record%2FWOS:A1996VX63700011","View Full Record in Web of Science")</f>
        <v>View Full Record in Web of Science</v>
      </c>
    </row>
    <row r="213" spans="1:72" x14ac:dyDescent="0.2">
      <c r="A213" t="s">
        <v>72</v>
      </c>
      <c r="B213" t="s">
        <v>6639</v>
      </c>
      <c r="C213" t="s">
        <v>74</v>
      </c>
      <c r="D213" t="s">
        <v>74</v>
      </c>
      <c r="E213" t="s">
        <v>74</v>
      </c>
      <c r="F213" t="s">
        <v>6639</v>
      </c>
      <c r="G213" t="s">
        <v>74</v>
      </c>
      <c r="H213" t="s">
        <v>74</v>
      </c>
      <c r="I213" t="s">
        <v>6640</v>
      </c>
      <c r="J213" t="s">
        <v>1323</v>
      </c>
      <c r="K213" t="s">
        <v>74</v>
      </c>
      <c r="L213" t="s">
        <v>74</v>
      </c>
      <c r="M213" t="s">
        <v>74</v>
      </c>
      <c r="N213" t="s">
        <v>74</v>
      </c>
      <c r="O213" t="s">
        <v>74</v>
      </c>
      <c r="P213" t="s">
        <v>74</v>
      </c>
      <c r="Q213" t="s">
        <v>74</v>
      </c>
      <c r="R213" t="s">
        <v>74</v>
      </c>
      <c r="S213" t="s">
        <v>74</v>
      </c>
      <c r="T213" t="s">
        <v>74</v>
      </c>
      <c r="U213" t="s">
        <v>74</v>
      </c>
      <c r="V213" t="s">
        <v>74</v>
      </c>
      <c r="W213" t="s">
        <v>74</v>
      </c>
      <c r="X213" t="s">
        <v>74</v>
      </c>
      <c r="Y213" t="s">
        <v>74</v>
      </c>
      <c r="Z213" t="s">
        <v>74</v>
      </c>
      <c r="AA213" t="s">
        <v>6641</v>
      </c>
      <c r="AB213" t="s">
        <v>6642</v>
      </c>
      <c r="AC213" t="s">
        <v>74</v>
      </c>
      <c r="AD213" t="s">
        <v>74</v>
      </c>
      <c r="AE213" t="s">
        <v>74</v>
      </c>
      <c r="AF213" t="s">
        <v>74</v>
      </c>
      <c r="AG213" t="s">
        <v>74</v>
      </c>
      <c r="AH213" t="s">
        <v>74</v>
      </c>
      <c r="AI213" t="s">
        <v>74</v>
      </c>
      <c r="AJ213" t="s">
        <v>74</v>
      </c>
      <c r="AK213" t="s">
        <v>74</v>
      </c>
      <c r="AL213" t="s">
        <v>74</v>
      </c>
      <c r="AM213" t="s">
        <v>74</v>
      </c>
      <c r="AN213" t="s">
        <v>74</v>
      </c>
      <c r="AO213" t="s">
        <v>1326</v>
      </c>
      <c r="AP213" t="s">
        <v>74</v>
      </c>
      <c r="AQ213" t="s">
        <v>74</v>
      </c>
      <c r="AR213" t="s">
        <v>74</v>
      </c>
      <c r="AS213" t="s">
        <v>74</v>
      </c>
      <c r="AT213" t="s">
        <v>74</v>
      </c>
      <c r="AU213">
        <v>1992</v>
      </c>
      <c r="AV213">
        <v>54</v>
      </c>
      <c r="AW213" t="s">
        <v>760</v>
      </c>
      <c r="AX213" t="s">
        <v>74</v>
      </c>
      <c r="AY213" t="s">
        <v>74</v>
      </c>
      <c r="AZ213" t="s">
        <v>74</v>
      </c>
      <c r="BA213" t="s">
        <v>74</v>
      </c>
      <c r="BB213">
        <v>321</v>
      </c>
      <c r="BC213">
        <v>330</v>
      </c>
      <c r="BD213" t="s">
        <v>74</v>
      </c>
      <c r="BE213" t="s">
        <v>6643</v>
      </c>
      <c r="BF213" t="str">
        <f>HYPERLINK("http://dx.doi.org/10.1007/BF00878144","http://dx.doi.org/10.1007/BF00878144")</f>
        <v>http://dx.doi.org/10.1007/BF00878144</v>
      </c>
      <c r="BG213" t="s">
        <v>74</v>
      </c>
      <c r="BH213" t="s">
        <v>74</v>
      </c>
      <c r="BI213" t="s">
        <v>74</v>
      </c>
      <c r="BJ213" t="s">
        <v>74</v>
      </c>
      <c r="BK213" t="s">
        <v>74</v>
      </c>
      <c r="BL213" t="s">
        <v>74</v>
      </c>
      <c r="BM213" t="s">
        <v>74</v>
      </c>
      <c r="BN213" t="s">
        <v>74</v>
      </c>
      <c r="BO213" t="s">
        <v>74</v>
      </c>
      <c r="BP213" t="s">
        <v>74</v>
      </c>
      <c r="BQ213" t="s">
        <v>74</v>
      </c>
      <c r="BR213" t="s">
        <v>74</v>
      </c>
      <c r="BS213" t="s">
        <v>6644</v>
      </c>
      <c r="BT213" t="str">
        <f>HYPERLINK("https%3A%2F%2Fwww.webofscience.com%2Fwos%2Fwoscc%2Ffull-record%2FWOS:A1992KD90400010","View Full Record in Web of Science")</f>
        <v>View Full Record in Web of Science</v>
      </c>
    </row>
    <row r="214" spans="1:72" x14ac:dyDescent="0.2">
      <c r="A214" t="s">
        <v>72</v>
      </c>
      <c r="B214" t="s">
        <v>6652</v>
      </c>
      <c r="C214" t="s">
        <v>74</v>
      </c>
      <c r="D214" t="s">
        <v>74</v>
      </c>
      <c r="E214" t="s">
        <v>74</v>
      </c>
      <c r="F214" t="s">
        <v>6652</v>
      </c>
      <c r="G214" t="s">
        <v>74</v>
      </c>
      <c r="H214" t="s">
        <v>74</v>
      </c>
      <c r="I214" t="s">
        <v>6653</v>
      </c>
      <c r="J214" t="s">
        <v>106</v>
      </c>
      <c r="K214" t="s">
        <v>74</v>
      </c>
      <c r="L214" t="s">
        <v>74</v>
      </c>
      <c r="M214" t="s">
        <v>74</v>
      </c>
      <c r="N214" t="s">
        <v>74</v>
      </c>
      <c r="O214" t="s">
        <v>74</v>
      </c>
      <c r="P214" t="s">
        <v>74</v>
      </c>
      <c r="Q214" t="s">
        <v>74</v>
      </c>
      <c r="R214" t="s">
        <v>74</v>
      </c>
      <c r="S214" t="s">
        <v>74</v>
      </c>
      <c r="T214" t="s">
        <v>74</v>
      </c>
      <c r="U214" t="s">
        <v>74</v>
      </c>
      <c r="V214" t="s">
        <v>74</v>
      </c>
      <c r="W214" t="s">
        <v>74</v>
      </c>
      <c r="X214" t="s">
        <v>74</v>
      </c>
      <c r="Y214" t="s">
        <v>74</v>
      </c>
      <c r="Z214" t="s">
        <v>74</v>
      </c>
      <c r="AA214" t="s">
        <v>6654</v>
      </c>
      <c r="AB214" t="s">
        <v>6655</v>
      </c>
      <c r="AC214" t="s">
        <v>74</v>
      </c>
      <c r="AD214" t="s">
        <v>74</v>
      </c>
      <c r="AE214" t="s">
        <v>74</v>
      </c>
      <c r="AF214" t="s">
        <v>74</v>
      </c>
      <c r="AG214" t="s">
        <v>74</v>
      </c>
      <c r="AH214" t="s">
        <v>74</v>
      </c>
      <c r="AI214" t="s">
        <v>74</v>
      </c>
      <c r="AJ214" t="s">
        <v>74</v>
      </c>
      <c r="AK214" t="s">
        <v>74</v>
      </c>
      <c r="AL214" t="s">
        <v>74</v>
      </c>
      <c r="AM214" t="s">
        <v>74</v>
      </c>
      <c r="AN214" t="s">
        <v>74</v>
      </c>
      <c r="AO214" t="s">
        <v>107</v>
      </c>
      <c r="AP214" t="s">
        <v>108</v>
      </c>
      <c r="AQ214" t="s">
        <v>74</v>
      </c>
      <c r="AR214" t="s">
        <v>74</v>
      </c>
      <c r="AS214" t="s">
        <v>74</v>
      </c>
      <c r="AT214" t="s">
        <v>624</v>
      </c>
      <c r="AU214">
        <v>1991</v>
      </c>
      <c r="AV214">
        <v>13</v>
      </c>
      <c r="AW214">
        <v>4</v>
      </c>
      <c r="AX214" t="s">
        <v>74</v>
      </c>
      <c r="AY214" t="s">
        <v>74</v>
      </c>
      <c r="AZ214" t="s">
        <v>74</v>
      </c>
      <c r="BA214" t="s">
        <v>74</v>
      </c>
      <c r="BB214">
        <v>863</v>
      </c>
      <c r="BC214">
        <v>871</v>
      </c>
      <c r="BD214" t="s">
        <v>74</v>
      </c>
      <c r="BE214" t="s">
        <v>6656</v>
      </c>
      <c r="BF214" t="str">
        <f>HYPERLINK("http://dx.doi.org/10.1093/plankt/13.4.863","http://dx.doi.org/10.1093/plankt/13.4.863")</f>
        <v>http://dx.doi.org/10.1093/plankt/13.4.863</v>
      </c>
      <c r="BG214" t="s">
        <v>74</v>
      </c>
      <c r="BH214" t="s">
        <v>74</v>
      </c>
      <c r="BI214" t="s">
        <v>74</v>
      </c>
      <c r="BJ214" t="s">
        <v>74</v>
      </c>
      <c r="BK214" t="s">
        <v>74</v>
      </c>
      <c r="BL214" t="s">
        <v>74</v>
      </c>
      <c r="BM214" t="s">
        <v>74</v>
      </c>
      <c r="BN214" t="s">
        <v>74</v>
      </c>
      <c r="BO214" t="s">
        <v>74</v>
      </c>
      <c r="BP214" t="s">
        <v>74</v>
      </c>
      <c r="BQ214" t="s">
        <v>74</v>
      </c>
      <c r="BR214" t="s">
        <v>74</v>
      </c>
      <c r="BS214" t="s">
        <v>6657</v>
      </c>
      <c r="BT214" t="str">
        <f>HYPERLINK("https%3A%2F%2Fwww.webofscience.com%2Fwos%2Fwoscc%2Ffull-record%2FWOS:A1991FV24100013","View Full Record in Web of Science")</f>
        <v>View Full Record in Web of Science</v>
      </c>
    </row>
    <row r="215" spans="1:72" x14ac:dyDescent="0.2">
      <c r="A215" t="s">
        <v>72</v>
      </c>
      <c r="B215" t="s">
        <v>6685</v>
      </c>
      <c r="C215" t="s">
        <v>74</v>
      </c>
      <c r="D215" t="s">
        <v>74</v>
      </c>
      <c r="E215" t="s">
        <v>74</v>
      </c>
      <c r="F215" t="s">
        <v>6685</v>
      </c>
      <c r="G215" t="s">
        <v>74</v>
      </c>
      <c r="H215" t="s">
        <v>74</v>
      </c>
      <c r="I215" t="s">
        <v>6686</v>
      </c>
      <c r="J215" t="s">
        <v>77</v>
      </c>
      <c r="K215" t="s">
        <v>74</v>
      </c>
      <c r="L215" t="s">
        <v>74</v>
      </c>
      <c r="M215" t="s">
        <v>74</v>
      </c>
      <c r="N215" t="s">
        <v>74</v>
      </c>
      <c r="O215" t="s">
        <v>74</v>
      </c>
      <c r="P215" t="s">
        <v>74</v>
      </c>
      <c r="Q215" t="s">
        <v>74</v>
      </c>
      <c r="R215" t="s">
        <v>74</v>
      </c>
      <c r="S215" t="s">
        <v>74</v>
      </c>
      <c r="T215" t="s">
        <v>74</v>
      </c>
      <c r="U215" t="s">
        <v>74</v>
      </c>
      <c r="V215" t="s">
        <v>74</v>
      </c>
      <c r="W215" t="s">
        <v>74</v>
      </c>
      <c r="X215" t="s">
        <v>74</v>
      </c>
      <c r="Y215" t="s">
        <v>74</v>
      </c>
      <c r="Z215" t="s">
        <v>74</v>
      </c>
      <c r="AA215" t="s">
        <v>7185</v>
      </c>
      <c r="AB215" t="s">
        <v>7186</v>
      </c>
      <c r="AC215" t="s">
        <v>74</v>
      </c>
      <c r="AD215" t="s">
        <v>74</v>
      </c>
      <c r="AE215" t="s">
        <v>74</v>
      </c>
      <c r="AF215" t="s">
        <v>74</v>
      </c>
      <c r="AG215" t="s">
        <v>74</v>
      </c>
      <c r="AH215" t="s">
        <v>74</v>
      </c>
      <c r="AI215" t="s">
        <v>74</v>
      </c>
      <c r="AJ215" t="s">
        <v>74</v>
      </c>
      <c r="AK215" t="s">
        <v>74</v>
      </c>
      <c r="AL215" t="s">
        <v>74</v>
      </c>
      <c r="AM215" t="s">
        <v>74</v>
      </c>
      <c r="AN215" t="s">
        <v>74</v>
      </c>
      <c r="AO215" t="s">
        <v>80</v>
      </c>
      <c r="AP215" t="s">
        <v>74</v>
      </c>
      <c r="AQ215" t="s">
        <v>74</v>
      </c>
      <c r="AR215" t="s">
        <v>74</v>
      </c>
      <c r="AS215" t="s">
        <v>74</v>
      </c>
      <c r="AT215" t="s">
        <v>74</v>
      </c>
      <c r="AU215">
        <v>1991</v>
      </c>
      <c r="AV215">
        <v>21</v>
      </c>
      <c r="AW215">
        <v>2</v>
      </c>
      <c r="AX215" t="s">
        <v>74</v>
      </c>
      <c r="AY215" t="s">
        <v>74</v>
      </c>
      <c r="AZ215" t="s">
        <v>74</v>
      </c>
      <c r="BA215" t="s">
        <v>74</v>
      </c>
      <c r="BB215">
        <v>99</v>
      </c>
      <c r="BC215">
        <v>118</v>
      </c>
      <c r="BD215" t="s">
        <v>74</v>
      </c>
      <c r="BE215" t="s">
        <v>6687</v>
      </c>
      <c r="BF215" t="str">
        <f>HYPERLINK("http://dx.doi.org/10.1007/BF02539147","http://dx.doi.org/10.1007/BF02539147")</f>
        <v>http://dx.doi.org/10.1007/BF02539147</v>
      </c>
      <c r="BG215" t="s">
        <v>74</v>
      </c>
      <c r="BH215" t="s">
        <v>74</v>
      </c>
      <c r="BI215" t="s">
        <v>74</v>
      </c>
      <c r="BJ215" t="s">
        <v>74</v>
      </c>
      <c r="BK215" t="s">
        <v>74</v>
      </c>
      <c r="BL215" t="s">
        <v>74</v>
      </c>
      <c r="BM215" t="s">
        <v>74</v>
      </c>
      <c r="BN215">
        <v>24194204</v>
      </c>
      <c r="BO215" t="s">
        <v>74</v>
      </c>
      <c r="BP215" t="s">
        <v>74</v>
      </c>
      <c r="BQ215" t="s">
        <v>74</v>
      </c>
      <c r="BR215" t="s">
        <v>74</v>
      </c>
      <c r="BS215" t="s">
        <v>6688</v>
      </c>
      <c r="BT215" t="str">
        <f>HYPERLINK("https%3A%2F%2Fwww.webofscience.com%2Fwos%2Fwoscc%2Ffull-record%2FWOS:A1991FN75600002","View Full Record in Web of Science")</f>
        <v>View Full Record in Web of Science</v>
      </c>
    </row>
    <row r="216" spans="1:72" x14ac:dyDescent="0.2">
      <c r="A216" t="s">
        <v>72</v>
      </c>
      <c r="B216" t="s">
        <v>6704</v>
      </c>
      <c r="C216" t="s">
        <v>74</v>
      </c>
      <c r="D216" t="s">
        <v>74</v>
      </c>
      <c r="E216" t="s">
        <v>74</v>
      </c>
      <c r="F216" t="s">
        <v>6704</v>
      </c>
      <c r="G216" t="s">
        <v>74</v>
      </c>
      <c r="H216" t="s">
        <v>74</v>
      </c>
      <c r="I216" t="s">
        <v>6705</v>
      </c>
      <c r="J216" t="s">
        <v>1523</v>
      </c>
      <c r="K216" t="s">
        <v>74</v>
      </c>
      <c r="L216" t="s">
        <v>74</v>
      </c>
      <c r="M216" t="s">
        <v>74</v>
      </c>
      <c r="N216" t="s">
        <v>74</v>
      </c>
      <c r="O216" t="s">
        <v>74</v>
      </c>
      <c r="P216" t="s">
        <v>74</v>
      </c>
      <c r="Q216" t="s">
        <v>74</v>
      </c>
      <c r="R216" t="s">
        <v>74</v>
      </c>
      <c r="S216" t="s">
        <v>74</v>
      </c>
      <c r="T216" t="s">
        <v>74</v>
      </c>
      <c r="U216" t="s">
        <v>74</v>
      </c>
      <c r="V216" t="s">
        <v>74</v>
      </c>
      <c r="W216" t="s">
        <v>74</v>
      </c>
      <c r="X216" t="s">
        <v>74</v>
      </c>
      <c r="Y216" t="s">
        <v>74</v>
      </c>
      <c r="Z216" t="s">
        <v>74</v>
      </c>
      <c r="AA216" t="s">
        <v>6706</v>
      </c>
      <c r="AB216" t="s">
        <v>6707</v>
      </c>
      <c r="AC216" t="s">
        <v>74</v>
      </c>
      <c r="AD216" t="s">
        <v>74</v>
      </c>
      <c r="AE216" t="s">
        <v>74</v>
      </c>
      <c r="AF216" t="s">
        <v>74</v>
      </c>
      <c r="AG216" t="s">
        <v>74</v>
      </c>
      <c r="AH216" t="s">
        <v>74</v>
      </c>
      <c r="AI216" t="s">
        <v>74</v>
      </c>
      <c r="AJ216" t="s">
        <v>74</v>
      </c>
      <c r="AK216" t="s">
        <v>74</v>
      </c>
      <c r="AL216" t="s">
        <v>74</v>
      </c>
      <c r="AM216" t="s">
        <v>74</v>
      </c>
      <c r="AN216" t="s">
        <v>74</v>
      </c>
      <c r="AO216" t="s">
        <v>1524</v>
      </c>
      <c r="AP216" t="s">
        <v>1525</v>
      </c>
      <c r="AQ216" t="s">
        <v>74</v>
      </c>
      <c r="AR216" t="s">
        <v>74</v>
      </c>
      <c r="AS216" t="s">
        <v>74</v>
      </c>
      <c r="AT216" t="s">
        <v>406</v>
      </c>
      <c r="AU216">
        <v>1988</v>
      </c>
      <c r="AV216">
        <v>69</v>
      </c>
      <c r="AW216">
        <v>5</v>
      </c>
      <c r="AX216" t="s">
        <v>74</v>
      </c>
      <c r="AY216" t="s">
        <v>74</v>
      </c>
      <c r="AZ216" t="s">
        <v>74</v>
      </c>
      <c r="BA216" t="s">
        <v>74</v>
      </c>
      <c r="BB216">
        <v>1393</v>
      </c>
      <c r="BC216">
        <v>1400</v>
      </c>
      <c r="BD216" t="s">
        <v>74</v>
      </c>
      <c r="BE216" t="s">
        <v>6708</v>
      </c>
      <c r="BF216" t="str">
        <f>HYPERLINK("http://dx.doi.org/10.2307/1941636","http://dx.doi.org/10.2307/1941636")</f>
        <v>http://dx.doi.org/10.2307/1941636</v>
      </c>
      <c r="BG216" t="s">
        <v>74</v>
      </c>
      <c r="BH216" t="s">
        <v>74</v>
      </c>
      <c r="BI216" t="s">
        <v>74</v>
      </c>
      <c r="BJ216" t="s">
        <v>74</v>
      </c>
      <c r="BK216" t="s">
        <v>74</v>
      </c>
      <c r="BL216" t="s">
        <v>74</v>
      </c>
      <c r="BM216" t="s">
        <v>74</v>
      </c>
      <c r="BN216" t="s">
        <v>74</v>
      </c>
      <c r="BO216" t="s">
        <v>74</v>
      </c>
      <c r="BP216" t="s">
        <v>74</v>
      </c>
      <c r="BQ216" t="s">
        <v>74</v>
      </c>
      <c r="BR216" t="s">
        <v>74</v>
      </c>
      <c r="BS216" t="s">
        <v>6709</v>
      </c>
      <c r="BT216" t="str">
        <f>HYPERLINK("https%3A%2F%2Fwww.webofscience.com%2Fwos%2Fwoscc%2Ffull-record%2FWOS:A1988Q291900009","View Full Record in Web of Science")</f>
        <v>View Full Record in Web of Science</v>
      </c>
    </row>
    <row r="217" spans="1:72" x14ac:dyDescent="0.2">
      <c r="A217" t="s">
        <v>72</v>
      </c>
      <c r="B217" t="s">
        <v>6710</v>
      </c>
      <c r="C217" t="s">
        <v>74</v>
      </c>
      <c r="D217" t="s">
        <v>74</v>
      </c>
      <c r="E217" t="s">
        <v>74</v>
      </c>
      <c r="F217" t="s">
        <v>6710</v>
      </c>
      <c r="G217" t="s">
        <v>74</v>
      </c>
      <c r="H217" t="s">
        <v>74</v>
      </c>
      <c r="I217" t="s">
        <v>6711</v>
      </c>
      <c r="J217" t="s">
        <v>3919</v>
      </c>
      <c r="K217" t="s">
        <v>74</v>
      </c>
      <c r="L217" t="s">
        <v>74</v>
      </c>
      <c r="M217" t="s">
        <v>74</v>
      </c>
      <c r="N217" t="s">
        <v>74</v>
      </c>
      <c r="O217" t="s">
        <v>74</v>
      </c>
      <c r="P217" t="s">
        <v>74</v>
      </c>
      <c r="Q217" t="s">
        <v>74</v>
      </c>
      <c r="R217" t="s">
        <v>74</v>
      </c>
      <c r="S217" t="s">
        <v>74</v>
      </c>
      <c r="T217" t="s">
        <v>74</v>
      </c>
      <c r="U217" t="s">
        <v>74</v>
      </c>
      <c r="V217" t="s">
        <v>74</v>
      </c>
      <c r="W217" t="s">
        <v>74</v>
      </c>
      <c r="X217" t="s">
        <v>74</v>
      </c>
      <c r="Y217" t="s">
        <v>74</v>
      </c>
      <c r="Z217" t="s">
        <v>74</v>
      </c>
      <c r="AA217" t="s">
        <v>74</v>
      </c>
      <c r="AB217" t="s">
        <v>74</v>
      </c>
      <c r="AC217" t="s">
        <v>74</v>
      </c>
      <c r="AD217" t="s">
        <v>74</v>
      </c>
      <c r="AE217" t="s">
        <v>74</v>
      </c>
      <c r="AF217" t="s">
        <v>74</v>
      </c>
      <c r="AG217" t="s">
        <v>74</v>
      </c>
      <c r="AH217" t="s">
        <v>74</v>
      </c>
      <c r="AI217" t="s">
        <v>74</v>
      </c>
      <c r="AJ217" t="s">
        <v>74</v>
      </c>
      <c r="AK217" t="s">
        <v>74</v>
      </c>
      <c r="AL217" t="s">
        <v>74</v>
      </c>
      <c r="AM217" t="s">
        <v>74</v>
      </c>
      <c r="AN217" t="s">
        <v>74</v>
      </c>
      <c r="AO217" t="s">
        <v>3920</v>
      </c>
      <c r="AP217" t="s">
        <v>3921</v>
      </c>
      <c r="AQ217" t="s">
        <v>74</v>
      </c>
      <c r="AR217" t="s">
        <v>74</v>
      </c>
      <c r="AS217" t="s">
        <v>74</v>
      </c>
      <c r="AT217" t="s">
        <v>569</v>
      </c>
      <c r="AU217">
        <v>1986</v>
      </c>
      <c r="AV217">
        <v>51</v>
      </c>
      <c r="AW217">
        <v>6</v>
      </c>
      <c r="AX217" t="s">
        <v>74</v>
      </c>
      <c r="AY217" t="s">
        <v>74</v>
      </c>
      <c r="AZ217" t="s">
        <v>74</v>
      </c>
      <c r="BA217" t="s">
        <v>74</v>
      </c>
      <c r="BB217">
        <v>1199</v>
      </c>
      <c r="BC217">
        <v>1204</v>
      </c>
      <c r="BD217" t="s">
        <v>74</v>
      </c>
      <c r="BE217" t="s">
        <v>74</v>
      </c>
      <c r="BF217" t="s">
        <v>74</v>
      </c>
      <c r="BG217" t="s">
        <v>74</v>
      </c>
      <c r="BH217" t="s">
        <v>74</v>
      </c>
      <c r="BI217" t="s">
        <v>74</v>
      </c>
      <c r="BJ217" t="s">
        <v>74</v>
      </c>
      <c r="BK217" t="s">
        <v>74</v>
      </c>
      <c r="BL217" t="s">
        <v>74</v>
      </c>
      <c r="BM217" t="s">
        <v>74</v>
      </c>
      <c r="BN217">
        <v>16347077</v>
      </c>
      <c r="BO217" t="s">
        <v>74</v>
      </c>
      <c r="BP217" t="s">
        <v>74</v>
      </c>
      <c r="BQ217" t="s">
        <v>74</v>
      </c>
      <c r="BR217" t="s">
        <v>74</v>
      </c>
      <c r="BS217" t="s">
        <v>6712</v>
      </c>
      <c r="BT217" t="str">
        <f>HYPERLINK("https%3A%2F%2Fwww.webofscience.com%2Fwos%2Fwoscc%2Ffull-record%2FWOS:A1986C593100008","View Full Record in Web of Science")</f>
        <v>View Full Record in Web of Science</v>
      </c>
    </row>
    <row r="218" spans="1:72" x14ac:dyDescent="0.2">
      <c r="A218" t="s">
        <v>72</v>
      </c>
      <c r="B218" t="s">
        <v>6735</v>
      </c>
      <c r="C218" t="s">
        <v>74</v>
      </c>
      <c r="D218" t="s">
        <v>74</v>
      </c>
      <c r="E218" t="s">
        <v>74</v>
      </c>
      <c r="F218" t="s">
        <v>6735</v>
      </c>
      <c r="G218" t="s">
        <v>74</v>
      </c>
      <c r="H218" t="s">
        <v>74</v>
      </c>
      <c r="I218" t="s">
        <v>6736</v>
      </c>
      <c r="J218" t="s">
        <v>3612</v>
      </c>
      <c r="K218" t="s">
        <v>74</v>
      </c>
      <c r="L218" t="s">
        <v>74</v>
      </c>
      <c r="M218" t="s">
        <v>74</v>
      </c>
      <c r="N218" t="s">
        <v>74</v>
      </c>
      <c r="O218" t="s">
        <v>74</v>
      </c>
      <c r="P218" t="s">
        <v>74</v>
      </c>
      <c r="Q218" t="s">
        <v>74</v>
      </c>
      <c r="R218" t="s">
        <v>74</v>
      </c>
      <c r="S218" t="s">
        <v>74</v>
      </c>
      <c r="T218" t="s">
        <v>74</v>
      </c>
      <c r="U218" t="s">
        <v>74</v>
      </c>
      <c r="V218" t="s">
        <v>74</v>
      </c>
      <c r="W218" t="s">
        <v>74</v>
      </c>
      <c r="X218" t="s">
        <v>74</v>
      </c>
      <c r="Y218" t="s">
        <v>74</v>
      </c>
      <c r="Z218" t="s">
        <v>74</v>
      </c>
      <c r="AA218" t="s">
        <v>74</v>
      </c>
      <c r="AB218" t="s">
        <v>74</v>
      </c>
      <c r="AC218" t="s">
        <v>74</v>
      </c>
      <c r="AD218" t="s">
        <v>74</v>
      </c>
      <c r="AE218" t="s">
        <v>74</v>
      </c>
      <c r="AF218" t="s">
        <v>74</v>
      </c>
      <c r="AG218" t="s">
        <v>74</v>
      </c>
      <c r="AH218" t="s">
        <v>74</v>
      </c>
      <c r="AI218" t="s">
        <v>74</v>
      </c>
      <c r="AJ218" t="s">
        <v>74</v>
      </c>
      <c r="AK218" t="s">
        <v>74</v>
      </c>
      <c r="AL218" t="s">
        <v>74</v>
      </c>
      <c r="AM218" t="s">
        <v>74</v>
      </c>
      <c r="AN218" t="s">
        <v>74</v>
      </c>
      <c r="AO218" t="s">
        <v>3615</v>
      </c>
      <c r="AP218" t="s">
        <v>3616</v>
      </c>
      <c r="AQ218" t="s">
        <v>74</v>
      </c>
      <c r="AR218" t="s">
        <v>74</v>
      </c>
      <c r="AS218" t="s">
        <v>74</v>
      </c>
      <c r="AT218" t="s">
        <v>74</v>
      </c>
      <c r="AU218">
        <v>1978</v>
      </c>
      <c r="AV218">
        <v>56</v>
      </c>
      <c r="AW218">
        <v>4</v>
      </c>
      <c r="AX218" t="s">
        <v>74</v>
      </c>
      <c r="AY218" t="s">
        <v>74</v>
      </c>
      <c r="AZ218" t="s">
        <v>74</v>
      </c>
      <c r="BA218" t="s">
        <v>74</v>
      </c>
      <c r="BB218">
        <v>634</v>
      </c>
      <c r="BC218">
        <v>642</v>
      </c>
      <c r="BD218" t="s">
        <v>74</v>
      </c>
      <c r="BE218" t="s">
        <v>6737</v>
      </c>
      <c r="BF218" t="str">
        <f>HYPERLINK("http://dx.doi.org/10.1139/z78-091","http://dx.doi.org/10.1139/z78-091")</f>
        <v>http://dx.doi.org/10.1139/z78-091</v>
      </c>
      <c r="BG218" t="s">
        <v>74</v>
      </c>
      <c r="BH218" t="s">
        <v>74</v>
      </c>
      <c r="BI218" t="s">
        <v>74</v>
      </c>
      <c r="BJ218" t="s">
        <v>74</v>
      </c>
      <c r="BK218" t="s">
        <v>74</v>
      </c>
      <c r="BL218" t="s">
        <v>74</v>
      </c>
      <c r="BM218" t="s">
        <v>74</v>
      </c>
      <c r="BN218" t="s">
        <v>74</v>
      </c>
      <c r="BO218" t="s">
        <v>74</v>
      </c>
      <c r="BP218" t="s">
        <v>74</v>
      </c>
      <c r="BQ218" t="s">
        <v>74</v>
      </c>
      <c r="BR218" t="s">
        <v>74</v>
      </c>
      <c r="BS218" t="s">
        <v>6738</v>
      </c>
      <c r="BT218" t="str">
        <f>HYPERLINK("https%3A%2F%2Fwww.webofscience.com%2Fwos%2Fwoscc%2Ffull-record%2FWOS:A1978EX20600017","View Full Record in Web of Science")</f>
        <v>View Full Record in Web of Science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AFE4-A66E-094D-A865-492F53AC85D3}">
  <dimension ref="A1:BT216"/>
  <sheetViews>
    <sheetView workbookViewId="0">
      <selection sqref="A1:BY1048576"/>
    </sheetView>
  </sheetViews>
  <sheetFormatPr baseColWidth="10" defaultRowHeight="16" x14ac:dyDescent="0.2"/>
  <cols>
    <col min="1" max="77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73</v>
      </c>
      <c r="C2" t="s">
        <v>74</v>
      </c>
      <c r="D2" t="s">
        <v>74</v>
      </c>
      <c r="E2" t="s">
        <v>74</v>
      </c>
      <c r="F2" t="s">
        <v>75</v>
      </c>
      <c r="G2" t="s">
        <v>74</v>
      </c>
      <c r="H2" t="s">
        <v>74</v>
      </c>
      <c r="I2" t="s">
        <v>76</v>
      </c>
      <c r="J2" t="s">
        <v>77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78</v>
      </c>
      <c r="AB2" t="s">
        <v>79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80</v>
      </c>
      <c r="AP2" t="s">
        <v>81</v>
      </c>
      <c r="AQ2" t="s">
        <v>74</v>
      </c>
      <c r="AR2" t="s">
        <v>74</v>
      </c>
      <c r="AS2" t="s">
        <v>74</v>
      </c>
      <c r="AT2" t="s">
        <v>82</v>
      </c>
      <c r="AU2">
        <v>2024</v>
      </c>
      <c r="AV2">
        <v>87</v>
      </c>
      <c r="AW2">
        <v>1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>
        <v>33</v>
      </c>
      <c r="BE2" t="s">
        <v>83</v>
      </c>
      <c r="BF2" t="str">
        <f>HYPERLINK("http://dx.doi.org/10.1007/s00248-024-02344-9","http://dx.doi.org/10.1007/s00248-024-02344-9")</f>
        <v>http://dx.doi.org/10.1007/s00248-024-02344-9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>
        <v>38236289</v>
      </c>
      <c r="BO2" t="s">
        <v>74</v>
      </c>
      <c r="BP2" t="s">
        <v>74</v>
      </c>
      <c r="BQ2" t="s">
        <v>74</v>
      </c>
      <c r="BR2" t="s">
        <v>74</v>
      </c>
      <c r="BS2" t="s">
        <v>84</v>
      </c>
      <c r="BT2" t="str">
        <f>HYPERLINK("https%3A%2F%2Fwww.webofscience.com%2Fwos%2Fwoscc%2Ffull-record%2FWOS:001145053200001","View Full Record in Web of Science")</f>
        <v>View Full Record in Web of Science</v>
      </c>
    </row>
    <row r="3" spans="1:72" x14ac:dyDescent="0.2">
      <c r="A3" t="s">
        <v>72</v>
      </c>
      <c r="B3" t="s">
        <v>103</v>
      </c>
      <c r="C3" t="s">
        <v>74</v>
      </c>
      <c r="D3" t="s">
        <v>74</v>
      </c>
      <c r="E3" t="s">
        <v>74</v>
      </c>
      <c r="F3" t="s">
        <v>104</v>
      </c>
      <c r="G3" t="s">
        <v>74</v>
      </c>
      <c r="H3" t="s">
        <v>74</v>
      </c>
      <c r="I3" t="s">
        <v>105</v>
      </c>
      <c r="J3" t="s">
        <v>106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74</v>
      </c>
      <c r="AB3" t="s">
        <v>6745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107</v>
      </c>
      <c r="AP3" t="s">
        <v>108</v>
      </c>
      <c r="AQ3" t="s">
        <v>74</v>
      </c>
      <c r="AR3" t="s">
        <v>74</v>
      </c>
      <c r="AS3" t="s">
        <v>74</v>
      </c>
      <c r="AT3" t="s">
        <v>6746</v>
      </c>
      <c r="AU3">
        <v>2024</v>
      </c>
      <c r="AV3">
        <v>46</v>
      </c>
      <c r="AW3">
        <v>3</v>
      </c>
      <c r="AX3" t="s">
        <v>74</v>
      </c>
      <c r="AY3" t="s">
        <v>74</v>
      </c>
      <c r="AZ3" t="s">
        <v>74</v>
      </c>
      <c r="BA3" t="s">
        <v>74</v>
      </c>
      <c r="BB3">
        <v>307</v>
      </c>
      <c r="BC3">
        <v>322</v>
      </c>
      <c r="BD3" t="s">
        <v>74</v>
      </c>
      <c r="BE3" t="s">
        <v>109</v>
      </c>
      <c r="BF3" t="str">
        <f>HYPERLINK("http://dx.doi.org/10.1093/plankt/fbae017","http://dx.doi.org/10.1093/plankt/fbae017")</f>
        <v>http://dx.doi.org/10.1093/plankt/fbae017</v>
      </c>
      <c r="BG3" t="s">
        <v>74</v>
      </c>
      <c r="BH3" t="s">
        <v>110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111</v>
      </c>
      <c r="BT3" t="str">
        <f>HYPERLINK("https%3A%2F%2Fwww.webofscience.com%2Fwos%2Fwoscc%2Ffull-record%2FWOS:001211130600001","View Full Record in Web of Science")</f>
        <v>View Full Record in Web of Science</v>
      </c>
    </row>
    <row r="4" spans="1:72" x14ac:dyDescent="0.2">
      <c r="A4" t="s">
        <v>72</v>
      </c>
      <c r="B4" t="s">
        <v>132</v>
      </c>
      <c r="C4" t="s">
        <v>74</v>
      </c>
      <c r="D4" t="s">
        <v>74</v>
      </c>
      <c r="E4" t="s">
        <v>74</v>
      </c>
      <c r="F4" t="s">
        <v>133</v>
      </c>
      <c r="G4" t="s">
        <v>74</v>
      </c>
      <c r="H4" t="s">
        <v>74</v>
      </c>
      <c r="I4" t="s">
        <v>134</v>
      </c>
      <c r="J4" t="s">
        <v>135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74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136</v>
      </c>
      <c r="AP4" t="s">
        <v>137</v>
      </c>
      <c r="AQ4" t="s">
        <v>74</v>
      </c>
      <c r="AR4" t="s">
        <v>74</v>
      </c>
      <c r="AS4" t="s">
        <v>74</v>
      </c>
      <c r="AT4" t="s">
        <v>138</v>
      </c>
      <c r="AU4">
        <v>2024</v>
      </c>
      <c r="AV4" t="s">
        <v>74</v>
      </c>
      <c r="AW4" t="s">
        <v>74</v>
      </c>
      <c r="AX4" t="s">
        <v>74</v>
      </c>
      <c r="AY4" t="s">
        <v>74</v>
      </c>
      <c r="AZ4" t="s">
        <v>74</v>
      </c>
      <c r="BA4" t="s">
        <v>74</v>
      </c>
      <c r="BB4" t="s">
        <v>74</v>
      </c>
      <c r="BC4" t="s">
        <v>74</v>
      </c>
      <c r="BD4" t="s">
        <v>74</v>
      </c>
      <c r="BE4" t="s">
        <v>139</v>
      </c>
      <c r="BF4" t="str">
        <f>HYPERLINK("http://dx.doi.org/10.1007/s11756-024-01669-7","http://dx.doi.org/10.1007/s11756-024-01669-7")</f>
        <v>http://dx.doi.org/10.1007/s11756-024-01669-7</v>
      </c>
      <c r="BG4" t="s">
        <v>74</v>
      </c>
      <c r="BH4" t="s">
        <v>140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 t="s">
        <v>141</v>
      </c>
      <c r="BT4" t="str">
        <f>HYPERLINK("https%3A%2F%2Fwww.webofscience.com%2Fwos%2Fwoscc%2Ffull-record%2FWOS:001194859400003","View Full Record in Web of Science")</f>
        <v>View Full Record in Web of Science</v>
      </c>
    </row>
    <row r="5" spans="1:72" x14ac:dyDescent="0.2">
      <c r="A5" t="s">
        <v>72</v>
      </c>
      <c r="B5" t="s">
        <v>151</v>
      </c>
      <c r="C5" t="s">
        <v>74</v>
      </c>
      <c r="D5" t="s">
        <v>74</v>
      </c>
      <c r="E5" t="s">
        <v>74</v>
      </c>
      <c r="F5" t="s">
        <v>152</v>
      </c>
      <c r="G5" t="s">
        <v>74</v>
      </c>
      <c r="H5" t="s">
        <v>74</v>
      </c>
      <c r="I5" t="s">
        <v>153</v>
      </c>
      <c r="J5" t="s">
        <v>154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74</v>
      </c>
      <c r="AB5" t="s">
        <v>74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155</v>
      </c>
      <c r="AP5" t="s">
        <v>156</v>
      </c>
      <c r="AQ5" t="s">
        <v>74</v>
      </c>
      <c r="AR5" t="s">
        <v>74</v>
      </c>
      <c r="AS5" t="s">
        <v>74</v>
      </c>
      <c r="AT5" t="s">
        <v>157</v>
      </c>
      <c r="AU5">
        <v>2024</v>
      </c>
      <c r="AV5">
        <v>105</v>
      </c>
      <c r="AW5" t="s">
        <v>74</v>
      </c>
      <c r="AX5" t="s">
        <v>74</v>
      </c>
      <c r="AY5" t="s">
        <v>74</v>
      </c>
      <c r="AZ5" t="s">
        <v>74</v>
      </c>
      <c r="BA5" t="s">
        <v>74</v>
      </c>
      <c r="BB5" t="s">
        <v>74</v>
      </c>
      <c r="BC5" t="s">
        <v>74</v>
      </c>
      <c r="BD5">
        <v>126160</v>
      </c>
      <c r="BE5" t="s">
        <v>158</v>
      </c>
      <c r="BF5" t="str">
        <f>HYPERLINK("http://dx.doi.org/10.1016/j.limno.2024.126160","http://dx.doi.org/10.1016/j.limno.2024.126160")</f>
        <v>http://dx.doi.org/10.1016/j.limno.2024.126160</v>
      </c>
      <c r="BG5" t="s">
        <v>74</v>
      </c>
      <c r="BH5" t="s">
        <v>140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 t="s">
        <v>159</v>
      </c>
      <c r="BT5" t="str">
        <f>HYPERLINK("https%3A%2F%2Fwww.webofscience.com%2Fwos%2Fwoscc%2Ffull-record%2FWOS:001203002900001","View Full Record in Web of Science")</f>
        <v>View Full Record in Web of Science</v>
      </c>
    </row>
    <row r="6" spans="1:72" x14ac:dyDescent="0.2">
      <c r="A6" t="s">
        <v>72</v>
      </c>
      <c r="B6" t="s">
        <v>195</v>
      </c>
      <c r="C6" t="s">
        <v>74</v>
      </c>
      <c r="D6" t="s">
        <v>74</v>
      </c>
      <c r="E6" t="s">
        <v>74</v>
      </c>
      <c r="F6" t="s">
        <v>196</v>
      </c>
      <c r="G6" t="s">
        <v>74</v>
      </c>
      <c r="H6" t="s">
        <v>74</v>
      </c>
      <c r="I6" t="s">
        <v>197</v>
      </c>
      <c r="J6" t="s">
        <v>198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199</v>
      </c>
      <c r="AB6" t="s">
        <v>200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201</v>
      </c>
      <c r="AP6" t="s">
        <v>202</v>
      </c>
      <c r="AQ6" t="s">
        <v>74</v>
      </c>
      <c r="AR6" t="s">
        <v>74</v>
      </c>
      <c r="AS6" t="s">
        <v>74</v>
      </c>
      <c r="AT6" t="s">
        <v>203</v>
      </c>
      <c r="AU6">
        <v>2024</v>
      </c>
      <c r="AV6">
        <v>38</v>
      </c>
      <c r="AW6">
        <v>4</v>
      </c>
      <c r="AX6" t="s">
        <v>74</v>
      </c>
      <c r="AY6" t="s">
        <v>74</v>
      </c>
      <c r="AZ6" t="s">
        <v>74</v>
      </c>
      <c r="BA6" t="s">
        <v>74</v>
      </c>
      <c r="BB6">
        <v>778</v>
      </c>
      <c r="BC6">
        <v>791</v>
      </c>
      <c r="BD6" t="s">
        <v>74</v>
      </c>
      <c r="BE6" t="s">
        <v>204</v>
      </c>
      <c r="BF6" t="str">
        <f>HYPERLINK("http://dx.doi.org/10.1111/1365-2435.14530","http://dx.doi.org/10.1111/1365-2435.14530")</f>
        <v>http://dx.doi.org/10.1111/1365-2435.14530</v>
      </c>
      <c r="BG6" t="s">
        <v>74</v>
      </c>
      <c r="BH6" t="s">
        <v>185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 t="s">
        <v>205</v>
      </c>
      <c r="BT6" t="str">
        <f>HYPERLINK("https%3A%2F%2Fwww.webofscience.com%2Fwos%2Fwoscc%2Ffull-record%2FWOS:001163411800001","View Full Record in Web of Science")</f>
        <v>View Full Record in Web of Science</v>
      </c>
    </row>
    <row r="7" spans="1:72" x14ac:dyDescent="0.2">
      <c r="A7" t="s">
        <v>72</v>
      </c>
      <c r="B7" t="s">
        <v>206</v>
      </c>
      <c r="C7" t="s">
        <v>74</v>
      </c>
      <c r="D7" t="s">
        <v>74</v>
      </c>
      <c r="E7" t="s">
        <v>74</v>
      </c>
      <c r="F7" t="s">
        <v>207</v>
      </c>
      <c r="G7" t="s">
        <v>74</v>
      </c>
      <c r="H7" t="s">
        <v>74</v>
      </c>
      <c r="I7" t="s">
        <v>208</v>
      </c>
      <c r="J7" t="s">
        <v>209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74</v>
      </c>
      <c r="AB7" t="s">
        <v>74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210</v>
      </c>
      <c r="AP7" t="s">
        <v>211</v>
      </c>
      <c r="AQ7" t="s">
        <v>74</v>
      </c>
      <c r="AR7" t="s">
        <v>74</v>
      </c>
      <c r="AS7" t="s">
        <v>74</v>
      </c>
      <c r="AT7" t="s">
        <v>212</v>
      </c>
      <c r="AU7">
        <v>2024</v>
      </c>
      <c r="AV7">
        <v>626</v>
      </c>
      <c r="AW7">
        <v>7998</v>
      </c>
      <c r="AX7" t="s">
        <v>74</v>
      </c>
      <c r="AY7" t="s">
        <v>74</v>
      </c>
      <c r="AZ7" t="s">
        <v>74</v>
      </c>
      <c r="BA7" t="s">
        <v>74</v>
      </c>
      <c r="BB7" t="s">
        <v>74</v>
      </c>
      <c r="BC7" t="s">
        <v>74</v>
      </c>
      <c r="BD7" t="s">
        <v>74</v>
      </c>
      <c r="BE7" t="s">
        <v>213</v>
      </c>
      <c r="BF7" t="str">
        <f>HYPERLINK("http://dx.doi.org/10.1038/s41586-023-06931-7","http://dx.doi.org/10.1038/s41586-023-06931-7")</f>
        <v>http://dx.doi.org/10.1038/s41586-023-06931-7</v>
      </c>
      <c r="BG7" t="s">
        <v>74</v>
      </c>
      <c r="BH7" t="s">
        <v>74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>
        <v>38233526</v>
      </c>
      <c r="BO7" t="s">
        <v>74</v>
      </c>
      <c r="BP7" t="s">
        <v>74</v>
      </c>
      <c r="BQ7" t="s">
        <v>74</v>
      </c>
      <c r="BR7" t="s">
        <v>74</v>
      </c>
      <c r="BS7" t="s">
        <v>214</v>
      </c>
      <c r="BT7" t="str">
        <f>HYPERLINK("https%3A%2F%2Fwww.webofscience.com%2Fwos%2Fwoscc%2Ffull-record%2FWOS:001159144100006","View Full Record in Web of Science")</f>
        <v>View Full Record in Web of Science</v>
      </c>
    </row>
    <row r="8" spans="1:72" x14ac:dyDescent="0.2">
      <c r="A8" t="s">
        <v>72</v>
      </c>
      <c r="B8" t="s">
        <v>215</v>
      </c>
      <c r="C8" t="s">
        <v>74</v>
      </c>
      <c r="D8" t="s">
        <v>74</v>
      </c>
      <c r="E8" t="s">
        <v>74</v>
      </c>
      <c r="F8" t="s">
        <v>216</v>
      </c>
      <c r="G8" t="s">
        <v>74</v>
      </c>
      <c r="H8" t="s">
        <v>74</v>
      </c>
      <c r="I8" t="s">
        <v>217</v>
      </c>
      <c r="J8" t="s">
        <v>218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74</v>
      </c>
      <c r="AB8" t="s">
        <v>219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220</v>
      </c>
      <c r="AP8" t="s">
        <v>74</v>
      </c>
      <c r="AQ8" t="s">
        <v>74</v>
      </c>
      <c r="AR8" t="s">
        <v>74</v>
      </c>
      <c r="AS8" t="s">
        <v>74</v>
      </c>
      <c r="AT8" t="s">
        <v>221</v>
      </c>
      <c r="AU8">
        <v>2024</v>
      </c>
      <c r="AV8">
        <v>14</v>
      </c>
      <c r="AW8">
        <v>1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>
        <v>3147</v>
      </c>
      <c r="BE8" t="s">
        <v>222</v>
      </c>
      <c r="BF8" t="str">
        <f>HYPERLINK("http://dx.doi.org/10.1038/s41598-024-53247-1","http://dx.doi.org/10.1038/s41598-024-53247-1")</f>
        <v>http://dx.doi.org/10.1038/s41598-024-53247-1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>
        <v>38326374</v>
      </c>
      <c r="BO8" t="s">
        <v>74</v>
      </c>
      <c r="BP8" t="s">
        <v>74</v>
      </c>
      <c r="BQ8" t="s">
        <v>74</v>
      </c>
      <c r="BR8" t="s">
        <v>74</v>
      </c>
      <c r="BS8" t="s">
        <v>223</v>
      </c>
      <c r="BT8" t="str">
        <f>HYPERLINK("https%3A%2F%2Fwww.webofscience.com%2Fwos%2Fwoscc%2Ffull-record%2FWOS:001158921600069","View Full Record in Web of Science")</f>
        <v>View Full Record in Web of Science</v>
      </c>
    </row>
    <row r="9" spans="1:72" x14ac:dyDescent="0.2">
      <c r="A9" t="s">
        <v>72</v>
      </c>
      <c r="B9" t="s">
        <v>234</v>
      </c>
      <c r="C9" t="s">
        <v>74</v>
      </c>
      <c r="D9" t="s">
        <v>74</v>
      </c>
      <c r="E9" t="s">
        <v>74</v>
      </c>
      <c r="F9" t="s">
        <v>235</v>
      </c>
      <c r="G9" t="s">
        <v>74</v>
      </c>
      <c r="H9" t="s">
        <v>74</v>
      </c>
      <c r="I9" t="s">
        <v>236</v>
      </c>
      <c r="J9" t="s">
        <v>227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74</v>
      </c>
      <c r="AB9" t="s">
        <v>237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230</v>
      </c>
      <c r="AP9" t="s">
        <v>231</v>
      </c>
      <c r="AQ9" t="s">
        <v>74</v>
      </c>
      <c r="AR9" t="s">
        <v>74</v>
      </c>
      <c r="AS9" t="s">
        <v>74</v>
      </c>
      <c r="AT9" t="s">
        <v>157</v>
      </c>
      <c r="AU9">
        <v>2024</v>
      </c>
      <c r="AV9">
        <v>69</v>
      </c>
      <c r="AW9">
        <v>3</v>
      </c>
      <c r="AX9" t="s">
        <v>74</v>
      </c>
      <c r="AY9" t="s">
        <v>74</v>
      </c>
      <c r="AZ9" t="s">
        <v>74</v>
      </c>
      <c r="BA9" t="s">
        <v>74</v>
      </c>
      <c r="BB9">
        <v>524</v>
      </c>
      <c r="BC9">
        <v>532</v>
      </c>
      <c r="BD9" t="s">
        <v>74</v>
      </c>
      <c r="BE9" t="s">
        <v>238</v>
      </c>
      <c r="BF9" t="str">
        <f>HYPERLINK("http://dx.doi.org/10.1002/lno.12503","http://dx.doi.org/10.1002/lno.12503")</f>
        <v>http://dx.doi.org/10.1002/lno.12503</v>
      </c>
      <c r="BG9" t="s">
        <v>74</v>
      </c>
      <c r="BH9" t="s">
        <v>239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 t="s">
        <v>240</v>
      </c>
      <c r="BT9" t="str">
        <f>HYPERLINK("https%3A%2F%2Fwww.webofscience.com%2Fwos%2Fwoscc%2Ffull-record%2FWOS:001138444300001","View Full Record in Web of Science")</f>
        <v>View Full Record in Web of Science</v>
      </c>
    </row>
    <row r="10" spans="1:72" x14ac:dyDescent="0.2">
      <c r="A10" t="s">
        <v>72</v>
      </c>
      <c r="B10" t="s">
        <v>279</v>
      </c>
      <c r="C10" t="s">
        <v>74</v>
      </c>
      <c r="D10" t="s">
        <v>74</v>
      </c>
      <c r="E10" t="s">
        <v>74</v>
      </c>
      <c r="F10" t="s">
        <v>280</v>
      </c>
      <c r="G10" t="s">
        <v>74</v>
      </c>
      <c r="H10" t="s">
        <v>74</v>
      </c>
      <c r="I10" t="s">
        <v>281</v>
      </c>
      <c r="J10" t="s">
        <v>282</v>
      </c>
      <c r="K10" t="s">
        <v>74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283</v>
      </c>
      <c r="AB10" t="s">
        <v>6779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284</v>
      </c>
      <c r="AP10" t="s">
        <v>285</v>
      </c>
      <c r="AQ10" t="s">
        <v>74</v>
      </c>
      <c r="AR10" t="s">
        <v>74</v>
      </c>
      <c r="AS10" t="s">
        <v>74</v>
      </c>
      <c r="AT10" t="s">
        <v>286</v>
      </c>
      <c r="AU10">
        <v>2024</v>
      </c>
      <c r="AV10">
        <v>59</v>
      </c>
      <c r="AW10">
        <v>2</v>
      </c>
      <c r="AX10" t="s">
        <v>74</v>
      </c>
      <c r="AY10" t="s">
        <v>74</v>
      </c>
      <c r="AZ10" t="s">
        <v>74</v>
      </c>
      <c r="BA10" t="s">
        <v>74</v>
      </c>
      <c r="BB10">
        <v>169</v>
      </c>
      <c r="BC10">
        <v>183</v>
      </c>
      <c r="BD10" t="s">
        <v>74</v>
      </c>
      <c r="BE10" t="s">
        <v>287</v>
      </c>
      <c r="BF10" t="str">
        <f>HYPERLINK("http://dx.doi.org/10.1080/09670262.2023.2274080","http://dx.doi.org/10.1080/09670262.2023.2274080")</f>
        <v>http://dx.doi.org/10.1080/09670262.2023.2274080</v>
      </c>
      <c r="BG10" t="s">
        <v>74</v>
      </c>
      <c r="BH10" t="s">
        <v>268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 t="s">
        <v>288</v>
      </c>
      <c r="BT10" t="str">
        <f>HYPERLINK("https%3A%2F%2Fwww.webofscience.com%2Fwos%2Fwoscc%2Ffull-record%2FWOS:001119041300001","View Full Record in Web of Science")</f>
        <v>View Full Record in Web of Science</v>
      </c>
    </row>
    <row r="11" spans="1:72" x14ac:dyDescent="0.2">
      <c r="A11" t="s">
        <v>72</v>
      </c>
      <c r="B11" t="s">
        <v>307</v>
      </c>
      <c r="C11" t="s">
        <v>74</v>
      </c>
      <c r="D11" t="s">
        <v>74</v>
      </c>
      <c r="E11" t="s">
        <v>74</v>
      </c>
      <c r="F11" t="s">
        <v>308</v>
      </c>
      <c r="G11" t="s">
        <v>74</v>
      </c>
      <c r="H11" t="s">
        <v>74</v>
      </c>
      <c r="I11" t="s">
        <v>309</v>
      </c>
      <c r="J11" t="s">
        <v>310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311</v>
      </c>
      <c r="AB11" t="s">
        <v>312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313</v>
      </c>
      <c r="AP11" t="s">
        <v>314</v>
      </c>
      <c r="AQ11" t="s">
        <v>74</v>
      </c>
      <c r="AR11" t="s">
        <v>74</v>
      </c>
      <c r="AS11" t="s">
        <v>74</v>
      </c>
      <c r="AT11" t="s">
        <v>315</v>
      </c>
      <c r="AU11">
        <v>2024</v>
      </c>
      <c r="AV11">
        <v>30</v>
      </c>
      <c r="AW11">
        <v>1</v>
      </c>
      <c r="AX11" t="s">
        <v>74</v>
      </c>
      <c r="AY11" t="s">
        <v>74</v>
      </c>
      <c r="AZ11" t="s">
        <v>74</v>
      </c>
      <c r="BA11" t="s">
        <v>74</v>
      </c>
      <c r="BB11" t="s">
        <v>74</v>
      </c>
      <c r="BC11" t="s">
        <v>74</v>
      </c>
      <c r="BD11" t="s">
        <v>74</v>
      </c>
      <c r="BE11" t="s">
        <v>316</v>
      </c>
      <c r="BF11" t="str">
        <f>HYPERLINK("http://dx.doi.org/10.1111/gcb.17049","http://dx.doi.org/10.1111/gcb.17049")</f>
        <v>http://dx.doi.org/10.1111/gcb.17049</v>
      </c>
      <c r="BG11" t="s">
        <v>74</v>
      </c>
      <c r="BH11" t="s">
        <v>317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>
        <v>37988188</v>
      </c>
      <c r="BO11" t="s">
        <v>74</v>
      </c>
      <c r="BP11" t="s">
        <v>74</v>
      </c>
      <c r="BQ11" t="s">
        <v>74</v>
      </c>
      <c r="BR11" t="s">
        <v>74</v>
      </c>
      <c r="BS11" t="s">
        <v>318</v>
      </c>
      <c r="BT11" t="str">
        <f>HYPERLINK("https%3A%2F%2Fwww.webofscience.com%2Fwos%2Fwoscc%2Ffull-record%2FWOS:001105424600001","View Full Record in Web of Science")</f>
        <v>View Full Record in Web of Science</v>
      </c>
    </row>
    <row r="12" spans="1:72" x14ac:dyDescent="0.2">
      <c r="A12" t="s">
        <v>72</v>
      </c>
      <c r="B12" t="s">
        <v>319</v>
      </c>
      <c r="C12" t="s">
        <v>74</v>
      </c>
      <c r="D12" t="s">
        <v>74</v>
      </c>
      <c r="E12" t="s">
        <v>74</v>
      </c>
      <c r="F12" t="s">
        <v>320</v>
      </c>
      <c r="G12" t="s">
        <v>74</v>
      </c>
      <c r="H12" t="s">
        <v>74</v>
      </c>
      <c r="I12" t="s">
        <v>321</v>
      </c>
      <c r="J12" t="s">
        <v>322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323</v>
      </c>
      <c r="AB12" t="s">
        <v>6780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324</v>
      </c>
      <c r="AP12" t="s">
        <v>325</v>
      </c>
      <c r="AQ12" t="s">
        <v>74</v>
      </c>
      <c r="AR12" t="s">
        <v>74</v>
      </c>
      <c r="AS12" t="s">
        <v>74</v>
      </c>
      <c r="AT12" t="s">
        <v>82</v>
      </c>
      <c r="AU12">
        <v>2023</v>
      </c>
      <c r="AV12">
        <v>25</v>
      </c>
      <c r="AW12">
        <v>12</v>
      </c>
      <c r="AX12" t="s">
        <v>74</v>
      </c>
      <c r="AY12" t="s">
        <v>74</v>
      </c>
      <c r="AZ12" t="s">
        <v>74</v>
      </c>
      <c r="BA12" t="s">
        <v>74</v>
      </c>
      <c r="BB12">
        <v>3406</v>
      </c>
      <c r="BC12">
        <v>3422</v>
      </c>
      <c r="BD12" t="s">
        <v>74</v>
      </c>
      <c r="BE12" t="s">
        <v>326</v>
      </c>
      <c r="BF12" t="str">
        <f>HYPERLINK("http://dx.doi.org/10.1111/1462-2920.16531","http://dx.doi.org/10.1111/1462-2920.16531")</f>
        <v>http://dx.doi.org/10.1111/1462-2920.16531</v>
      </c>
      <c r="BG12" t="s">
        <v>74</v>
      </c>
      <c r="BH12" t="s">
        <v>317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>
        <v>37916456</v>
      </c>
      <c r="BO12" t="s">
        <v>74</v>
      </c>
      <c r="BP12" t="s">
        <v>74</v>
      </c>
      <c r="BQ12" t="s">
        <v>74</v>
      </c>
      <c r="BR12" t="s">
        <v>74</v>
      </c>
      <c r="BS12" t="s">
        <v>327</v>
      </c>
      <c r="BT12" t="str">
        <f>HYPERLINK("https%3A%2F%2Fwww.webofscience.com%2Fwos%2Fwoscc%2Ffull-record%2FWOS:001097007400001","View Full Record in Web of Science")</f>
        <v>View Full Record in Web of Science</v>
      </c>
    </row>
    <row r="13" spans="1:72" x14ac:dyDescent="0.2">
      <c r="A13" t="s">
        <v>72</v>
      </c>
      <c r="B13" t="s">
        <v>328</v>
      </c>
      <c r="C13" t="s">
        <v>74</v>
      </c>
      <c r="D13" t="s">
        <v>74</v>
      </c>
      <c r="E13" t="s">
        <v>74</v>
      </c>
      <c r="F13" t="s">
        <v>329</v>
      </c>
      <c r="G13" t="s">
        <v>74</v>
      </c>
      <c r="H13" t="s">
        <v>74</v>
      </c>
      <c r="I13" t="s">
        <v>330</v>
      </c>
      <c r="J13" t="s">
        <v>331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332</v>
      </c>
      <c r="AB13" t="s">
        <v>333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74</v>
      </c>
      <c r="AP13" t="s">
        <v>334</v>
      </c>
      <c r="AQ13" t="s">
        <v>74</v>
      </c>
      <c r="AR13" t="s">
        <v>74</v>
      </c>
      <c r="AS13" t="s">
        <v>74</v>
      </c>
      <c r="AT13" t="s">
        <v>335</v>
      </c>
      <c r="AU13">
        <v>2023</v>
      </c>
      <c r="AV13">
        <v>15</v>
      </c>
      <c r="AW13">
        <v>21</v>
      </c>
      <c r="AX13" t="s">
        <v>74</v>
      </c>
      <c r="AY13" t="s">
        <v>74</v>
      </c>
      <c r="AZ13" t="s">
        <v>74</v>
      </c>
      <c r="BA13" t="s">
        <v>74</v>
      </c>
      <c r="BB13" t="s">
        <v>74</v>
      </c>
      <c r="BC13" t="s">
        <v>74</v>
      </c>
      <c r="BD13">
        <v>3774</v>
      </c>
      <c r="BE13" t="s">
        <v>336</v>
      </c>
      <c r="BF13" t="str">
        <f>HYPERLINK("http://dx.doi.org/10.3390/w15213774","http://dx.doi.org/10.3390/w15213774")</f>
        <v>http://dx.doi.org/10.3390/w15213774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337</v>
      </c>
      <c r="BT13" t="str">
        <f>HYPERLINK("https%3A%2F%2Fwww.webofscience.com%2Fwos%2Fwoscc%2Ffull-record%2FWOS:001100321400001","View Full Record in Web of Science")</f>
        <v>View Full Record in Web of Science</v>
      </c>
    </row>
    <row r="14" spans="1:72" x14ac:dyDescent="0.2">
      <c r="A14" t="s">
        <v>72</v>
      </c>
      <c r="B14" t="s">
        <v>388</v>
      </c>
      <c r="C14" t="s">
        <v>74</v>
      </c>
      <c r="D14" t="s">
        <v>74</v>
      </c>
      <c r="E14" t="s">
        <v>74</v>
      </c>
      <c r="F14" t="s">
        <v>389</v>
      </c>
      <c r="G14" t="s">
        <v>74</v>
      </c>
      <c r="H14" t="s">
        <v>74</v>
      </c>
      <c r="I14" t="s">
        <v>390</v>
      </c>
      <c r="J14" t="s">
        <v>154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391</v>
      </c>
      <c r="AB14" t="s">
        <v>392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155</v>
      </c>
      <c r="AP14" t="s">
        <v>156</v>
      </c>
      <c r="AQ14" t="s">
        <v>74</v>
      </c>
      <c r="AR14" t="s">
        <v>74</v>
      </c>
      <c r="AS14" t="s">
        <v>74</v>
      </c>
      <c r="AT14" t="s">
        <v>335</v>
      </c>
      <c r="AU14">
        <v>2023</v>
      </c>
      <c r="AV14">
        <v>103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 t="s">
        <v>74</v>
      </c>
      <c r="BC14" t="s">
        <v>74</v>
      </c>
      <c r="BD14">
        <v>126110</v>
      </c>
      <c r="BE14" t="s">
        <v>393</v>
      </c>
      <c r="BF14" t="str">
        <f>HYPERLINK("http://dx.doi.org/10.1016/j.limno.2023.126110","http://dx.doi.org/10.1016/j.limno.2023.126110")</f>
        <v>http://dx.doi.org/10.1016/j.limno.2023.126110</v>
      </c>
      <c r="BG14" t="s">
        <v>74</v>
      </c>
      <c r="BH14" t="s">
        <v>355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 t="s">
        <v>394</v>
      </c>
      <c r="BT14" t="str">
        <f>HYPERLINK("https%3A%2F%2Fwww.webofscience.com%2Fwos%2Fwoscc%2Ffull-record%2FWOS:001091794800001","View Full Record in Web of Science")</f>
        <v>View Full Record in Web of Science</v>
      </c>
    </row>
    <row r="15" spans="1:72" x14ac:dyDescent="0.2">
      <c r="A15" t="s">
        <v>72</v>
      </c>
      <c r="B15" t="s">
        <v>420</v>
      </c>
      <c r="C15" t="s">
        <v>74</v>
      </c>
      <c r="D15" t="s">
        <v>74</v>
      </c>
      <c r="E15" t="s">
        <v>74</v>
      </c>
      <c r="F15" t="s">
        <v>421</v>
      </c>
      <c r="G15" t="s">
        <v>74</v>
      </c>
      <c r="H15" t="s">
        <v>74</v>
      </c>
      <c r="I15" t="s">
        <v>422</v>
      </c>
      <c r="J15" t="s">
        <v>423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74</v>
      </c>
      <c r="AB15" t="s">
        <v>424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425</v>
      </c>
      <c r="AP15" t="s">
        <v>426</v>
      </c>
      <c r="AQ15" t="s">
        <v>74</v>
      </c>
      <c r="AR15" t="s">
        <v>74</v>
      </c>
      <c r="AS15" t="s">
        <v>74</v>
      </c>
      <c r="AT15" t="s">
        <v>82</v>
      </c>
      <c r="AU15">
        <v>2023</v>
      </c>
      <c r="AV15">
        <v>68</v>
      </c>
      <c r="AW15">
        <v>12</v>
      </c>
      <c r="AX15" t="s">
        <v>74</v>
      </c>
      <c r="AY15" t="s">
        <v>74</v>
      </c>
      <c r="AZ15" t="s">
        <v>74</v>
      </c>
      <c r="BA15" t="s">
        <v>74</v>
      </c>
      <c r="BB15">
        <v>2131</v>
      </c>
      <c r="BC15">
        <v>2150</v>
      </c>
      <c r="BD15" t="s">
        <v>74</v>
      </c>
      <c r="BE15" t="s">
        <v>427</v>
      </c>
      <c r="BF15" t="str">
        <f>HYPERLINK("http://dx.doi.org/10.1111/fwb.14181","http://dx.doi.org/10.1111/fwb.14181")</f>
        <v>http://dx.doi.org/10.1111/fwb.14181</v>
      </c>
      <c r="BG15" t="s">
        <v>74</v>
      </c>
      <c r="BH15" t="s">
        <v>418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">
        <v>428</v>
      </c>
      <c r="BT15" t="str">
        <f>HYPERLINK("https%3A%2F%2Fwww.webofscience.com%2Fwos%2Fwoscc%2Ffull-record%2FWOS:001070535300001","View Full Record in Web of Science")</f>
        <v>View Full Record in Web of Science</v>
      </c>
    </row>
    <row r="16" spans="1:72" x14ac:dyDescent="0.2">
      <c r="A16" t="s">
        <v>72</v>
      </c>
      <c r="B16" t="s">
        <v>440</v>
      </c>
      <c r="C16" t="s">
        <v>74</v>
      </c>
      <c r="D16" t="s">
        <v>74</v>
      </c>
      <c r="E16" t="s">
        <v>74</v>
      </c>
      <c r="F16" t="s">
        <v>441</v>
      </c>
      <c r="G16" t="s">
        <v>74</v>
      </c>
      <c r="H16" t="s">
        <v>74</v>
      </c>
      <c r="I16" t="s">
        <v>442</v>
      </c>
      <c r="J16" t="s">
        <v>443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6787</v>
      </c>
      <c r="AB16" t="s">
        <v>6788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74</v>
      </c>
      <c r="AP16" t="s">
        <v>444</v>
      </c>
      <c r="AQ16" t="s">
        <v>74</v>
      </c>
      <c r="AR16" t="s">
        <v>74</v>
      </c>
      <c r="AS16" t="s">
        <v>74</v>
      </c>
      <c r="AT16" t="s">
        <v>445</v>
      </c>
      <c r="AU16">
        <v>2023</v>
      </c>
      <c r="AV16">
        <v>14</v>
      </c>
      <c r="AW16">
        <v>1</v>
      </c>
      <c r="AX16" t="s">
        <v>74</v>
      </c>
      <c r="AY16" t="s">
        <v>74</v>
      </c>
      <c r="AZ16" t="s">
        <v>74</v>
      </c>
      <c r="BA16" t="s">
        <v>74</v>
      </c>
      <c r="BB16" t="s">
        <v>74</v>
      </c>
      <c r="BC16" t="s">
        <v>74</v>
      </c>
      <c r="BD16">
        <v>5426</v>
      </c>
      <c r="BE16" t="s">
        <v>446</v>
      </c>
      <c r="BF16" t="str">
        <f>HYPERLINK("http://dx.doi.org/10.1038/s41467-023-41073-4","http://dx.doi.org/10.1038/s41467-023-41073-4")</f>
        <v>http://dx.doi.org/10.1038/s41467-023-41073-4</v>
      </c>
      <c r="BG16" t="s">
        <v>74</v>
      </c>
      <c r="BH16" t="s">
        <v>74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>
        <v>37704608</v>
      </c>
      <c r="BO16" t="s">
        <v>74</v>
      </c>
      <c r="BP16" t="s">
        <v>74</v>
      </c>
      <c r="BQ16" t="s">
        <v>74</v>
      </c>
      <c r="BR16" t="s">
        <v>74</v>
      </c>
      <c r="BS16" t="s">
        <v>447</v>
      </c>
      <c r="BT16" t="str">
        <f>HYPERLINK("https%3A%2F%2Fwww.webofscience.com%2Fwos%2Fwoscc%2Ffull-record%2FWOS:001087583700003","View Full Record in Web of Science")</f>
        <v>View Full Record in Web of Science</v>
      </c>
    </row>
    <row r="17" spans="1:72" x14ac:dyDescent="0.2">
      <c r="A17" t="s">
        <v>72</v>
      </c>
      <c r="B17" t="s">
        <v>462</v>
      </c>
      <c r="C17" t="s">
        <v>74</v>
      </c>
      <c r="D17" t="s">
        <v>74</v>
      </c>
      <c r="E17" t="s">
        <v>74</v>
      </c>
      <c r="F17" t="s">
        <v>463</v>
      </c>
      <c r="G17" t="s">
        <v>74</v>
      </c>
      <c r="H17" t="s">
        <v>74</v>
      </c>
      <c r="I17" t="s">
        <v>464</v>
      </c>
      <c r="J17" t="s">
        <v>457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74</v>
      </c>
      <c r="AA17" t="s">
        <v>465</v>
      </c>
      <c r="AB17" t="s">
        <v>466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458</v>
      </c>
      <c r="AP17" t="s">
        <v>74</v>
      </c>
      <c r="AQ17" t="s">
        <v>74</v>
      </c>
      <c r="AR17" t="s">
        <v>74</v>
      </c>
      <c r="AS17" t="s">
        <v>74</v>
      </c>
      <c r="AT17" t="s">
        <v>451</v>
      </c>
      <c r="AU17">
        <v>2023</v>
      </c>
      <c r="AV17">
        <v>13</v>
      </c>
      <c r="AW17">
        <v>9</v>
      </c>
      <c r="AX17" t="s">
        <v>74</v>
      </c>
      <c r="AY17" t="s">
        <v>74</v>
      </c>
      <c r="AZ17" t="s">
        <v>74</v>
      </c>
      <c r="BA17" t="s">
        <v>74</v>
      </c>
      <c r="BB17" t="s">
        <v>74</v>
      </c>
      <c r="BC17" t="s">
        <v>74</v>
      </c>
      <c r="BD17" t="s">
        <v>467</v>
      </c>
      <c r="BE17" t="s">
        <v>468</v>
      </c>
      <c r="BF17" t="str">
        <f>HYPERLINK("http://dx.doi.org/10.1002/ece3.10567","http://dx.doi.org/10.1002/ece3.10567")</f>
        <v>http://dx.doi.org/10.1002/ece3.10567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>
        <v>37753309</v>
      </c>
      <c r="BO17" t="s">
        <v>74</v>
      </c>
      <c r="BP17" t="s">
        <v>74</v>
      </c>
      <c r="BQ17" t="s">
        <v>74</v>
      </c>
      <c r="BR17" t="s">
        <v>74</v>
      </c>
      <c r="BS17" t="s">
        <v>469</v>
      </c>
      <c r="BT17" t="str">
        <f>HYPERLINK("https%3A%2F%2Fwww.webofscience.com%2Fwos%2Fwoscc%2Ffull-record%2FWOS:001069182100001","View Full Record in Web of Science")</f>
        <v>View Full Record in Web of Science</v>
      </c>
    </row>
    <row r="18" spans="1:72" x14ac:dyDescent="0.2">
      <c r="A18" t="s">
        <v>72</v>
      </c>
      <c r="B18" t="s">
        <v>478</v>
      </c>
      <c r="C18" t="s">
        <v>74</v>
      </c>
      <c r="D18" t="s">
        <v>74</v>
      </c>
      <c r="E18" t="s">
        <v>74</v>
      </c>
      <c r="F18" t="s">
        <v>479</v>
      </c>
      <c r="G18" t="s">
        <v>74</v>
      </c>
      <c r="H18" t="s">
        <v>74</v>
      </c>
      <c r="I18" t="s">
        <v>480</v>
      </c>
      <c r="J18" t="s">
        <v>481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 t="s">
        <v>74</v>
      </c>
      <c r="AA18" t="s">
        <v>6794</v>
      </c>
      <c r="AB18" t="s">
        <v>6795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482</v>
      </c>
      <c r="AP18" t="s">
        <v>483</v>
      </c>
      <c r="AQ18" t="s">
        <v>74</v>
      </c>
      <c r="AR18" t="s">
        <v>74</v>
      </c>
      <c r="AS18" t="s">
        <v>74</v>
      </c>
      <c r="AT18" t="s">
        <v>82</v>
      </c>
      <c r="AU18">
        <v>2023</v>
      </c>
      <c r="AV18">
        <v>33</v>
      </c>
      <c r="AW18">
        <v>2</v>
      </c>
      <c r="AX18" t="s">
        <v>74</v>
      </c>
      <c r="AY18" t="s">
        <v>74</v>
      </c>
      <c r="AZ18" t="s">
        <v>74</v>
      </c>
      <c r="BA18" t="s">
        <v>74</v>
      </c>
      <c r="BB18">
        <v>405</v>
      </c>
      <c r="BC18">
        <v>417</v>
      </c>
      <c r="BD18" t="s">
        <v>74</v>
      </c>
      <c r="BE18" t="s">
        <v>484</v>
      </c>
      <c r="BF18" t="str">
        <f>HYPERLINK("http://dx.doi.org/10.1002/tqem.22093","http://dx.doi.org/10.1002/tqem.22093")</f>
        <v>http://dx.doi.org/10.1002/tqem.22093</v>
      </c>
      <c r="BG18" t="s">
        <v>74</v>
      </c>
      <c r="BH18" t="s">
        <v>476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 t="s">
        <v>485</v>
      </c>
      <c r="BT18" t="str">
        <f>HYPERLINK("https%3A%2F%2Fwww.webofscience.com%2Fwos%2Fwoscc%2Ffull-record%2FWOS:001109860300001","View Full Record in Web of Science")</f>
        <v>View Full Record in Web of Science</v>
      </c>
    </row>
    <row r="19" spans="1:72" x14ac:dyDescent="0.2">
      <c r="A19" t="s">
        <v>72</v>
      </c>
      <c r="B19" t="s">
        <v>492</v>
      </c>
      <c r="C19" t="s">
        <v>74</v>
      </c>
      <c r="D19" t="s">
        <v>74</v>
      </c>
      <c r="E19" t="s">
        <v>74</v>
      </c>
      <c r="F19" t="s">
        <v>493</v>
      </c>
      <c r="G19" t="s">
        <v>74</v>
      </c>
      <c r="H19" t="s">
        <v>74</v>
      </c>
      <c r="I19" t="s">
        <v>494</v>
      </c>
      <c r="J19" t="s">
        <v>124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495</v>
      </c>
      <c r="AB19" t="s">
        <v>496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127</v>
      </c>
      <c r="AP19" t="s">
        <v>128</v>
      </c>
      <c r="AQ19" t="s">
        <v>74</v>
      </c>
      <c r="AR19" t="s">
        <v>74</v>
      </c>
      <c r="AS19" t="s">
        <v>74</v>
      </c>
      <c r="AT19" t="s">
        <v>315</v>
      </c>
      <c r="AU19">
        <v>2024</v>
      </c>
      <c r="AV19">
        <v>851</v>
      </c>
      <c r="AW19">
        <v>1</v>
      </c>
      <c r="AX19" t="s">
        <v>74</v>
      </c>
      <c r="AY19" t="s">
        <v>74</v>
      </c>
      <c r="AZ19" t="s">
        <v>74</v>
      </c>
      <c r="BA19" t="s">
        <v>74</v>
      </c>
      <c r="BB19">
        <v>161</v>
      </c>
      <c r="BC19">
        <v>180</v>
      </c>
      <c r="BD19" t="s">
        <v>74</v>
      </c>
      <c r="BE19" t="s">
        <v>497</v>
      </c>
      <c r="BF19" t="str">
        <f>HYPERLINK("http://dx.doi.org/10.1007/s10750-023-05323-2","http://dx.doi.org/10.1007/s10750-023-05323-2")</f>
        <v>http://dx.doi.org/10.1007/s10750-023-05323-2</v>
      </c>
      <c r="BG19" t="s">
        <v>74</v>
      </c>
      <c r="BH19" t="s">
        <v>476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 t="s">
        <v>498</v>
      </c>
      <c r="BT19" t="str">
        <f>HYPERLINK("https%3A%2F%2Fwww.webofscience.com%2Fwos%2Fwoscc%2Ffull-record%2FWOS:001046081300002","View Full Record in Web of Science")</f>
        <v>View Full Record in Web of Science</v>
      </c>
    </row>
    <row r="20" spans="1:72" x14ac:dyDescent="0.2">
      <c r="A20" t="s">
        <v>72</v>
      </c>
      <c r="B20" t="s">
        <v>523</v>
      </c>
      <c r="C20" t="s">
        <v>74</v>
      </c>
      <c r="D20" t="s">
        <v>74</v>
      </c>
      <c r="E20" t="s">
        <v>74</v>
      </c>
      <c r="F20" t="s">
        <v>524</v>
      </c>
      <c r="G20" t="s">
        <v>74</v>
      </c>
      <c r="H20" t="s">
        <v>74</v>
      </c>
      <c r="I20" t="s">
        <v>525</v>
      </c>
      <c r="J20" t="s">
        <v>457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74</v>
      </c>
      <c r="AB20" t="s">
        <v>526</v>
      </c>
      <c r="AC20" t="s">
        <v>74</v>
      </c>
      <c r="AD20" t="s">
        <v>74</v>
      </c>
      <c r="AE20" t="s">
        <v>74</v>
      </c>
      <c r="AF20" t="s">
        <v>74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t="s">
        <v>74</v>
      </c>
      <c r="AN20" t="s">
        <v>74</v>
      </c>
      <c r="AO20" t="s">
        <v>458</v>
      </c>
      <c r="AP20" t="s">
        <v>74</v>
      </c>
      <c r="AQ20" t="s">
        <v>74</v>
      </c>
      <c r="AR20" t="s">
        <v>74</v>
      </c>
      <c r="AS20" t="s">
        <v>74</v>
      </c>
      <c r="AT20" t="s">
        <v>520</v>
      </c>
      <c r="AU20">
        <v>2023</v>
      </c>
      <c r="AV20">
        <v>13</v>
      </c>
      <c r="AW20">
        <v>8</v>
      </c>
      <c r="AX20" t="s">
        <v>74</v>
      </c>
      <c r="AY20" t="s">
        <v>74</v>
      </c>
      <c r="AZ20" t="s">
        <v>74</v>
      </c>
      <c r="BA20" t="s">
        <v>74</v>
      </c>
      <c r="BB20" t="s">
        <v>74</v>
      </c>
      <c r="BC20" t="s">
        <v>74</v>
      </c>
      <c r="BD20" t="s">
        <v>527</v>
      </c>
      <c r="BE20" t="s">
        <v>528</v>
      </c>
      <c r="BF20" t="str">
        <f>HYPERLINK("http://dx.doi.org/10.1002/ece3.10400","http://dx.doi.org/10.1002/ece3.10400")</f>
        <v>http://dx.doi.org/10.1002/ece3.10400</v>
      </c>
      <c r="BG20" t="s">
        <v>74</v>
      </c>
      <c r="BH20" t="s">
        <v>74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>
        <v>37560180</v>
      </c>
      <c r="BO20" t="s">
        <v>74</v>
      </c>
      <c r="BP20" t="s">
        <v>74</v>
      </c>
      <c r="BQ20" t="s">
        <v>74</v>
      </c>
      <c r="BR20" t="s">
        <v>74</v>
      </c>
      <c r="BS20" t="s">
        <v>529</v>
      </c>
      <c r="BT20" t="str">
        <f>HYPERLINK("https%3A%2F%2Fwww.webofscience.com%2Fwos%2Fwoscc%2Ffull-record%2FWOS:001044331600001","View Full Record in Web of Science")</f>
        <v>View Full Record in Web of Science</v>
      </c>
    </row>
    <row r="21" spans="1:72" x14ac:dyDescent="0.2">
      <c r="A21" t="s">
        <v>72</v>
      </c>
      <c r="B21" t="s">
        <v>530</v>
      </c>
      <c r="C21" t="s">
        <v>74</v>
      </c>
      <c r="D21" t="s">
        <v>74</v>
      </c>
      <c r="E21" t="s">
        <v>74</v>
      </c>
      <c r="F21" t="s">
        <v>531</v>
      </c>
      <c r="G21" t="s">
        <v>74</v>
      </c>
      <c r="H21" t="s">
        <v>74</v>
      </c>
      <c r="I21" t="s">
        <v>532</v>
      </c>
      <c r="J21" t="s">
        <v>533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534</v>
      </c>
      <c r="AB21" t="s">
        <v>535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536</v>
      </c>
      <c r="AP21" t="s">
        <v>537</v>
      </c>
      <c r="AQ21" t="s">
        <v>74</v>
      </c>
      <c r="AR21" t="s">
        <v>74</v>
      </c>
      <c r="AS21" t="s">
        <v>74</v>
      </c>
      <c r="AT21" t="s">
        <v>538</v>
      </c>
      <c r="AU21">
        <v>2023</v>
      </c>
      <c r="AV21">
        <v>419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>
        <v>138275</v>
      </c>
      <c r="BE21" t="s">
        <v>539</v>
      </c>
      <c r="BF21" t="str">
        <f>HYPERLINK("http://dx.doi.org/10.1016/j.jclepro.2023.138275","http://dx.doi.org/10.1016/j.jclepro.2023.138275")</f>
        <v>http://dx.doi.org/10.1016/j.jclepro.2023.138275</v>
      </c>
      <c r="BG21" t="s">
        <v>74</v>
      </c>
      <c r="BH21" t="s">
        <v>540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R21" t="s">
        <v>74</v>
      </c>
      <c r="BS21" t="s">
        <v>541</v>
      </c>
      <c r="BT21" t="str">
        <f>HYPERLINK("https%3A%2F%2Fwww.webofscience.com%2Fwos%2Fwoscc%2Ffull-record%2FWOS:001052143700001","View Full Record in Web of Science")</f>
        <v>View Full Record in Web of Science</v>
      </c>
    </row>
    <row r="22" spans="1:72" x14ac:dyDescent="0.2">
      <c r="A22" t="s">
        <v>72</v>
      </c>
      <c r="B22" t="s">
        <v>586</v>
      </c>
      <c r="C22" t="s">
        <v>74</v>
      </c>
      <c r="D22" t="s">
        <v>74</v>
      </c>
      <c r="E22" t="s">
        <v>74</v>
      </c>
      <c r="F22" t="s">
        <v>587</v>
      </c>
      <c r="G22" t="s">
        <v>74</v>
      </c>
      <c r="H22" t="s">
        <v>74</v>
      </c>
      <c r="I22" t="s">
        <v>588</v>
      </c>
      <c r="J22" t="s">
        <v>457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74</v>
      </c>
      <c r="AA22" t="s">
        <v>74</v>
      </c>
      <c r="AB22" t="s">
        <v>589</v>
      </c>
      <c r="AC22" t="s">
        <v>74</v>
      </c>
      <c r="AD22" t="s">
        <v>74</v>
      </c>
      <c r="AE22" t="s">
        <v>74</v>
      </c>
      <c r="AF22" t="s">
        <v>74</v>
      </c>
      <c r="AG22" t="s">
        <v>74</v>
      </c>
      <c r="AH22" t="s">
        <v>74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458</v>
      </c>
      <c r="AP22" t="s">
        <v>74</v>
      </c>
      <c r="AQ22" t="s">
        <v>74</v>
      </c>
      <c r="AR22" t="s">
        <v>74</v>
      </c>
      <c r="AS22" t="s">
        <v>74</v>
      </c>
      <c r="AT22" t="s">
        <v>569</v>
      </c>
      <c r="AU22">
        <v>2023</v>
      </c>
      <c r="AV22">
        <v>13</v>
      </c>
      <c r="AW22">
        <v>6</v>
      </c>
      <c r="AX22" t="s">
        <v>74</v>
      </c>
      <c r="AY22" t="s">
        <v>74</v>
      </c>
      <c r="AZ22" t="s">
        <v>74</v>
      </c>
      <c r="BA22" t="s">
        <v>74</v>
      </c>
      <c r="BB22" t="s">
        <v>74</v>
      </c>
      <c r="BC22" t="s">
        <v>74</v>
      </c>
      <c r="BD22" t="s">
        <v>590</v>
      </c>
      <c r="BE22" t="s">
        <v>591</v>
      </c>
      <c r="BF22" t="str">
        <f>HYPERLINK("http://dx.doi.org/10.1002/ece3.10176","http://dx.doi.org/10.1002/ece3.10176")</f>
        <v>http://dx.doi.org/10.1002/ece3.10176</v>
      </c>
      <c r="BG22" t="s">
        <v>74</v>
      </c>
      <c r="BH22" t="s">
        <v>74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>
        <v>37351479</v>
      </c>
      <c r="BO22" t="s">
        <v>74</v>
      </c>
      <c r="BP22" t="s">
        <v>74</v>
      </c>
      <c r="BQ22" t="s">
        <v>74</v>
      </c>
      <c r="BR22" t="s">
        <v>74</v>
      </c>
      <c r="BS22" t="s">
        <v>592</v>
      </c>
      <c r="BT22" t="str">
        <f>HYPERLINK("https%3A%2F%2Fwww.webofscience.com%2Fwos%2Fwoscc%2Ffull-record%2FWOS:001015486000001","View Full Record in Web of Science")</f>
        <v>View Full Record in Web of Science</v>
      </c>
    </row>
    <row r="23" spans="1:72" x14ac:dyDescent="0.2">
      <c r="A23" t="s">
        <v>72</v>
      </c>
      <c r="B23" t="s">
        <v>621</v>
      </c>
      <c r="C23" t="s">
        <v>74</v>
      </c>
      <c r="D23" t="s">
        <v>74</v>
      </c>
      <c r="E23" t="s">
        <v>74</v>
      </c>
      <c r="F23" t="s">
        <v>622</v>
      </c>
      <c r="G23" t="s">
        <v>74</v>
      </c>
      <c r="H23" t="s">
        <v>74</v>
      </c>
      <c r="I23" t="s">
        <v>623</v>
      </c>
      <c r="J23" t="s">
        <v>227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74</v>
      </c>
      <c r="Y23" t="s">
        <v>74</v>
      </c>
      <c r="Z23" t="s">
        <v>74</v>
      </c>
      <c r="AA23" t="s">
        <v>74</v>
      </c>
      <c r="AB23" t="s">
        <v>6804</v>
      </c>
      <c r="AC23" t="s">
        <v>74</v>
      </c>
      <c r="AD23" t="s">
        <v>74</v>
      </c>
      <c r="AE23" t="s">
        <v>74</v>
      </c>
      <c r="AF23" t="s">
        <v>74</v>
      </c>
      <c r="AG23" t="s">
        <v>74</v>
      </c>
      <c r="AH23" t="s">
        <v>74</v>
      </c>
      <c r="AI23" t="s">
        <v>74</v>
      </c>
      <c r="AJ23" t="s">
        <v>74</v>
      </c>
      <c r="AK23" t="s">
        <v>74</v>
      </c>
      <c r="AL23" t="s">
        <v>74</v>
      </c>
      <c r="AM23" t="s">
        <v>74</v>
      </c>
      <c r="AN23" t="s">
        <v>74</v>
      </c>
      <c r="AO23" t="s">
        <v>230</v>
      </c>
      <c r="AP23" t="s">
        <v>231</v>
      </c>
      <c r="AQ23" t="s">
        <v>74</v>
      </c>
      <c r="AR23" t="s">
        <v>74</v>
      </c>
      <c r="AS23" t="s">
        <v>74</v>
      </c>
      <c r="AT23" t="s">
        <v>624</v>
      </c>
      <c r="AU23">
        <v>2023</v>
      </c>
      <c r="AV23">
        <v>68</v>
      </c>
      <c r="AW23">
        <v>7</v>
      </c>
      <c r="AX23" t="s">
        <v>74</v>
      </c>
      <c r="AY23" t="s">
        <v>74</v>
      </c>
      <c r="AZ23" t="s">
        <v>74</v>
      </c>
      <c r="BA23" t="s">
        <v>74</v>
      </c>
      <c r="BB23">
        <v>1624</v>
      </c>
      <c r="BC23">
        <v>1635</v>
      </c>
      <c r="BD23" t="s">
        <v>74</v>
      </c>
      <c r="BE23" t="s">
        <v>625</v>
      </c>
      <c r="BF23" t="str">
        <f>HYPERLINK("http://dx.doi.org/10.1002/lno.12372","http://dx.doi.org/10.1002/lno.12372")</f>
        <v>http://dx.doi.org/10.1002/lno.12372</v>
      </c>
      <c r="BG23" t="s">
        <v>74</v>
      </c>
      <c r="BH23" t="s">
        <v>626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 t="s">
        <v>627</v>
      </c>
      <c r="BT23" t="str">
        <f>HYPERLINK("https%3A%2F%2Fwww.webofscience.com%2Fwos%2Fwoscc%2Ffull-record%2FWOS:000985751500001","View Full Record in Web of Science")</f>
        <v>View Full Record in Web of Science</v>
      </c>
    </row>
    <row r="24" spans="1:72" x14ac:dyDescent="0.2">
      <c r="A24" t="s">
        <v>72</v>
      </c>
      <c r="B24" t="s">
        <v>662</v>
      </c>
      <c r="C24" t="s">
        <v>74</v>
      </c>
      <c r="D24" t="s">
        <v>74</v>
      </c>
      <c r="E24" t="s">
        <v>74</v>
      </c>
      <c r="F24" t="s">
        <v>663</v>
      </c>
      <c r="G24" t="s">
        <v>74</v>
      </c>
      <c r="H24" t="s">
        <v>74</v>
      </c>
      <c r="I24" t="s">
        <v>664</v>
      </c>
      <c r="J24" t="s">
        <v>457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74</v>
      </c>
      <c r="W24" t="s">
        <v>74</v>
      </c>
      <c r="X24" t="s">
        <v>74</v>
      </c>
      <c r="Y24" t="s">
        <v>74</v>
      </c>
      <c r="Z24" t="s">
        <v>74</v>
      </c>
      <c r="AA24" t="s">
        <v>665</v>
      </c>
      <c r="AB24" t="s">
        <v>666</v>
      </c>
      <c r="AC24" t="s">
        <v>74</v>
      </c>
      <c r="AD24" t="s">
        <v>74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458</v>
      </c>
      <c r="AP24" t="s">
        <v>74</v>
      </c>
      <c r="AQ24" t="s">
        <v>74</v>
      </c>
      <c r="AR24" t="s">
        <v>74</v>
      </c>
      <c r="AS24" t="s">
        <v>74</v>
      </c>
      <c r="AT24" t="s">
        <v>203</v>
      </c>
      <c r="AU24">
        <v>2023</v>
      </c>
      <c r="AV24">
        <v>13</v>
      </c>
      <c r="AW24">
        <v>4</v>
      </c>
      <c r="AX24" t="s">
        <v>74</v>
      </c>
      <c r="AY24" t="s">
        <v>74</v>
      </c>
      <c r="AZ24" t="s">
        <v>74</v>
      </c>
      <c r="BA24" t="s">
        <v>74</v>
      </c>
      <c r="BB24" t="s">
        <v>74</v>
      </c>
      <c r="BC24" t="s">
        <v>74</v>
      </c>
      <c r="BD24" t="s">
        <v>667</v>
      </c>
      <c r="BE24" t="s">
        <v>668</v>
      </c>
      <c r="BF24" t="str">
        <f>HYPERLINK("http://dx.doi.org/10.1002/ece3.9981","http://dx.doi.org/10.1002/ece3.9981")</f>
        <v>http://dx.doi.org/10.1002/ece3.9981</v>
      </c>
      <c r="BG24" t="s">
        <v>74</v>
      </c>
      <c r="BH24" t="s">
        <v>74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>
        <v>37056695</v>
      </c>
      <c r="BO24" t="s">
        <v>74</v>
      </c>
      <c r="BP24" t="s">
        <v>74</v>
      </c>
      <c r="BQ24" t="s">
        <v>74</v>
      </c>
      <c r="BR24" t="s">
        <v>74</v>
      </c>
      <c r="BS24" t="s">
        <v>669</v>
      </c>
      <c r="BT24" t="str">
        <f>HYPERLINK("https%3A%2F%2Fwww.webofscience.com%2Fwos%2Fwoscc%2Ffull-record%2FWOS:000968764400001","View Full Record in Web of Science")</f>
        <v>View Full Record in Web of Science</v>
      </c>
    </row>
    <row r="25" spans="1:72" x14ac:dyDescent="0.2">
      <c r="A25" t="s">
        <v>72</v>
      </c>
      <c r="B25" t="s">
        <v>679</v>
      </c>
      <c r="C25" t="s">
        <v>74</v>
      </c>
      <c r="D25" t="s">
        <v>74</v>
      </c>
      <c r="E25" t="s">
        <v>74</v>
      </c>
      <c r="F25" t="s">
        <v>680</v>
      </c>
      <c r="G25" t="s">
        <v>74</v>
      </c>
      <c r="H25" t="s">
        <v>74</v>
      </c>
      <c r="I25" t="s">
        <v>681</v>
      </c>
      <c r="J25" t="s">
        <v>88</v>
      </c>
      <c r="K25" t="s">
        <v>74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74</v>
      </c>
      <c r="AA25" t="s">
        <v>74</v>
      </c>
      <c r="AB25" t="s">
        <v>682</v>
      </c>
      <c r="AC25" t="s">
        <v>74</v>
      </c>
      <c r="AD25" t="s">
        <v>74</v>
      </c>
      <c r="AE25" t="s">
        <v>74</v>
      </c>
      <c r="AF25" t="s">
        <v>74</v>
      </c>
      <c r="AG25" t="s">
        <v>74</v>
      </c>
      <c r="AH25" t="s">
        <v>74</v>
      </c>
      <c r="AI25" t="s">
        <v>74</v>
      </c>
      <c r="AJ25" t="s">
        <v>74</v>
      </c>
      <c r="AK25" t="s">
        <v>74</v>
      </c>
      <c r="AL25" t="s">
        <v>74</v>
      </c>
      <c r="AM25" t="s">
        <v>74</v>
      </c>
      <c r="AN25" t="s">
        <v>74</v>
      </c>
      <c r="AO25" t="s">
        <v>89</v>
      </c>
      <c r="AP25" t="s">
        <v>90</v>
      </c>
      <c r="AQ25" t="s">
        <v>74</v>
      </c>
      <c r="AR25" t="s">
        <v>74</v>
      </c>
      <c r="AS25" t="s">
        <v>74</v>
      </c>
      <c r="AT25" t="s">
        <v>520</v>
      </c>
      <c r="AU25">
        <v>2023</v>
      </c>
      <c r="AV25">
        <v>80</v>
      </c>
      <c r="AW25">
        <v>8</v>
      </c>
      <c r="AX25" t="s">
        <v>74</v>
      </c>
      <c r="AY25" t="s">
        <v>74</v>
      </c>
      <c r="AZ25" t="s">
        <v>74</v>
      </c>
      <c r="BA25" t="s">
        <v>74</v>
      </c>
      <c r="BB25">
        <v>1248</v>
      </c>
      <c r="BC25">
        <v>1267</v>
      </c>
      <c r="BD25" t="s">
        <v>74</v>
      </c>
      <c r="BE25" t="s">
        <v>683</v>
      </c>
      <c r="BF25" t="str">
        <f>HYPERLINK("http://dx.doi.org/10.1139/cjfas-2022-0293","http://dx.doi.org/10.1139/cjfas-2022-0293")</f>
        <v>http://dx.doi.org/10.1139/cjfas-2022-0293</v>
      </c>
      <c r="BG25" t="s">
        <v>74</v>
      </c>
      <c r="BH25" t="s">
        <v>677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">
        <v>684</v>
      </c>
      <c r="BT25" t="str">
        <f>HYPERLINK("https%3A%2F%2Fwww.webofscience.com%2Fwos%2Fwoscc%2Ffull-record%2FWOS:000978403300001","View Full Record in Web of Science")</f>
        <v>View Full Record in Web of Science</v>
      </c>
    </row>
    <row r="26" spans="1:72" x14ac:dyDescent="0.2">
      <c r="A26" t="s">
        <v>72</v>
      </c>
      <c r="B26" t="s">
        <v>738</v>
      </c>
      <c r="C26" t="s">
        <v>74</v>
      </c>
      <c r="D26" t="s">
        <v>74</v>
      </c>
      <c r="E26" t="s">
        <v>74</v>
      </c>
      <c r="F26" t="s">
        <v>739</v>
      </c>
      <c r="G26" t="s">
        <v>74</v>
      </c>
      <c r="H26" t="s">
        <v>74</v>
      </c>
      <c r="I26" t="s">
        <v>740</v>
      </c>
      <c r="J26" t="s">
        <v>292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  <c r="Z26" t="s">
        <v>74</v>
      </c>
      <c r="AA26" t="s">
        <v>741</v>
      </c>
      <c r="AB26" t="s">
        <v>742</v>
      </c>
      <c r="AC26" t="s">
        <v>74</v>
      </c>
      <c r="AD26" t="s">
        <v>74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74</v>
      </c>
      <c r="AP26" t="s">
        <v>294</v>
      </c>
      <c r="AQ26" t="s">
        <v>74</v>
      </c>
      <c r="AR26" t="s">
        <v>74</v>
      </c>
      <c r="AS26" t="s">
        <v>74</v>
      </c>
      <c r="AT26" t="s">
        <v>416</v>
      </c>
      <c r="AU26">
        <v>2023</v>
      </c>
      <c r="AV26">
        <v>15</v>
      </c>
      <c r="AW26">
        <v>2</v>
      </c>
      <c r="AX26" t="s">
        <v>74</v>
      </c>
      <c r="AY26" t="s">
        <v>74</v>
      </c>
      <c r="AZ26" t="s">
        <v>74</v>
      </c>
      <c r="BA26" t="s">
        <v>74</v>
      </c>
      <c r="BB26" t="s">
        <v>74</v>
      </c>
      <c r="BC26" t="s">
        <v>74</v>
      </c>
      <c r="BD26">
        <v>263</v>
      </c>
      <c r="BE26" t="s">
        <v>743</v>
      </c>
      <c r="BF26" t="str">
        <f>HYPERLINK("http://dx.doi.org/10.3390/d15020263","http://dx.doi.org/10.3390/d15020263")</f>
        <v>http://dx.doi.org/10.3390/d15020263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 t="s">
        <v>744</v>
      </c>
      <c r="BT26" t="str">
        <f>HYPERLINK("https%3A%2F%2Fwww.webofscience.com%2Fwos%2Fwoscc%2Ffull-record%2FWOS:000944987400001","View Full Record in Web of Science")</f>
        <v>View Full Record in Web of Science</v>
      </c>
    </row>
    <row r="27" spans="1:72" x14ac:dyDescent="0.2">
      <c r="A27" t="s">
        <v>72</v>
      </c>
      <c r="B27" t="s">
        <v>807</v>
      </c>
      <c r="C27" t="s">
        <v>74</v>
      </c>
      <c r="D27" t="s">
        <v>74</v>
      </c>
      <c r="E27" t="s">
        <v>74</v>
      </c>
      <c r="F27" t="s">
        <v>808</v>
      </c>
      <c r="G27" t="s">
        <v>74</v>
      </c>
      <c r="H27" t="s">
        <v>74</v>
      </c>
      <c r="I27" t="s">
        <v>809</v>
      </c>
      <c r="J27" t="s">
        <v>810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74</v>
      </c>
      <c r="Y27" t="s">
        <v>74</v>
      </c>
      <c r="Z27" t="s">
        <v>74</v>
      </c>
      <c r="AA27" t="s">
        <v>74</v>
      </c>
      <c r="AB27" t="s">
        <v>74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811</v>
      </c>
      <c r="AP27" t="s">
        <v>74</v>
      </c>
      <c r="AQ27" t="s">
        <v>74</v>
      </c>
      <c r="AR27" t="s">
        <v>74</v>
      </c>
      <c r="AS27" t="s">
        <v>74</v>
      </c>
      <c r="AT27" t="s">
        <v>812</v>
      </c>
      <c r="AU27">
        <v>2023</v>
      </c>
      <c r="AV27">
        <v>11</v>
      </c>
      <c r="AW27">
        <v>1</v>
      </c>
      <c r="AX27" t="s">
        <v>74</v>
      </c>
      <c r="AY27" t="s">
        <v>74</v>
      </c>
      <c r="AZ27" t="s">
        <v>74</v>
      </c>
      <c r="BA27" t="s">
        <v>74</v>
      </c>
      <c r="BB27" t="s">
        <v>74</v>
      </c>
      <c r="BC27" t="s">
        <v>74</v>
      </c>
      <c r="BD27" t="s">
        <v>813</v>
      </c>
      <c r="BE27" t="s">
        <v>814</v>
      </c>
      <c r="BF27" t="str">
        <f>HYPERLINK("http://dx.doi.org/10.1093/conphys/coad021","http://dx.doi.org/10.1093/conphys/coad021")</f>
        <v>http://dx.doi.org/10.1093/conphys/coad021</v>
      </c>
      <c r="BG27" t="s">
        <v>74</v>
      </c>
      <c r="BH27" t="s">
        <v>74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>
        <v>37152447</v>
      </c>
      <c r="BO27" t="s">
        <v>74</v>
      </c>
      <c r="BP27" t="s">
        <v>74</v>
      </c>
      <c r="BQ27" t="s">
        <v>74</v>
      </c>
      <c r="BR27" t="s">
        <v>74</v>
      </c>
      <c r="BS27" t="s">
        <v>815</v>
      </c>
      <c r="BT27" t="str">
        <f>HYPERLINK("https%3A%2F%2Fwww.webofscience.com%2Fwos%2Fwoscc%2Ffull-record%2FWOS:000981155500001","View Full Record in Web of Science")</f>
        <v>View Full Record in Web of Science</v>
      </c>
    </row>
    <row r="28" spans="1:72" x14ac:dyDescent="0.2">
      <c r="A28" t="s">
        <v>72</v>
      </c>
      <c r="B28" t="s">
        <v>841</v>
      </c>
      <c r="C28" t="s">
        <v>74</v>
      </c>
      <c r="D28" t="s">
        <v>74</v>
      </c>
      <c r="E28" t="s">
        <v>74</v>
      </c>
      <c r="F28" t="s">
        <v>842</v>
      </c>
      <c r="G28" t="s">
        <v>74</v>
      </c>
      <c r="H28" t="s">
        <v>74</v>
      </c>
      <c r="I28" t="s">
        <v>843</v>
      </c>
      <c r="J28" t="s">
        <v>844</v>
      </c>
      <c r="K28" t="s">
        <v>74</v>
      </c>
      <c r="L28" t="s">
        <v>74</v>
      </c>
      <c r="M28" t="s">
        <v>74</v>
      </c>
      <c r="N28" t="s">
        <v>74</v>
      </c>
      <c r="O28" t="s">
        <v>74</v>
      </c>
      <c r="P28" t="s">
        <v>74</v>
      </c>
      <c r="Q28" t="s">
        <v>74</v>
      </c>
      <c r="R28" t="s">
        <v>74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74</v>
      </c>
      <c r="Y28" t="s">
        <v>74</v>
      </c>
      <c r="Z28" t="s">
        <v>74</v>
      </c>
      <c r="AA28" t="s">
        <v>845</v>
      </c>
      <c r="AB28" t="s">
        <v>846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847</v>
      </c>
      <c r="AP28" t="s">
        <v>848</v>
      </c>
      <c r="AQ28" t="s">
        <v>74</v>
      </c>
      <c r="AR28" t="s">
        <v>74</v>
      </c>
      <c r="AS28" t="s">
        <v>74</v>
      </c>
      <c r="AT28" t="s">
        <v>416</v>
      </c>
      <c r="AU28">
        <v>2023</v>
      </c>
      <c r="AV28">
        <v>42</v>
      </c>
      <c r="AW28">
        <v>2</v>
      </c>
      <c r="AX28" t="s">
        <v>74</v>
      </c>
      <c r="AY28" t="s">
        <v>74</v>
      </c>
      <c r="AZ28" t="s">
        <v>74</v>
      </c>
      <c r="BA28" t="s">
        <v>74</v>
      </c>
      <c r="BB28">
        <v>385</v>
      </c>
      <c r="BC28">
        <v>392</v>
      </c>
      <c r="BD28" t="s">
        <v>74</v>
      </c>
      <c r="BE28" t="s">
        <v>849</v>
      </c>
      <c r="BF28" t="str">
        <f>HYPERLINK("http://dx.doi.org/10.1002/etc.5525","http://dx.doi.org/10.1002/etc.5525")</f>
        <v>http://dx.doi.org/10.1002/etc.5525</v>
      </c>
      <c r="BG28" t="s">
        <v>74</v>
      </c>
      <c r="BH28" t="s">
        <v>822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>
        <v>36377689</v>
      </c>
      <c r="BO28" t="s">
        <v>74</v>
      </c>
      <c r="BP28" t="s">
        <v>74</v>
      </c>
      <c r="BQ28" t="s">
        <v>74</v>
      </c>
      <c r="BR28" t="s">
        <v>74</v>
      </c>
      <c r="BS28" t="s">
        <v>850</v>
      </c>
      <c r="BT28" t="str">
        <f>HYPERLINK("https%3A%2F%2Fwww.webofscience.com%2Fwos%2Fwoscc%2Ffull-record%2FWOS:000898038100001","View Full Record in Web of Science")</f>
        <v>View Full Record in Web of Science</v>
      </c>
    </row>
    <row r="29" spans="1:72" x14ac:dyDescent="0.2">
      <c r="A29" t="s">
        <v>72</v>
      </c>
      <c r="B29" t="s">
        <v>1003</v>
      </c>
      <c r="C29" t="s">
        <v>74</v>
      </c>
      <c r="D29" t="s">
        <v>74</v>
      </c>
      <c r="E29" t="s">
        <v>74</v>
      </c>
      <c r="F29" t="s">
        <v>1004</v>
      </c>
      <c r="G29" t="s">
        <v>74</v>
      </c>
      <c r="H29" t="s">
        <v>74</v>
      </c>
      <c r="I29" t="s">
        <v>1005</v>
      </c>
      <c r="J29" t="s">
        <v>171</v>
      </c>
      <c r="K29" t="s">
        <v>74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74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74</v>
      </c>
      <c r="Y29" t="s">
        <v>74</v>
      </c>
      <c r="Z29" t="s">
        <v>74</v>
      </c>
      <c r="AA29" t="s">
        <v>74</v>
      </c>
      <c r="AB29" t="s">
        <v>1006</v>
      </c>
      <c r="AC29" t="s">
        <v>74</v>
      </c>
      <c r="AD29" t="s">
        <v>74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172</v>
      </c>
      <c r="AP29" t="s">
        <v>173</v>
      </c>
      <c r="AQ29" t="s">
        <v>74</v>
      </c>
      <c r="AR29" t="s">
        <v>74</v>
      </c>
      <c r="AS29" t="s">
        <v>74</v>
      </c>
      <c r="AT29" t="s">
        <v>1007</v>
      </c>
      <c r="AU29">
        <v>2022</v>
      </c>
      <c r="AV29">
        <v>224</v>
      </c>
      <c r="AW29" t="s">
        <v>74</v>
      </c>
      <c r="AX29" t="s">
        <v>74</v>
      </c>
      <c r="AY29" t="s">
        <v>74</v>
      </c>
      <c r="AZ29" t="s">
        <v>74</v>
      </c>
      <c r="BA29" t="s">
        <v>74</v>
      </c>
      <c r="BB29" t="s">
        <v>74</v>
      </c>
      <c r="BC29" t="s">
        <v>74</v>
      </c>
      <c r="BD29">
        <v>119075</v>
      </c>
      <c r="BE29" t="s">
        <v>1008</v>
      </c>
      <c r="BF29" t="str">
        <f>HYPERLINK("http://dx.doi.org/10.1016/j.watres.2022.119075","http://dx.doi.org/10.1016/j.watres.2022.119075")</f>
        <v>http://dx.doi.org/10.1016/j.watres.2022.119075</v>
      </c>
      <c r="BG29" t="s">
        <v>74</v>
      </c>
      <c r="BH29" t="s">
        <v>978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>
        <v>36116191</v>
      </c>
      <c r="BO29" t="s">
        <v>74</v>
      </c>
      <c r="BP29" t="s">
        <v>74</v>
      </c>
      <c r="BQ29" t="s">
        <v>74</v>
      </c>
      <c r="BR29" t="s">
        <v>74</v>
      </c>
      <c r="BS29" t="s">
        <v>1009</v>
      </c>
      <c r="BT29" t="str">
        <f>HYPERLINK("https%3A%2F%2Fwww.webofscience.com%2Fwos%2Fwoscc%2Ffull-record%2FWOS:000861750600003","View Full Record in Web of Science")</f>
        <v>View Full Record in Web of Science</v>
      </c>
    </row>
    <row r="30" spans="1:72" x14ac:dyDescent="0.2">
      <c r="A30" t="s">
        <v>72</v>
      </c>
      <c r="B30" t="s">
        <v>1010</v>
      </c>
      <c r="C30" t="s">
        <v>74</v>
      </c>
      <c r="D30" t="s">
        <v>74</v>
      </c>
      <c r="E30" t="s">
        <v>74</v>
      </c>
      <c r="F30" t="s">
        <v>1011</v>
      </c>
      <c r="G30" t="s">
        <v>74</v>
      </c>
      <c r="H30" t="s">
        <v>74</v>
      </c>
      <c r="I30" t="s">
        <v>1012</v>
      </c>
      <c r="J30" t="s">
        <v>381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74</v>
      </c>
      <c r="T30" t="s">
        <v>74</v>
      </c>
      <c r="U30" t="s">
        <v>74</v>
      </c>
      <c r="V30" t="s">
        <v>74</v>
      </c>
      <c r="W30" t="s">
        <v>74</v>
      </c>
      <c r="X30" t="s">
        <v>74</v>
      </c>
      <c r="Y30" t="s">
        <v>74</v>
      </c>
      <c r="Z30" t="s">
        <v>74</v>
      </c>
      <c r="AA30" t="s">
        <v>1013</v>
      </c>
      <c r="AB30" t="s">
        <v>1014</v>
      </c>
      <c r="AC30" t="s">
        <v>74</v>
      </c>
      <c r="AD30" t="s">
        <v>74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383</v>
      </c>
      <c r="AP30" t="s">
        <v>384</v>
      </c>
      <c r="AQ30" t="s">
        <v>74</v>
      </c>
      <c r="AR30" t="s">
        <v>74</v>
      </c>
      <c r="AS30" t="s">
        <v>74</v>
      </c>
      <c r="AT30" t="s">
        <v>1015</v>
      </c>
      <c r="AU30">
        <v>2022</v>
      </c>
      <c r="AV30">
        <v>313</v>
      </c>
      <c r="AW30" t="s">
        <v>74</v>
      </c>
      <c r="AX30" t="s">
        <v>74</v>
      </c>
      <c r="AY30" t="s">
        <v>74</v>
      </c>
      <c r="AZ30" t="s">
        <v>74</v>
      </c>
      <c r="BA30" t="s">
        <v>74</v>
      </c>
      <c r="BB30" t="s">
        <v>74</v>
      </c>
      <c r="BC30" t="s">
        <v>74</v>
      </c>
      <c r="BD30">
        <v>120127</v>
      </c>
      <c r="BE30" t="s">
        <v>1016</v>
      </c>
      <c r="BF30" t="str">
        <f>HYPERLINK("http://dx.doi.org/10.1016/j.envpol.2022.120127","http://dx.doi.org/10.1016/j.envpol.2022.120127")</f>
        <v>http://dx.doi.org/10.1016/j.envpol.2022.120127</v>
      </c>
      <c r="BG30" t="s">
        <v>74</v>
      </c>
      <c r="BH30" t="s">
        <v>978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>
        <v>36089138</v>
      </c>
      <c r="BO30" t="s">
        <v>74</v>
      </c>
      <c r="BP30" t="s">
        <v>74</v>
      </c>
      <c r="BQ30" t="s">
        <v>74</v>
      </c>
      <c r="BR30" t="s">
        <v>74</v>
      </c>
      <c r="BS30" t="s">
        <v>1017</v>
      </c>
      <c r="BT30" t="str">
        <f>HYPERLINK("https%3A%2F%2Fwww.webofscience.com%2Fwos%2Fwoscc%2Ffull-record%2FWOS:000858736100004","View Full Record in Web of Science")</f>
        <v>View Full Record in Web of Science</v>
      </c>
    </row>
    <row r="31" spans="1:72" x14ac:dyDescent="0.2">
      <c r="A31" t="s">
        <v>72</v>
      </c>
      <c r="B31" t="s">
        <v>1084</v>
      </c>
      <c r="C31" t="s">
        <v>74</v>
      </c>
      <c r="D31" t="s">
        <v>74</v>
      </c>
      <c r="E31" t="s">
        <v>74</v>
      </c>
      <c r="F31" t="s">
        <v>1085</v>
      </c>
      <c r="G31" t="s">
        <v>74</v>
      </c>
      <c r="H31" t="s">
        <v>74</v>
      </c>
      <c r="I31" t="s">
        <v>1086</v>
      </c>
      <c r="J31" t="s">
        <v>227</v>
      </c>
      <c r="K31" t="s">
        <v>74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74</v>
      </c>
      <c r="U31" t="s">
        <v>74</v>
      </c>
      <c r="V31" t="s">
        <v>74</v>
      </c>
      <c r="W31" t="s">
        <v>74</v>
      </c>
      <c r="X31" t="s">
        <v>74</v>
      </c>
      <c r="Y31" t="s">
        <v>74</v>
      </c>
      <c r="Z31" t="s">
        <v>74</v>
      </c>
      <c r="AA31" t="s">
        <v>1087</v>
      </c>
      <c r="AB31" t="s">
        <v>1088</v>
      </c>
      <c r="AC31" t="s">
        <v>74</v>
      </c>
      <c r="AD31" t="s">
        <v>74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230</v>
      </c>
      <c r="AP31" t="s">
        <v>231</v>
      </c>
      <c r="AQ31" t="s">
        <v>74</v>
      </c>
      <c r="AR31" t="s">
        <v>74</v>
      </c>
      <c r="AS31" t="s">
        <v>74</v>
      </c>
      <c r="AT31" t="s">
        <v>406</v>
      </c>
      <c r="AU31">
        <v>2022</v>
      </c>
      <c r="AV31">
        <v>67</v>
      </c>
      <c r="AW31">
        <v>10</v>
      </c>
      <c r="AX31" t="s">
        <v>74</v>
      </c>
      <c r="AY31" t="s">
        <v>74</v>
      </c>
      <c r="AZ31" t="s">
        <v>74</v>
      </c>
      <c r="BA31" t="s">
        <v>74</v>
      </c>
      <c r="BB31">
        <v>2252</v>
      </c>
      <c r="BC31">
        <v>2264</v>
      </c>
      <c r="BD31" t="s">
        <v>74</v>
      </c>
      <c r="BE31" t="s">
        <v>1089</v>
      </c>
      <c r="BF31" t="str">
        <f>HYPERLINK("http://dx.doi.org/10.1002/lno.12200","http://dx.doi.org/10.1002/lno.12200")</f>
        <v>http://dx.doi.org/10.1002/lno.12200</v>
      </c>
      <c r="BG31" t="s">
        <v>74</v>
      </c>
      <c r="BH31" t="s">
        <v>1068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 t="s">
        <v>1090</v>
      </c>
      <c r="BT31" t="str">
        <f>HYPERLINK("https%3A%2F%2Fwww.webofscience.com%2Fwos%2Fwoscc%2Ffull-record%2FWOS:000851467000001","View Full Record in Web of Science")</f>
        <v>View Full Record in Web of Science</v>
      </c>
    </row>
    <row r="32" spans="1:72" x14ac:dyDescent="0.2">
      <c r="A32" t="s">
        <v>72</v>
      </c>
      <c r="B32" t="s">
        <v>1091</v>
      </c>
      <c r="C32" t="s">
        <v>74</v>
      </c>
      <c r="D32" t="s">
        <v>74</v>
      </c>
      <c r="E32" t="s">
        <v>74</v>
      </c>
      <c r="F32" t="s">
        <v>1092</v>
      </c>
      <c r="G32" t="s">
        <v>74</v>
      </c>
      <c r="H32" t="s">
        <v>74</v>
      </c>
      <c r="I32" t="s">
        <v>1093</v>
      </c>
      <c r="J32" t="s">
        <v>827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74</v>
      </c>
      <c r="V32" t="s">
        <v>74</v>
      </c>
      <c r="W32" t="s">
        <v>74</v>
      </c>
      <c r="X32" t="s">
        <v>74</v>
      </c>
      <c r="Y32" t="s">
        <v>74</v>
      </c>
      <c r="Z32" t="s">
        <v>74</v>
      </c>
      <c r="AA32" t="s">
        <v>1094</v>
      </c>
      <c r="AB32" t="s">
        <v>6761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829</v>
      </c>
      <c r="AP32" t="s">
        <v>830</v>
      </c>
      <c r="AQ32" t="s">
        <v>74</v>
      </c>
      <c r="AR32" t="s">
        <v>74</v>
      </c>
      <c r="AS32" t="s">
        <v>74</v>
      </c>
      <c r="AT32" t="s">
        <v>335</v>
      </c>
      <c r="AU32">
        <v>2022</v>
      </c>
      <c r="AV32">
        <v>31</v>
      </c>
      <c r="AW32">
        <v>11</v>
      </c>
      <c r="AX32" t="s">
        <v>74</v>
      </c>
      <c r="AY32" t="s">
        <v>74</v>
      </c>
      <c r="AZ32" t="s">
        <v>74</v>
      </c>
      <c r="BA32" t="s">
        <v>74</v>
      </c>
      <c r="BB32">
        <v>2337</v>
      </c>
      <c r="BC32">
        <v>2352</v>
      </c>
      <c r="BD32" t="s">
        <v>74</v>
      </c>
      <c r="BE32" t="s">
        <v>1095</v>
      </c>
      <c r="BF32" t="str">
        <f>HYPERLINK("http://dx.doi.org/10.1111/geb.13575","http://dx.doi.org/10.1111/geb.13575")</f>
        <v>http://dx.doi.org/10.1111/geb.13575</v>
      </c>
      <c r="BG32" t="s">
        <v>74</v>
      </c>
      <c r="BH32" t="s">
        <v>1068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 t="s">
        <v>74</v>
      </c>
      <c r="BR32" t="s">
        <v>74</v>
      </c>
      <c r="BS32" t="s">
        <v>1096</v>
      </c>
      <c r="BT32" t="str">
        <f>HYPERLINK("https%3A%2F%2Fwww.webofscience.com%2Fwos%2Fwoscc%2Ffull-record%2FWOS:000837751100001","View Full Record in Web of Science")</f>
        <v>View Full Record in Web of Science</v>
      </c>
    </row>
    <row r="33" spans="1:72" x14ac:dyDescent="0.2">
      <c r="A33" t="s">
        <v>72</v>
      </c>
      <c r="B33" t="s">
        <v>1105</v>
      </c>
      <c r="C33" t="s">
        <v>74</v>
      </c>
      <c r="D33" t="s">
        <v>74</v>
      </c>
      <c r="E33" t="s">
        <v>74</v>
      </c>
      <c r="F33" t="s">
        <v>1106</v>
      </c>
      <c r="G33" t="s">
        <v>74</v>
      </c>
      <c r="H33" t="s">
        <v>74</v>
      </c>
      <c r="I33" t="s">
        <v>1107</v>
      </c>
      <c r="J33" t="s">
        <v>1100</v>
      </c>
      <c r="K33" t="s">
        <v>74</v>
      </c>
      <c r="L33" t="s">
        <v>74</v>
      </c>
      <c r="M33" t="s">
        <v>74</v>
      </c>
      <c r="N33" t="s">
        <v>74</v>
      </c>
      <c r="O33" t="s">
        <v>74</v>
      </c>
      <c r="P33" t="s">
        <v>74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74</v>
      </c>
      <c r="Y33" t="s">
        <v>74</v>
      </c>
      <c r="Z33" t="s">
        <v>74</v>
      </c>
      <c r="AA33" t="s">
        <v>1108</v>
      </c>
      <c r="AB33" t="s">
        <v>1109</v>
      </c>
      <c r="AC33" t="s">
        <v>74</v>
      </c>
      <c r="AD33" t="s">
        <v>74</v>
      </c>
      <c r="AE33" t="s">
        <v>74</v>
      </c>
      <c r="AF33" t="s">
        <v>74</v>
      </c>
      <c r="AG33" t="s">
        <v>74</v>
      </c>
      <c r="AH33" t="s">
        <v>74</v>
      </c>
      <c r="AI33" t="s">
        <v>74</v>
      </c>
      <c r="AJ33" t="s">
        <v>74</v>
      </c>
      <c r="AK33" t="s">
        <v>74</v>
      </c>
      <c r="AL33" t="s">
        <v>74</v>
      </c>
      <c r="AM33" t="s">
        <v>74</v>
      </c>
      <c r="AN33" t="s">
        <v>74</v>
      </c>
      <c r="AO33" t="s">
        <v>74</v>
      </c>
      <c r="AP33" t="s">
        <v>1101</v>
      </c>
      <c r="AQ33" t="s">
        <v>74</v>
      </c>
      <c r="AR33" t="s">
        <v>74</v>
      </c>
      <c r="AS33" t="s">
        <v>74</v>
      </c>
      <c r="AT33" t="s">
        <v>1102</v>
      </c>
      <c r="AU33">
        <v>2022</v>
      </c>
      <c r="AV33">
        <v>10</v>
      </c>
      <c r="AW33" t="s">
        <v>74</v>
      </c>
      <c r="AX33" t="s">
        <v>74</v>
      </c>
      <c r="AY33" t="s">
        <v>74</v>
      </c>
      <c r="AZ33" t="s">
        <v>74</v>
      </c>
      <c r="BA33" t="s">
        <v>74</v>
      </c>
      <c r="BB33" t="s">
        <v>74</v>
      </c>
      <c r="BC33" t="s">
        <v>74</v>
      </c>
      <c r="BD33">
        <v>903095</v>
      </c>
      <c r="BE33" t="s">
        <v>1110</v>
      </c>
      <c r="BF33" t="str">
        <f>HYPERLINK("http://dx.doi.org/10.3389/fenvs.2022.903095","http://dx.doi.org/10.3389/fenvs.2022.903095")</f>
        <v>http://dx.doi.org/10.3389/fenvs.2022.903095</v>
      </c>
      <c r="BG33" t="s">
        <v>74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">
        <v>1111</v>
      </c>
      <c r="BT33" t="str">
        <f>HYPERLINK("https%3A%2F%2Fwww.webofscience.com%2Fwos%2Fwoscc%2Ffull-record%2FWOS:000868160000001","View Full Record in Web of Science")</f>
        <v>View Full Record in Web of Science</v>
      </c>
    </row>
    <row r="34" spans="1:72" x14ac:dyDescent="0.2">
      <c r="A34" t="s">
        <v>72</v>
      </c>
      <c r="B34" t="s">
        <v>1112</v>
      </c>
      <c r="C34" t="s">
        <v>74</v>
      </c>
      <c r="D34" t="s">
        <v>74</v>
      </c>
      <c r="E34" t="s">
        <v>74</v>
      </c>
      <c r="F34" t="s">
        <v>1113</v>
      </c>
      <c r="G34" t="s">
        <v>74</v>
      </c>
      <c r="H34" t="s">
        <v>74</v>
      </c>
      <c r="I34" t="s">
        <v>1114</v>
      </c>
      <c r="J34" t="s">
        <v>180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74</v>
      </c>
      <c r="AB34" t="s">
        <v>6827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182</v>
      </c>
      <c r="AP34" t="s">
        <v>183</v>
      </c>
      <c r="AQ34" t="s">
        <v>74</v>
      </c>
      <c r="AR34" t="s">
        <v>74</v>
      </c>
      <c r="AS34" t="s">
        <v>74</v>
      </c>
      <c r="AT34" t="s">
        <v>335</v>
      </c>
      <c r="AU34">
        <v>2022</v>
      </c>
      <c r="AV34">
        <v>2022</v>
      </c>
      <c r="AW34">
        <v>11</v>
      </c>
      <c r="AX34" t="s">
        <v>74</v>
      </c>
      <c r="AY34" t="s">
        <v>74</v>
      </c>
      <c r="AZ34" t="s">
        <v>74</v>
      </c>
      <c r="BA34" t="s">
        <v>74</v>
      </c>
      <c r="BB34" t="s">
        <v>74</v>
      </c>
      <c r="BC34" t="s">
        <v>74</v>
      </c>
      <c r="BD34" t="s">
        <v>1115</v>
      </c>
      <c r="BE34" t="s">
        <v>1116</v>
      </c>
      <c r="BF34" t="str">
        <f>HYPERLINK("http://dx.doi.org/10.1111/oik.09173","http://dx.doi.org/10.1111/oik.09173")</f>
        <v>http://dx.doi.org/10.1111/oik.09173</v>
      </c>
      <c r="BG34" t="s">
        <v>74</v>
      </c>
      <c r="BH34" t="s">
        <v>1117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 t="s">
        <v>1118</v>
      </c>
      <c r="BT34" t="str">
        <f>HYPERLINK("https%3A%2F%2Fwww.webofscience.com%2Fwos%2Fwoscc%2Ffull-record%2FWOS:000822743400001","View Full Record in Web of Science")</f>
        <v>View Full Record in Web of Science</v>
      </c>
    </row>
    <row r="35" spans="1:72" x14ac:dyDescent="0.2">
      <c r="A35" t="s">
        <v>72</v>
      </c>
      <c r="B35" t="s">
        <v>1119</v>
      </c>
      <c r="C35" t="s">
        <v>74</v>
      </c>
      <c r="D35" t="s">
        <v>74</v>
      </c>
      <c r="E35" t="s">
        <v>74</v>
      </c>
      <c r="F35" t="s">
        <v>1120</v>
      </c>
      <c r="G35" t="s">
        <v>74</v>
      </c>
      <c r="H35" t="s">
        <v>74</v>
      </c>
      <c r="I35" t="s">
        <v>1121</v>
      </c>
      <c r="J35" t="s">
        <v>1122</v>
      </c>
      <c r="K35" t="s">
        <v>74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74</v>
      </c>
      <c r="T35" t="s">
        <v>74</v>
      </c>
      <c r="U35" t="s">
        <v>74</v>
      </c>
      <c r="V35" t="s">
        <v>74</v>
      </c>
      <c r="W35" t="s">
        <v>74</v>
      </c>
      <c r="X35" t="s">
        <v>74</v>
      </c>
      <c r="Y35" t="s">
        <v>74</v>
      </c>
      <c r="Z35" t="s">
        <v>74</v>
      </c>
      <c r="AA35" t="s">
        <v>6828</v>
      </c>
      <c r="AB35" t="s">
        <v>6829</v>
      </c>
      <c r="AC35" t="s">
        <v>74</v>
      </c>
      <c r="AD35" t="s">
        <v>74</v>
      </c>
      <c r="AE35" t="s">
        <v>74</v>
      </c>
      <c r="AF35" t="s">
        <v>74</v>
      </c>
      <c r="AG35" t="s">
        <v>74</v>
      </c>
      <c r="AH35" t="s">
        <v>74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74</v>
      </c>
      <c r="AP35" t="s">
        <v>1123</v>
      </c>
      <c r="AQ35" t="s">
        <v>74</v>
      </c>
      <c r="AR35" t="s">
        <v>74</v>
      </c>
      <c r="AS35" t="s">
        <v>74</v>
      </c>
      <c r="AT35" t="s">
        <v>1124</v>
      </c>
      <c r="AU35">
        <v>2022</v>
      </c>
      <c r="AV35">
        <v>3</v>
      </c>
      <c r="AW35">
        <v>1</v>
      </c>
      <c r="AX35" t="s">
        <v>74</v>
      </c>
      <c r="AY35" t="s">
        <v>74</v>
      </c>
      <c r="AZ35" t="s">
        <v>74</v>
      </c>
      <c r="BA35" t="s">
        <v>74</v>
      </c>
      <c r="BB35" t="s">
        <v>74</v>
      </c>
      <c r="BC35" t="s">
        <v>74</v>
      </c>
      <c r="BD35">
        <v>154</v>
      </c>
      <c r="BE35" t="s">
        <v>1125</v>
      </c>
      <c r="BF35" t="str">
        <f>HYPERLINK("http://dx.doi.org/10.1038/s43247-022-00485-8","http://dx.doi.org/10.1038/s43247-022-00485-8")</f>
        <v>http://dx.doi.org/10.1038/s43247-022-00485-8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 t="s">
        <v>74</v>
      </c>
      <c r="BR35" t="s">
        <v>74</v>
      </c>
      <c r="BS35" t="s">
        <v>1126</v>
      </c>
      <c r="BT35" t="str">
        <f>HYPERLINK("https%3A%2F%2Fwww.webofscience.com%2Fwos%2Fwoscc%2Ffull-record%2FWOS:000820644500001","View Full Record in Web of Science")</f>
        <v>View Full Record in Web of Science</v>
      </c>
    </row>
    <row r="36" spans="1:72" x14ac:dyDescent="0.2">
      <c r="A36" t="s">
        <v>72</v>
      </c>
      <c r="B36" t="s">
        <v>1144</v>
      </c>
      <c r="C36" t="s">
        <v>74</v>
      </c>
      <c r="D36" t="s">
        <v>74</v>
      </c>
      <c r="E36" t="s">
        <v>74</v>
      </c>
      <c r="F36" t="s">
        <v>1145</v>
      </c>
      <c r="G36" t="s">
        <v>74</v>
      </c>
      <c r="H36" t="s">
        <v>74</v>
      </c>
      <c r="I36" t="s">
        <v>1146</v>
      </c>
      <c r="J36" t="s">
        <v>331</v>
      </c>
      <c r="K36" t="s">
        <v>74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1147</v>
      </c>
      <c r="AB36" t="s">
        <v>6830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 t="s">
        <v>74</v>
      </c>
      <c r="AK36" t="s">
        <v>74</v>
      </c>
      <c r="AL36" t="s">
        <v>74</v>
      </c>
      <c r="AM36" t="s">
        <v>74</v>
      </c>
      <c r="AN36" t="s">
        <v>74</v>
      </c>
      <c r="AO36" t="s">
        <v>74</v>
      </c>
      <c r="AP36" t="s">
        <v>334</v>
      </c>
      <c r="AQ36" t="s">
        <v>74</v>
      </c>
      <c r="AR36" t="s">
        <v>74</v>
      </c>
      <c r="AS36" t="s">
        <v>74</v>
      </c>
      <c r="AT36" t="s">
        <v>624</v>
      </c>
      <c r="AU36">
        <v>2022</v>
      </c>
      <c r="AV36">
        <v>14</v>
      </c>
      <c r="AW36">
        <v>13</v>
      </c>
      <c r="AX36" t="s">
        <v>74</v>
      </c>
      <c r="AY36" t="s">
        <v>74</v>
      </c>
      <c r="AZ36" t="s">
        <v>74</v>
      </c>
      <c r="BA36" t="s">
        <v>74</v>
      </c>
      <c r="BB36" t="s">
        <v>74</v>
      </c>
      <c r="BC36" t="s">
        <v>74</v>
      </c>
      <c r="BD36">
        <v>2106</v>
      </c>
      <c r="BE36" t="s">
        <v>1148</v>
      </c>
      <c r="BF36" t="str">
        <f>HYPERLINK("http://dx.doi.org/10.3390/w14132106","http://dx.doi.org/10.3390/w14132106")</f>
        <v>http://dx.doi.org/10.3390/w14132106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 t="s">
        <v>1149</v>
      </c>
      <c r="BT36" t="str">
        <f>HYPERLINK("https%3A%2F%2Fwww.webofscience.com%2Fwos%2Fwoscc%2Ffull-record%2FWOS:000823998000001","View Full Record in Web of Science")</f>
        <v>View Full Record in Web of Science</v>
      </c>
    </row>
    <row r="37" spans="1:72" x14ac:dyDescent="0.2">
      <c r="A37" t="s">
        <v>72</v>
      </c>
      <c r="B37" t="s">
        <v>1162</v>
      </c>
      <c r="C37" t="s">
        <v>74</v>
      </c>
      <c r="D37" t="s">
        <v>74</v>
      </c>
      <c r="E37" t="s">
        <v>74</v>
      </c>
      <c r="F37" t="s">
        <v>1163</v>
      </c>
      <c r="G37" t="s">
        <v>74</v>
      </c>
      <c r="H37" t="s">
        <v>74</v>
      </c>
      <c r="I37" t="s">
        <v>1164</v>
      </c>
      <c r="J37" t="s">
        <v>1165</v>
      </c>
      <c r="K37" t="s">
        <v>74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74</v>
      </c>
      <c r="V37" t="s">
        <v>74</v>
      </c>
      <c r="W37" t="s">
        <v>74</v>
      </c>
      <c r="X37" t="s">
        <v>74</v>
      </c>
      <c r="Y37" t="s">
        <v>74</v>
      </c>
      <c r="Z37" t="s">
        <v>74</v>
      </c>
      <c r="AA37" t="s">
        <v>6831</v>
      </c>
      <c r="AB37" t="s">
        <v>6832</v>
      </c>
      <c r="AC37" t="s">
        <v>74</v>
      </c>
      <c r="AD37" t="s">
        <v>74</v>
      </c>
      <c r="AE37" t="s">
        <v>74</v>
      </c>
      <c r="AF37" t="s">
        <v>74</v>
      </c>
      <c r="AG37" t="s">
        <v>74</v>
      </c>
      <c r="AH37" t="s">
        <v>74</v>
      </c>
      <c r="AI37" t="s">
        <v>74</v>
      </c>
      <c r="AJ37" t="s">
        <v>74</v>
      </c>
      <c r="AK37" t="s">
        <v>74</v>
      </c>
      <c r="AL37" t="s">
        <v>74</v>
      </c>
      <c r="AM37" t="s">
        <v>74</v>
      </c>
      <c r="AN37" t="s">
        <v>74</v>
      </c>
      <c r="AO37" t="s">
        <v>1166</v>
      </c>
      <c r="AP37" t="s">
        <v>1167</v>
      </c>
      <c r="AQ37" t="s">
        <v>74</v>
      </c>
      <c r="AR37" t="s">
        <v>74</v>
      </c>
      <c r="AS37" t="s">
        <v>74</v>
      </c>
      <c r="AT37" t="s">
        <v>451</v>
      </c>
      <c r="AU37">
        <v>2022</v>
      </c>
      <c r="AV37">
        <v>16</v>
      </c>
      <c r="AW37">
        <v>9</v>
      </c>
      <c r="AX37" t="s">
        <v>74</v>
      </c>
      <c r="AY37" t="s">
        <v>74</v>
      </c>
      <c r="AZ37" t="s">
        <v>74</v>
      </c>
      <c r="BA37" t="s">
        <v>74</v>
      </c>
      <c r="BB37">
        <v>2242</v>
      </c>
      <c r="BC37">
        <v>2254</v>
      </c>
      <c r="BD37" t="s">
        <v>74</v>
      </c>
      <c r="BE37" t="s">
        <v>1168</v>
      </c>
      <c r="BF37" t="str">
        <f>HYPERLINK("http://dx.doi.org/10.1038/s41396-022-01267-y","http://dx.doi.org/10.1038/s41396-022-01267-y")</f>
        <v>http://dx.doi.org/10.1038/s41396-022-01267-y</v>
      </c>
      <c r="BG37" t="s">
        <v>74</v>
      </c>
      <c r="BH37" t="s">
        <v>1160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>
        <v>35764676</v>
      </c>
      <c r="BO37" t="s">
        <v>74</v>
      </c>
      <c r="BP37" t="s">
        <v>74</v>
      </c>
      <c r="BQ37" t="s">
        <v>74</v>
      </c>
      <c r="BR37" t="s">
        <v>74</v>
      </c>
      <c r="BS37" t="s">
        <v>1169</v>
      </c>
      <c r="BT37" t="str">
        <f>HYPERLINK("https%3A%2F%2Fwww.webofscience.com%2Fwos%2Fwoscc%2Ffull-record%2FWOS:000817854800002","View Full Record in Web of Science")</f>
        <v>View Full Record in Web of Science</v>
      </c>
    </row>
    <row r="38" spans="1:72" x14ac:dyDescent="0.2">
      <c r="A38" t="s">
        <v>72</v>
      </c>
      <c r="B38" t="s">
        <v>1170</v>
      </c>
      <c r="C38" t="s">
        <v>74</v>
      </c>
      <c r="D38" t="s">
        <v>74</v>
      </c>
      <c r="E38" t="s">
        <v>74</v>
      </c>
      <c r="F38" t="s">
        <v>1171</v>
      </c>
      <c r="G38" t="s">
        <v>74</v>
      </c>
      <c r="H38" t="s">
        <v>74</v>
      </c>
      <c r="I38" t="s">
        <v>1172</v>
      </c>
      <c r="J38" t="s">
        <v>958</v>
      </c>
      <c r="K38" t="s">
        <v>74</v>
      </c>
      <c r="L38" t="s">
        <v>74</v>
      </c>
      <c r="M38" t="s">
        <v>74</v>
      </c>
      <c r="N38" t="s">
        <v>74</v>
      </c>
      <c r="O38" t="s">
        <v>74</v>
      </c>
      <c r="P38" t="s">
        <v>74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74</v>
      </c>
      <c r="Y38" t="s">
        <v>74</v>
      </c>
      <c r="Z38" t="s">
        <v>74</v>
      </c>
      <c r="AA38" t="s">
        <v>1173</v>
      </c>
      <c r="AB38" t="s">
        <v>1174</v>
      </c>
      <c r="AC38" t="s">
        <v>74</v>
      </c>
      <c r="AD38" t="s">
        <v>74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959</v>
      </c>
      <c r="AP38" t="s">
        <v>74</v>
      </c>
      <c r="AQ38" t="s">
        <v>74</v>
      </c>
      <c r="AR38" t="s">
        <v>74</v>
      </c>
      <c r="AS38" t="s">
        <v>74</v>
      </c>
      <c r="AT38" t="s">
        <v>1175</v>
      </c>
      <c r="AU38">
        <v>2022</v>
      </c>
      <c r="AV38">
        <v>10</v>
      </c>
      <c r="AW38" t="s">
        <v>74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 t="s">
        <v>1176</v>
      </c>
      <c r="BE38" t="s">
        <v>1177</v>
      </c>
      <c r="BF38" t="str">
        <f>HYPERLINK("http://dx.doi.org/10.7717/peerj.13576","http://dx.doi.org/10.7717/peerj.13576")</f>
        <v>http://dx.doi.org/10.7717/peerj.13576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>
        <v>35765593</v>
      </c>
      <c r="BO38" t="s">
        <v>74</v>
      </c>
      <c r="BP38" t="s">
        <v>74</v>
      </c>
      <c r="BQ38" t="s">
        <v>74</v>
      </c>
      <c r="BR38" t="s">
        <v>74</v>
      </c>
      <c r="BS38" t="s">
        <v>1178</v>
      </c>
      <c r="BT38" t="str">
        <f>HYPERLINK("https%3A%2F%2Fwww.webofscience.com%2Fwos%2Fwoscc%2Ffull-record%2FWOS:000822036300003","View Full Record in Web of Science")</f>
        <v>View Full Record in Web of Science</v>
      </c>
    </row>
    <row r="39" spans="1:72" x14ac:dyDescent="0.2">
      <c r="A39" t="s">
        <v>72</v>
      </c>
      <c r="B39" t="s">
        <v>1179</v>
      </c>
      <c r="C39" t="s">
        <v>74</v>
      </c>
      <c r="D39" t="s">
        <v>74</v>
      </c>
      <c r="E39" t="s">
        <v>74</v>
      </c>
      <c r="F39" t="s">
        <v>1180</v>
      </c>
      <c r="G39" t="s">
        <v>74</v>
      </c>
      <c r="H39" t="s">
        <v>74</v>
      </c>
      <c r="I39" t="s">
        <v>1181</v>
      </c>
      <c r="J39" t="s">
        <v>218</v>
      </c>
      <c r="K39" t="s">
        <v>74</v>
      </c>
      <c r="L39" t="s">
        <v>74</v>
      </c>
      <c r="M39" t="s">
        <v>74</v>
      </c>
      <c r="N39" t="s">
        <v>74</v>
      </c>
      <c r="O39" t="s">
        <v>74</v>
      </c>
      <c r="P39" t="s">
        <v>74</v>
      </c>
      <c r="Q39" t="s">
        <v>74</v>
      </c>
      <c r="R39" t="s">
        <v>74</v>
      </c>
      <c r="S39" t="s">
        <v>74</v>
      </c>
      <c r="T39" t="s">
        <v>74</v>
      </c>
      <c r="U39" t="s">
        <v>74</v>
      </c>
      <c r="V39" t="s">
        <v>74</v>
      </c>
      <c r="W39" t="s">
        <v>74</v>
      </c>
      <c r="X39" t="s">
        <v>74</v>
      </c>
      <c r="Y39" t="s">
        <v>74</v>
      </c>
      <c r="Z39" t="s">
        <v>74</v>
      </c>
      <c r="AA39" t="s">
        <v>1182</v>
      </c>
      <c r="AB39" t="s">
        <v>237</v>
      </c>
      <c r="AC39" t="s">
        <v>74</v>
      </c>
      <c r="AD39" t="s">
        <v>74</v>
      </c>
      <c r="AE39" t="s">
        <v>74</v>
      </c>
      <c r="AF39" t="s">
        <v>74</v>
      </c>
      <c r="AG39" t="s">
        <v>74</v>
      </c>
      <c r="AH39" t="s">
        <v>74</v>
      </c>
      <c r="AI39" t="s">
        <v>74</v>
      </c>
      <c r="AJ39" t="s">
        <v>74</v>
      </c>
      <c r="AK39" t="s">
        <v>74</v>
      </c>
      <c r="AL39" t="s">
        <v>74</v>
      </c>
      <c r="AM39" t="s">
        <v>74</v>
      </c>
      <c r="AN39" t="s">
        <v>74</v>
      </c>
      <c r="AO39" t="s">
        <v>220</v>
      </c>
      <c r="AP39" t="s">
        <v>74</v>
      </c>
      <c r="AQ39" t="s">
        <v>74</v>
      </c>
      <c r="AR39" t="s">
        <v>74</v>
      </c>
      <c r="AS39" t="s">
        <v>74</v>
      </c>
      <c r="AT39" t="s">
        <v>554</v>
      </c>
      <c r="AU39">
        <v>2022</v>
      </c>
      <c r="AV39">
        <v>12</v>
      </c>
      <c r="AW39">
        <v>1</v>
      </c>
      <c r="AX39" t="s">
        <v>74</v>
      </c>
      <c r="AY39" t="s">
        <v>74</v>
      </c>
      <c r="AZ39" t="s">
        <v>74</v>
      </c>
      <c r="BA39" t="s">
        <v>74</v>
      </c>
      <c r="BB39" t="s">
        <v>74</v>
      </c>
      <c r="BC39" t="s">
        <v>74</v>
      </c>
      <c r="BD39">
        <v>10501</v>
      </c>
      <c r="BE39" t="s">
        <v>1183</v>
      </c>
      <c r="BF39" t="str">
        <f>HYPERLINK("http://dx.doi.org/10.1038/s41598-022-14301-y","http://dx.doi.org/10.1038/s41598-022-14301-y")</f>
        <v>http://dx.doi.org/10.1038/s41598-022-14301-y</v>
      </c>
      <c r="BG39" t="s">
        <v>74</v>
      </c>
      <c r="BH39" t="s">
        <v>74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>
        <v>35732678</v>
      </c>
      <c r="BO39" t="s">
        <v>74</v>
      </c>
      <c r="BP39" t="s">
        <v>74</v>
      </c>
      <c r="BQ39" t="s">
        <v>74</v>
      </c>
      <c r="BR39" t="s">
        <v>74</v>
      </c>
      <c r="BS39" t="s">
        <v>1184</v>
      </c>
      <c r="BT39" t="str">
        <f>HYPERLINK("https%3A%2F%2Fwww.webofscience.com%2Fwos%2Fwoscc%2Ffull-record%2FWOS:000814836700080","View Full Record in Web of Science")</f>
        <v>View Full Record in Web of Science</v>
      </c>
    </row>
    <row r="40" spans="1:72" x14ac:dyDescent="0.2">
      <c r="A40" t="s">
        <v>72</v>
      </c>
      <c r="B40" t="s">
        <v>492</v>
      </c>
      <c r="C40" t="s">
        <v>74</v>
      </c>
      <c r="D40" t="s">
        <v>74</v>
      </c>
      <c r="E40" t="s">
        <v>74</v>
      </c>
      <c r="F40" t="s">
        <v>493</v>
      </c>
      <c r="G40" t="s">
        <v>74</v>
      </c>
      <c r="H40" t="s">
        <v>74</v>
      </c>
      <c r="I40" t="s">
        <v>1185</v>
      </c>
      <c r="J40" t="s">
        <v>106</v>
      </c>
      <c r="K40" t="s">
        <v>74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74</v>
      </c>
      <c r="V40" t="s">
        <v>74</v>
      </c>
      <c r="W40" t="s">
        <v>74</v>
      </c>
      <c r="X40" t="s">
        <v>74</v>
      </c>
      <c r="Y40" t="s">
        <v>74</v>
      </c>
      <c r="Z40" t="s">
        <v>74</v>
      </c>
      <c r="AA40" t="s">
        <v>495</v>
      </c>
      <c r="AB40" t="s">
        <v>496</v>
      </c>
      <c r="AC40" t="s">
        <v>74</v>
      </c>
      <c r="AD40" t="s">
        <v>74</v>
      </c>
      <c r="AE40" t="s">
        <v>74</v>
      </c>
      <c r="AF40" t="s">
        <v>74</v>
      </c>
      <c r="AG40" t="s">
        <v>74</v>
      </c>
      <c r="AH40" t="s">
        <v>74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107</v>
      </c>
      <c r="AP40" t="s">
        <v>108</v>
      </c>
      <c r="AQ40" t="s">
        <v>74</v>
      </c>
      <c r="AR40" t="s">
        <v>74</v>
      </c>
      <c r="AS40" t="s">
        <v>74</v>
      </c>
      <c r="AT40" t="s">
        <v>1186</v>
      </c>
      <c r="AU40">
        <v>2022</v>
      </c>
      <c r="AV40">
        <v>44</v>
      </c>
      <c r="AW40">
        <v>4</v>
      </c>
      <c r="AX40" t="s">
        <v>74</v>
      </c>
      <c r="AY40" t="s">
        <v>74</v>
      </c>
      <c r="AZ40" t="s">
        <v>74</v>
      </c>
      <c r="BA40" t="s">
        <v>74</v>
      </c>
      <c r="BB40">
        <v>528</v>
      </c>
      <c r="BC40">
        <v>541</v>
      </c>
      <c r="BD40" t="s">
        <v>74</v>
      </c>
      <c r="BE40" t="s">
        <v>1187</v>
      </c>
      <c r="BF40" t="str">
        <f>HYPERLINK("http://dx.doi.org/10.1093/plankt/fbac030","http://dx.doi.org/10.1093/plankt/fbac030")</f>
        <v>http://dx.doi.org/10.1093/plankt/fbac030</v>
      </c>
      <c r="BG40" t="s">
        <v>74</v>
      </c>
      <c r="BH40" t="s">
        <v>1160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 t="s">
        <v>74</v>
      </c>
      <c r="BR40" t="s">
        <v>74</v>
      </c>
      <c r="BS40" t="s">
        <v>1188</v>
      </c>
      <c r="BT40" t="str">
        <f>HYPERLINK("https%3A%2F%2Fwww.webofscience.com%2Fwos%2Fwoscc%2Ffull-record%2FWOS:000814273800001","View Full Record in Web of Science")</f>
        <v>View Full Record in Web of Science</v>
      </c>
    </row>
    <row r="41" spans="1:72" x14ac:dyDescent="0.2">
      <c r="A41" t="s">
        <v>72</v>
      </c>
      <c r="B41" t="s">
        <v>1211</v>
      </c>
      <c r="C41" t="s">
        <v>74</v>
      </c>
      <c r="D41" t="s">
        <v>74</v>
      </c>
      <c r="E41" t="s">
        <v>74</v>
      </c>
      <c r="F41" t="s">
        <v>1212</v>
      </c>
      <c r="G41" t="s">
        <v>74</v>
      </c>
      <c r="H41" t="s">
        <v>74</v>
      </c>
      <c r="I41" t="s">
        <v>1213</v>
      </c>
      <c r="J41" t="s">
        <v>1214</v>
      </c>
      <c r="K41" t="s">
        <v>74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  <c r="T41" t="s">
        <v>74</v>
      </c>
      <c r="U41" t="s">
        <v>74</v>
      </c>
      <c r="V41" t="s">
        <v>74</v>
      </c>
      <c r="W41" t="s">
        <v>74</v>
      </c>
      <c r="X41" t="s">
        <v>74</v>
      </c>
      <c r="Y41" t="s">
        <v>74</v>
      </c>
      <c r="Z41" t="s">
        <v>74</v>
      </c>
      <c r="AA41" t="s">
        <v>1215</v>
      </c>
      <c r="AB41" t="s">
        <v>1216</v>
      </c>
      <c r="AC41" t="s">
        <v>74</v>
      </c>
      <c r="AD41" t="s">
        <v>74</v>
      </c>
      <c r="AE41" t="s">
        <v>74</v>
      </c>
      <c r="AF41" t="s">
        <v>74</v>
      </c>
      <c r="AG41" t="s">
        <v>74</v>
      </c>
      <c r="AH41" t="s">
        <v>74</v>
      </c>
      <c r="AI41" t="s">
        <v>74</v>
      </c>
      <c r="AJ41" t="s">
        <v>74</v>
      </c>
      <c r="AK41" t="s">
        <v>74</v>
      </c>
      <c r="AL41" t="s">
        <v>74</v>
      </c>
      <c r="AM41" t="s">
        <v>74</v>
      </c>
      <c r="AN41" t="s">
        <v>74</v>
      </c>
      <c r="AO41" t="s">
        <v>1217</v>
      </c>
      <c r="AP41" t="s">
        <v>1218</v>
      </c>
      <c r="AQ41" t="s">
        <v>74</v>
      </c>
      <c r="AR41" t="s">
        <v>74</v>
      </c>
      <c r="AS41" t="s">
        <v>74</v>
      </c>
      <c r="AT41" t="s">
        <v>624</v>
      </c>
      <c r="AU41">
        <v>2022</v>
      </c>
      <c r="AV41">
        <v>31</v>
      </c>
      <c r="AW41">
        <v>14</v>
      </c>
      <c r="AX41" t="s">
        <v>74</v>
      </c>
      <c r="AY41" t="s">
        <v>74</v>
      </c>
      <c r="AZ41" t="s">
        <v>74</v>
      </c>
      <c r="BA41" t="s">
        <v>74</v>
      </c>
      <c r="BB41">
        <v>3951</v>
      </c>
      <c r="BC41">
        <v>3962</v>
      </c>
      <c r="BD41" t="s">
        <v>74</v>
      </c>
      <c r="BE41" t="s">
        <v>1219</v>
      </c>
      <c r="BF41" t="str">
        <f>HYPERLINK("http://dx.doi.org/10.1111/mec.16550","http://dx.doi.org/10.1111/mec.16550")</f>
        <v>http://dx.doi.org/10.1111/mec.16550</v>
      </c>
      <c r="BG41" t="s">
        <v>74</v>
      </c>
      <c r="BH41" t="s">
        <v>1160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>
        <v>35621395</v>
      </c>
      <c r="BO41" t="s">
        <v>74</v>
      </c>
      <c r="BP41" t="s">
        <v>74</v>
      </c>
      <c r="BQ41" t="s">
        <v>74</v>
      </c>
      <c r="BR41" t="s">
        <v>74</v>
      </c>
      <c r="BS41" t="s">
        <v>1220</v>
      </c>
      <c r="BT41" t="str">
        <f>HYPERLINK("https%3A%2F%2Fwww.webofscience.com%2Fwos%2Fwoscc%2Ffull-record%2FWOS:000807225400001","View Full Record in Web of Science")</f>
        <v>View Full Record in Web of Science</v>
      </c>
    </row>
    <row r="42" spans="1:72" x14ac:dyDescent="0.2">
      <c r="A42" t="s">
        <v>72</v>
      </c>
      <c r="B42" t="s">
        <v>1262</v>
      </c>
      <c r="C42" t="s">
        <v>74</v>
      </c>
      <c r="D42" t="s">
        <v>74</v>
      </c>
      <c r="E42" t="s">
        <v>74</v>
      </c>
      <c r="F42" t="s">
        <v>1263</v>
      </c>
      <c r="G42" t="s">
        <v>74</v>
      </c>
      <c r="H42" t="s">
        <v>74</v>
      </c>
      <c r="I42" t="s">
        <v>1264</v>
      </c>
      <c r="J42" t="s">
        <v>124</v>
      </c>
      <c r="K42" t="s">
        <v>74</v>
      </c>
      <c r="L42" t="s">
        <v>74</v>
      </c>
      <c r="M42" t="s">
        <v>74</v>
      </c>
      <c r="N42" t="s">
        <v>74</v>
      </c>
      <c r="O42" t="s">
        <v>74</v>
      </c>
      <c r="P42" t="s">
        <v>74</v>
      </c>
      <c r="Q42" t="s">
        <v>74</v>
      </c>
      <c r="R42" t="s">
        <v>74</v>
      </c>
      <c r="S42" t="s">
        <v>74</v>
      </c>
      <c r="T42" t="s">
        <v>74</v>
      </c>
      <c r="U42" t="s">
        <v>74</v>
      </c>
      <c r="V42" t="s">
        <v>74</v>
      </c>
      <c r="W42" t="s">
        <v>74</v>
      </c>
      <c r="X42" t="s">
        <v>74</v>
      </c>
      <c r="Y42" t="s">
        <v>74</v>
      </c>
      <c r="Z42" t="s">
        <v>74</v>
      </c>
      <c r="AA42" t="s">
        <v>74</v>
      </c>
      <c r="AB42" t="s">
        <v>1265</v>
      </c>
      <c r="AC42" t="s">
        <v>74</v>
      </c>
      <c r="AD42" t="s">
        <v>74</v>
      </c>
      <c r="AE42" t="s">
        <v>74</v>
      </c>
      <c r="AF42" t="s">
        <v>74</v>
      </c>
      <c r="AG42" t="s">
        <v>74</v>
      </c>
      <c r="AH42" t="s">
        <v>74</v>
      </c>
      <c r="AI42" t="s">
        <v>74</v>
      </c>
      <c r="AJ42" t="s">
        <v>74</v>
      </c>
      <c r="AK42" t="s">
        <v>74</v>
      </c>
      <c r="AL42" t="s">
        <v>74</v>
      </c>
      <c r="AM42" t="s">
        <v>74</v>
      </c>
      <c r="AN42" t="s">
        <v>74</v>
      </c>
      <c r="AO42" t="s">
        <v>127</v>
      </c>
      <c r="AP42" t="s">
        <v>128</v>
      </c>
      <c r="AQ42" t="s">
        <v>74</v>
      </c>
      <c r="AR42" t="s">
        <v>74</v>
      </c>
      <c r="AS42" t="s">
        <v>74</v>
      </c>
      <c r="AT42" t="s">
        <v>624</v>
      </c>
      <c r="AU42">
        <v>2022</v>
      </c>
      <c r="AV42">
        <v>849</v>
      </c>
      <c r="AW42">
        <v>12</v>
      </c>
      <c r="AX42" t="s">
        <v>74</v>
      </c>
      <c r="AY42" t="s">
        <v>74</v>
      </c>
      <c r="AZ42" t="s">
        <v>74</v>
      </c>
      <c r="BA42" t="s">
        <v>74</v>
      </c>
      <c r="BB42">
        <v>2647</v>
      </c>
      <c r="BC42">
        <v>2662</v>
      </c>
      <c r="BD42" t="s">
        <v>74</v>
      </c>
      <c r="BE42" t="s">
        <v>1266</v>
      </c>
      <c r="BF42" t="str">
        <f>HYPERLINK("http://dx.doi.org/10.1007/s10750-022-04863-3","http://dx.doi.org/10.1007/s10750-022-04863-3")</f>
        <v>http://dx.doi.org/10.1007/s10750-022-04863-3</v>
      </c>
      <c r="BG42" t="s">
        <v>74</v>
      </c>
      <c r="BH42" t="s">
        <v>1260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 t="s">
        <v>1267</v>
      </c>
      <c r="BT42" t="str">
        <f>HYPERLINK("https%3A%2F%2Fwww.webofscience.com%2Fwos%2Fwoscc%2Ffull-record%2FWOS:000799515200001","View Full Record in Web of Science")</f>
        <v>View Full Record in Web of Science</v>
      </c>
    </row>
    <row r="43" spans="1:72" x14ac:dyDescent="0.2">
      <c r="A43" t="s">
        <v>72</v>
      </c>
      <c r="B43" t="s">
        <v>1268</v>
      </c>
      <c r="C43" t="s">
        <v>74</v>
      </c>
      <c r="D43" t="s">
        <v>74</v>
      </c>
      <c r="E43" t="s">
        <v>74</v>
      </c>
      <c r="F43" t="s">
        <v>1269</v>
      </c>
      <c r="G43" t="s">
        <v>74</v>
      </c>
      <c r="H43" t="s">
        <v>74</v>
      </c>
      <c r="I43" t="s">
        <v>1270</v>
      </c>
      <c r="J43" t="s">
        <v>145</v>
      </c>
      <c r="K43" t="s">
        <v>74</v>
      </c>
      <c r="L43" t="s">
        <v>74</v>
      </c>
      <c r="M43" t="s">
        <v>74</v>
      </c>
      <c r="N43" t="s">
        <v>74</v>
      </c>
      <c r="O43" t="s">
        <v>74</v>
      </c>
      <c r="P43" t="s">
        <v>74</v>
      </c>
      <c r="Q43" t="s">
        <v>74</v>
      </c>
      <c r="R43" t="s">
        <v>74</v>
      </c>
      <c r="S43" t="s">
        <v>74</v>
      </c>
      <c r="T43" t="s">
        <v>74</v>
      </c>
      <c r="U43" t="s">
        <v>74</v>
      </c>
      <c r="V43" t="s">
        <v>74</v>
      </c>
      <c r="W43" t="s">
        <v>74</v>
      </c>
      <c r="X43" t="s">
        <v>74</v>
      </c>
      <c r="Y43" t="s">
        <v>74</v>
      </c>
      <c r="Z43" t="s">
        <v>74</v>
      </c>
      <c r="AA43" t="s">
        <v>6838</v>
      </c>
      <c r="AB43" t="s">
        <v>6839</v>
      </c>
      <c r="AC43" t="s">
        <v>74</v>
      </c>
      <c r="AD43" t="s">
        <v>74</v>
      </c>
      <c r="AE43" t="s">
        <v>74</v>
      </c>
      <c r="AF43" t="s">
        <v>74</v>
      </c>
      <c r="AG43" t="s">
        <v>74</v>
      </c>
      <c r="AH43" t="s">
        <v>74</v>
      </c>
      <c r="AI43" t="s">
        <v>74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146</v>
      </c>
      <c r="AP43" t="s">
        <v>147</v>
      </c>
      <c r="AQ43" t="s">
        <v>74</v>
      </c>
      <c r="AR43" t="s">
        <v>74</v>
      </c>
      <c r="AS43" t="s">
        <v>74</v>
      </c>
      <c r="AT43" t="s">
        <v>1271</v>
      </c>
      <c r="AU43">
        <v>2022</v>
      </c>
      <c r="AV43">
        <v>836</v>
      </c>
      <c r="AW43" t="s">
        <v>74</v>
      </c>
      <c r="AX43" t="s">
        <v>74</v>
      </c>
      <c r="AY43" t="s">
        <v>74</v>
      </c>
      <c r="AZ43" t="s">
        <v>74</v>
      </c>
      <c r="BA43" t="s">
        <v>74</v>
      </c>
      <c r="BB43" t="s">
        <v>74</v>
      </c>
      <c r="BC43" t="s">
        <v>74</v>
      </c>
      <c r="BD43">
        <v>155407</v>
      </c>
      <c r="BE43" t="s">
        <v>1272</v>
      </c>
      <c r="BF43" t="str">
        <f>HYPERLINK("http://dx.doi.org/10.1016/j.scitotenv.2022.155407","http://dx.doi.org/10.1016/j.scitotenv.2022.155407")</f>
        <v>http://dx.doi.org/10.1016/j.scitotenv.2022.155407</v>
      </c>
      <c r="BG43" t="s">
        <v>74</v>
      </c>
      <c r="BH43" t="s">
        <v>1260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>
        <v>35469887</v>
      </c>
      <c r="BO43" t="s">
        <v>74</v>
      </c>
      <c r="BP43" t="s">
        <v>74</v>
      </c>
      <c r="BQ43" t="s">
        <v>74</v>
      </c>
      <c r="BR43" t="s">
        <v>74</v>
      </c>
      <c r="BS43" t="s">
        <v>1273</v>
      </c>
      <c r="BT43" t="str">
        <f>HYPERLINK("https%3A%2F%2Fwww.webofscience.com%2Fwos%2Fwoscc%2Ffull-record%2FWOS:000807359900016","View Full Record in Web of Science")</f>
        <v>View Full Record in Web of Science</v>
      </c>
    </row>
    <row r="44" spans="1:72" x14ac:dyDescent="0.2">
      <c r="A44" t="s">
        <v>72</v>
      </c>
      <c r="B44" t="s">
        <v>1313</v>
      </c>
      <c r="C44" t="s">
        <v>74</v>
      </c>
      <c r="D44" t="s">
        <v>74</v>
      </c>
      <c r="E44" t="s">
        <v>74</v>
      </c>
      <c r="F44" t="s">
        <v>1314</v>
      </c>
      <c r="G44" t="s">
        <v>74</v>
      </c>
      <c r="H44" t="s">
        <v>74</v>
      </c>
      <c r="I44" t="s">
        <v>1315</v>
      </c>
      <c r="J44" t="s">
        <v>218</v>
      </c>
      <c r="K44" t="s">
        <v>74</v>
      </c>
      <c r="L44" t="s">
        <v>74</v>
      </c>
      <c r="M44" t="s">
        <v>74</v>
      </c>
      <c r="N44" t="s">
        <v>74</v>
      </c>
      <c r="O44" t="s">
        <v>74</v>
      </c>
      <c r="P44" t="s">
        <v>74</v>
      </c>
      <c r="Q44" t="s">
        <v>74</v>
      </c>
      <c r="R44" t="s">
        <v>74</v>
      </c>
      <c r="S44" t="s">
        <v>74</v>
      </c>
      <c r="T44" t="s">
        <v>74</v>
      </c>
      <c r="U44" t="s">
        <v>74</v>
      </c>
      <c r="V44" t="s">
        <v>74</v>
      </c>
      <c r="W44" t="s">
        <v>74</v>
      </c>
      <c r="X44" t="s">
        <v>74</v>
      </c>
      <c r="Y44" t="s">
        <v>74</v>
      </c>
      <c r="Z44" t="s">
        <v>74</v>
      </c>
      <c r="AA44" t="s">
        <v>74</v>
      </c>
      <c r="AB44" t="s">
        <v>1316</v>
      </c>
      <c r="AC44" t="s">
        <v>74</v>
      </c>
      <c r="AD44" t="s">
        <v>74</v>
      </c>
      <c r="AE44" t="s">
        <v>74</v>
      </c>
      <c r="AF44" t="s">
        <v>74</v>
      </c>
      <c r="AG44" t="s">
        <v>74</v>
      </c>
      <c r="AH44" t="s">
        <v>74</v>
      </c>
      <c r="AI44" t="s">
        <v>74</v>
      </c>
      <c r="AJ44" t="s">
        <v>74</v>
      </c>
      <c r="AK44" t="s">
        <v>74</v>
      </c>
      <c r="AL44" t="s">
        <v>74</v>
      </c>
      <c r="AM44" t="s">
        <v>74</v>
      </c>
      <c r="AN44" t="s">
        <v>74</v>
      </c>
      <c r="AO44" t="s">
        <v>220</v>
      </c>
      <c r="AP44" t="s">
        <v>74</v>
      </c>
      <c r="AQ44" t="s">
        <v>74</v>
      </c>
      <c r="AR44" t="s">
        <v>74</v>
      </c>
      <c r="AS44" t="s">
        <v>74</v>
      </c>
      <c r="AT44" t="s">
        <v>1317</v>
      </c>
      <c r="AU44">
        <v>2022</v>
      </c>
      <c r="AV44">
        <v>12</v>
      </c>
      <c r="AW44">
        <v>1</v>
      </c>
      <c r="AX44" t="s">
        <v>74</v>
      </c>
      <c r="AY44" t="s">
        <v>74</v>
      </c>
      <c r="AZ44" t="s">
        <v>74</v>
      </c>
      <c r="BA44" t="s">
        <v>74</v>
      </c>
      <c r="BB44" t="s">
        <v>74</v>
      </c>
      <c r="BC44" t="s">
        <v>74</v>
      </c>
      <c r="BD44">
        <v>6134</v>
      </c>
      <c r="BE44" t="s">
        <v>1318</v>
      </c>
      <c r="BF44" t="str">
        <f>HYPERLINK("http://dx.doi.org/10.1038/s41598-022-10094-2","http://dx.doi.org/10.1038/s41598-022-10094-2")</f>
        <v>http://dx.doi.org/10.1038/s41598-022-10094-2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>
        <v>35414683</v>
      </c>
      <c r="BO44" t="s">
        <v>74</v>
      </c>
      <c r="BP44" t="s">
        <v>74</v>
      </c>
      <c r="BQ44" t="s">
        <v>74</v>
      </c>
      <c r="BR44" t="s">
        <v>74</v>
      </c>
      <c r="BS44" t="s">
        <v>1319</v>
      </c>
      <c r="BT44" t="str">
        <f>HYPERLINK("https%3A%2F%2Fwww.webofscience.com%2Fwos%2Fwoscc%2Ffull-record%2FWOS:000782202600074","View Full Record in Web of Science")</f>
        <v>View Full Record in Web of Science</v>
      </c>
    </row>
    <row r="45" spans="1:72" x14ac:dyDescent="0.2">
      <c r="A45" t="s">
        <v>72</v>
      </c>
      <c r="B45" t="s">
        <v>1320</v>
      </c>
      <c r="C45" t="s">
        <v>74</v>
      </c>
      <c r="D45" t="s">
        <v>74</v>
      </c>
      <c r="E45" t="s">
        <v>74</v>
      </c>
      <c r="F45" t="s">
        <v>1321</v>
      </c>
      <c r="G45" t="s">
        <v>74</v>
      </c>
      <c r="H45" t="s">
        <v>74</v>
      </c>
      <c r="I45" t="s">
        <v>1322</v>
      </c>
      <c r="J45" t="s">
        <v>1323</v>
      </c>
      <c r="K45" t="s">
        <v>74</v>
      </c>
      <c r="L45" t="s">
        <v>74</v>
      </c>
      <c r="M45" t="s">
        <v>74</v>
      </c>
      <c r="N45" t="s">
        <v>74</v>
      </c>
      <c r="O45" t="s">
        <v>74</v>
      </c>
      <c r="P45" t="s">
        <v>74</v>
      </c>
      <c r="Q45" t="s">
        <v>74</v>
      </c>
      <c r="R45" t="s">
        <v>74</v>
      </c>
      <c r="S45" t="s">
        <v>74</v>
      </c>
      <c r="T45" t="s">
        <v>74</v>
      </c>
      <c r="U45" t="s">
        <v>74</v>
      </c>
      <c r="V45" t="s">
        <v>74</v>
      </c>
      <c r="W45" t="s">
        <v>74</v>
      </c>
      <c r="X45" t="s">
        <v>74</v>
      </c>
      <c r="Y45" t="s">
        <v>74</v>
      </c>
      <c r="Z45" t="s">
        <v>74</v>
      </c>
      <c r="AA45" t="s">
        <v>1324</v>
      </c>
      <c r="AB45" t="s">
        <v>1325</v>
      </c>
      <c r="AC45" t="s">
        <v>74</v>
      </c>
      <c r="AD45" t="s">
        <v>74</v>
      </c>
      <c r="AE45" t="s">
        <v>74</v>
      </c>
      <c r="AF45" t="s">
        <v>74</v>
      </c>
      <c r="AG45" t="s">
        <v>74</v>
      </c>
      <c r="AH45" t="s">
        <v>74</v>
      </c>
      <c r="AI45" t="s">
        <v>74</v>
      </c>
      <c r="AJ45" t="s">
        <v>74</v>
      </c>
      <c r="AK45" t="s">
        <v>74</v>
      </c>
      <c r="AL45" t="s">
        <v>74</v>
      </c>
      <c r="AM45" t="s">
        <v>74</v>
      </c>
      <c r="AN45" t="s">
        <v>74</v>
      </c>
      <c r="AO45" t="s">
        <v>1326</v>
      </c>
      <c r="AP45" t="s">
        <v>1327</v>
      </c>
      <c r="AQ45" t="s">
        <v>74</v>
      </c>
      <c r="AR45" t="s">
        <v>74</v>
      </c>
      <c r="AS45" t="s">
        <v>74</v>
      </c>
      <c r="AT45" t="s">
        <v>203</v>
      </c>
      <c r="AU45">
        <v>2022</v>
      </c>
      <c r="AV45">
        <v>84</v>
      </c>
      <c r="AW45">
        <v>2</v>
      </c>
      <c r="AX45" t="s">
        <v>74</v>
      </c>
      <c r="AY45" t="s">
        <v>74</v>
      </c>
      <c r="AZ45" t="s">
        <v>74</v>
      </c>
      <c r="BA45" t="s">
        <v>74</v>
      </c>
      <c r="BB45" t="s">
        <v>74</v>
      </c>
      <c r="BC45" t="s">
        <v>74</v>
      </c>
      <c r="BD45">
        <v>28</v>
      </c>
      <c r="BE45" t="s">
        <v>1328</v>
      </c>
      <c r="BF45" t="str">
        <f>HYPERLINK("http://dx.doi.org/10.1007/s00027-022-00861-8","http://dx.doi.org/10.1007/s00027-022-00861-8")</f>
        <v>http://dx.doi.org/10.1007/s00027-022-00861-8</v>
      </c>
      <c r="BG45" t="s">
        <v>74</v>
      </c>
      <c r="BH45" t="s">
        <v>74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74</v>
      </c>
      <c r="BP45" t="s">
        <v>74</v>
      </c>
      <c r="BQ45" t="s">
        <v>74</v>
      </c>
      <c r="BR45" t="s">
        <v>74</v>
      </c>
      <c r="BS45" t="s">
        <v>1329</v>
      </c>
      <c r="BT45" t="str">
        <f>HYPERLINK("https%3A%2F%2Fwww.webofscience.com%2Fwos%2Fwoscc%2Ffull-record%2FWOS:000776859500003","View Full Record in Web of Science")</f>
        <v>View Full Record in Web of Science</v>
      </c>
    </row>
    <row r="46" spans="1:72" x14ac:dyDescent="0.2">
      <c r="A46" t="s">
        <v>72</v>
      </c>
      <c r="B46" t="s">
        <v>1345</v>
      </c>
      <c r="C46" t="s">
        <v>74</v>
      </c>
      <c r="D46" t="s">
        <v>74</v>
      </c>
      <c r="E46" t="s">
        <v>74</v>
      </c>
      <c r="F46" t="s">
        <v>1346</v>
      </c>
      <c r="G46" t="s">
        <v>74</v>
      </c>
      <c r="H46" t="s">
        <v>74</v>
      </c>
      <c r="I46" t="s">
        <v>1347</v>
      </c>
      <c r="J46" t="s">
        <v>124</v>
      </c>
      <c r="K46" t="s">
        <v>74</v>
      </c>
      <c r="L46" t="s">
        <v>74</v>
      </c>
      <c r="M46" t="s">
        <v>74</v>
      </c>
      <c r="N46" t="s">
        <v>74</v>
      </c>
      <c r="O46" t="s">
        <v>74</v>
      </c>
      <c r="P46" t="s">
        <v>74</v>
      </c>
      <c r="Q46" t="s">
        <v>74</v>
      </c>
      <c r="R46" t="s">
        <v>74</v>
      </c>
      <c r="S46" t="s">
        <v>74</v>
      </c>
      <c r="T46" t="s">
        <v>74</v>
      </c>
      <c r="U46" t="s">
        <v>74</v>
      </c>
      <c r="V46" t="s">
        <v>74</v>
      </c>
      <c r="W46" t="s">
        <v>74</v>
      </c>
      <c r="X46" t="s">
        <v>74</v>
      </c>
      <c r="Y46" t="s">
        <v>74</v>
      </c>
      <c r="Z46" t="s">
        <v>74</v>
      </c>
      <c r="AA46" t="s">
        <v>74</v>
      </c>
      <c r="AB46" t="s">
        <v>1348</v>
      </c>
      <c r="AC46" t="s">
        <v>74</v>
      </c>
      <c r="AD46" t="s">
        <v>74</v>
      </c>
      <c r="AE46" t="s">
        <v>74</v>
      </c>
      <c r="AF46" t="s">
        <v>74</v>
      </c>
      <c r="AG46" t="s">
        <v>74</v>
      </c>
      <c r="AH46" t="s">
        <v>74</v>
      </c>
      <c r="AI46" t="s">
        <v>74</v>
      </c>
      <c r="AJ46" t="s">
        <v>74</v>
      </c>
      <c r="AK46" t="s">
        <v>74</v>
      </c>
      <c r="AL46" t="s">
        <v>74</v>
      </c>
      <c r="AM46" t="s">
        <v>74</v>
      </c>
      <c r="AN46" t="s">
        <v>74</v>
      </c>
      <c r="AO46" t="s">
        <v>127</v>
      </c>
      <c r="AP46" t="s">
        <v>128</v>
      </c>
      <c r="AQ46" t="s">
        <v>74</v>
      </c>
      <c r="AR46" t="s">
        <v>74</v>
      </c>
      <c r="AS46" t="s">
        <v>74</v>
      </c>
      <c r="AT46" t="s">
        <v>575</v>
      </c>
      <c r="AU46">
        <v>2022</v>
      </c>
      <c r="AV46">
        <v>849</v>
      </c>
      <c r="AW46">
        <v>8</v>
      </c>
      <c r="AX46" t="s">
        <v>74</v>
      </c>
      <c r="AY46" t="s">
        <v>74</v>
      </c>
      <c r="AZ46" t="s">
        <v>74</v>
      </c>
      <c r="BA46" t="s">
        <v>74</v>
      </c>
      <c r="BB46">
        <v>1871</v>
      </c>
      <c r="BC46">
        <v>1884</v>
      </c>
      <c r="BD46" t="s">
        <v>74</v>
      </c>
      <c r="BE46" t="s">
        <v>1349</v>
      </c>
      <c r="BF46" t="str">
        <f>HYPERLINK("http://dx.doi.org/10.1007/s10750-022-04832-w","http://dx.doi.org/10.1007/s10750-022-04832-w")</f>
        <v>http://dx.doi.org/10.1007/s10750-022-04832-w</v>
      </c>
      <c r="BG46" t="s">
        <v>74</v>
      </c>
      <c r="BH46" t="s">
        <v>1343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 t="s">
        <v>74</v>
      </c>
      <c r="BR46" t="s">
        <v>74</v>
      </c>
      <c r="BS46" t="s">
        <v>1350</v>
      </c>
      <c r="BT46" t="str">
        <f>HYPERLINK("https%3A%2F%2Fwww.webofscience.com%2Fwos%2Fwoscc%2Ffull-record%2FWOS:000766037700003","View Full Record in Web of Science")</f>
        <v>View Full Record in Web of Science</v>
      </c>
    </row>
    <row r="47" spans="1:72" x14ac:dyDescent="0.2">
      <c r="A47" t="s">
        <v>72</v>
      </c>
      <c r="B47" t="s">
        <v>1385</v>
      </c>
      <c r="C47" t="s">
        <v>74</v>
      </c>
      <c r="D47" t="s">
        <v>74</v>
      </c>
      <c r="E47" t="s">
        <v>74</v>
      </c>
      <c r="F47" t="s">
        <v>1386</v>
      </c>
      <c r="G47" t="s">
        <v>74</v>
      </c>
      <c r="H47" t="s">
        <v>74</v>
      </c>
      <c r="I47" t="s">
        <v>1387</v>
      </c>
      <c r="J47" t="s">
        <v>1034</v>
      </c>
      <c r="K47" t="s">
        <v>74</v>
      </c>
      <c r="L47" t="s">
        <v>74</v>
      </c>
      <c r="M47" t="s">
        <v>74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74</v>
      </c>
      <c r="T47" t="s">
        <v>74</v>
      </c>
      <c r="U47" t="s">
        <v>74</v>
      </c>
      <c r="V47" t="s">
        <v>74</v>
      </c>
      <c r="W47" t="s">
        <v>74</v>
      </c>
      <c r="X47" t="s">
        <v>74</v>
      </c>
      <c r="Y47" t="s">
        <v>74</v>
      </c>
      <c r="Z47" t="s">
        <v>74</v>
      </c>
      <c r="AA47" t="s">
        <v>1388</v>
      </c>
      <c r="AB47" t="s">
        <v>74</v>
      </c>
      <c r="AC47" t="s">
        <v>74</v>
      </c>
      <c r="AD47" t="s">
        <v>74</v>
      </c>
      <c r="AE47" t="s">
        <v>74</v>
      </c>
      <c r="AF47" t="s">
        <v>74</v>
      </c>
      <c r="AG47" t="s">
        <v>74</v>
      </c>
      <c r="AH47" t="s">
        <v>74</v>
      </c>
      <c r="AI47" t="s">
        <v>74</v>
      </c>
      <c r="AJ47" t="s">
        <v>74</v>
      </c>
      <c r="AK47" t="s">
        <v>74</v>
      </c>
      <c r="AL47" t="s">
        <v>74</v>
      </c>
      <c r="AM47" t="s">
        <v>74</v>
      </c>
      <c r="AN47" t="s">
        <v>74</v>
      </c>
      <c r="AO47" t="s">
        <v>1035</v>
      </c>
      <c r="AP47" t="s">
        <v>1036</v>
      </c>
      <c r="AQ47" t="s">
        <v>74</v>
      </c>
      <c r="AR47" t="s">
        <v>74</v>
      </c>
      <c r="AS47" t="s">
        <v>74</v>
      </c>
      <c r="AT47" t="s">
        <v>1389</v>
      </c>
      <c r="AU47">
        <v>2022</v>
      </c>
      <c r="AV47">
        <v>430</v>
      </c>
      <c r="AW47" t="s">
        <v>74</v>
      </c>
      <c r="AX47" t="s">
        <v>74</v>
      </c>
      <c r="AY47" t="s">
        <v>74</v>
      </c>
      <c r="AZ47" t="s">
        <v>74</v>
      </c>
      <c r="BA47" t="s">
        <v>74</v>
      </c>
      <c r="BB47" t="s">
        <v>74</v>
      </c>
      <c r="BC47" t="s">
        <v>74</v>
      </c>
      <c r="BD47">
        <v>128415</v>
      </c>
      <c r="BE47" t="s">
        <v>1390</v>
      </c>
      <c r="BF47" t="str">
        <f>HYPERLINK("http://dx.doi.org/10.1016/j.jhazmat.2022.128415","http://dx.doi.org/10.1016/j.jhazmat.2022.128415")</f>
        <v>http://dx.doi.org/10.1016/j.jhazmat.2022.128415</v>
      </c>
      <c r="BG47" t="s">
        <v>74</v>
      </c>
      <c r="BH47" t="s">
        <v>1383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>
        <v>35149495</v>
      </c>
      <c r="BO47" t="s">
        <v>74</v>
      </c>
      <c r="BP47" t="s">
        <v>74</v>
      </c>
      <c r="BQ47" t="s">
        <v>74</v>
      </c>
      <c r="BR47" t="s">
        <v>74</v>
      </c>
      <c r="BS47" t="s">
        <v>1391</v>
      </c>
      <c r="BT47" t="str">
        <f>HYPERLINK("https%3A%2F%2Fwww.webofscience.com%2Fwos%2Fwoscc%2Ffull-record%2FWOS:000762659800004","View Full Record in Web of Science")</f>
        <v>View Full Record in Web of Science</v>
      </c>
    </row>
    <row r="48" spans="1:72" x14ac:dyDescent="0.2">
      <c r="A48" t="s">
        <v>72</v>
      </c>
      <c r="B48" t="s">
        <v>1392</v>
      </c>
      <c r="C48" t="s">
        <v>74</v>
      </c>
      <c r="D48" t="s">
        <v>74</v>
      </c>
      <c r="E48" t="s">
        <v>74</v>
      </c>
      <c r="F48" t="s">
        <v>1393</v>
      </c>
      <c r="G48" t="s">
        <v>74</v>
      </c>
      <c r="H48" t="s">
        <v>74</v>
      </c>
      <c r="I48" t="s">
        <v>1394</v>
      </c>
      <c r="J48" t="s">
        <v>106</v>
      </c>
      <c r="K48" t="s">
        <v>74</v>
      </c>
      <c r="L48" t="s">
        <v>74</v>
      </c>
      <c r="M48" t="s">
        <v>74</v>
      </c>
      <c r="N48" t="s">
        <v>74</v>
      </c>
      <c r="O48" t="s">
        <v>74</v>
      </c>
      <c r="P48" t="s">
        <v>74</v>
      </c>
      <c r="Q48" t="s">
        <v>74</v>
      </c>
      <c r="R48" t="s">
        <v>74</v>
      </c>
      <c r="S48" t="s">
        <v>74</v>
      </c>
      <c r="T48" t="s">
        <v>74</v>
      </c>
      <c r="U48" t="s">
        <v>74</v>
      </c>
      <c r="V48" t="s">
        <v>74</v>
      </c>
      <c r="W48" t="s">
        <v>74</v>
      </c>
      <c r="X48" t="s">
        <v>74</v>
      </c>
      <c r="Y48" t="s">
        <v>74</v>
      </c>
      <c r="Z48" t="s">
        <v>74</v>
      </c>
      <c r="AA48" t="s">
        <v>1395</v>
      </c>
      <c r="AB48" t="s">
        <v>1396</v>
      </c>
      <c r="AC48" t="s">
        <v>74</v>
      </c>
      <c r="AD48" t="s">
        <v>74</v>
      </c>
      <c r="AE48" t="s">
        <v>74</v>
      </c>
      <c r="AF48" t="s">
        <v>74</v>
      </c>
      <c r="AG48" t="s">
        <v>74</v>
      </c>
      <c r="AH48" t="s">
        <v>74</v>
      </c>
      <c r="AI48" t="s">
        <v>74</v>
      </c>
      <c r="AJ48" t="s">
        <v>74</v>
      </c>
      <c r="AK48" t="s">
        <v>74</v>
      </c>
      <c r="AL48" t="s">
        <v>74</v>
      </c>
      <c r="AM48" t="s">
        <v>74</v>
      </c>
      <c r="AN48" t="s">
        <v>74</v>
      </c>
      <c r="AO48" t="s">
        <v>107</v>
      </c>
      <c r="AP48" t="s">
        <v>108</v>
      </c>
      <c r="AQ48" t="s">
        <v>74</v>
      </c>
      <c r="AR48" t="s">
        <v>74</v>
      </c>
      <c r="AS48" t="s">
        <v>74</v>
      </c>
      <c r="AT48" t="s">
        <v>1397</v>
      </c>
      <c r="AU48">
        <v>2022</v>
      </c>
      <c r="AV48">
        <v>44</v>
      </c>
      <c r="AW48">
        <v>2</v>
      </c>
      <c r="AX48" t="s">
        <v>74</v>
      </c>
      <c r="AY48" t="s">
        <v>74</v>
      </c>
      <c r="AZ48" t="s">
        <v>74</v>
      </c>
      <c r="BA48" t="s">
        <v>74</v>
      </c>
      <c r="BB48">
        <v>259</v>
      </c>
      <c r="BC48">
        <v>267</v>
      </c>
      <c r="BD48" t="s">
        <v>74</v>
      </c>
      <c r="BE48" t="s">
        <v>1398</v>
      </c>
      <c r="BF48" t="str">
        <f>HYPERLINK("http://dx.doi.org/10.1093/plankt/fbac003","http://dx.doi.org/10.1093/plankt/fbac003")</f>
        <v>http://dx.doi.org/10.1093/plankt/fbac003</v>
      </c>
      <c r="BG48" t="s">
        <v>74</v>
      </c>
      <c r="BH48" t="s">
        <v>1383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 t="s">
        <v>74</v>
      </c>
      <c r="BR48" t="s">
        <v>74</v>
      </c>
      <c r="BS48" t="s">
        <v>1399</v>
      </c>
      <c r="BT48" t="str">
        <f>HYPERLINK("https%3A%2F%2Fwww.webofscience.com%2Fwos%2Fwoscc%2Ffull-record%2FWOS:000792132500001","View Full Record in Web of Science")</f>
        <v>View Full Record in Web of Science</v>
      </c>
    </row>
    <row r="49" spans="1:72" x14ac:dyDescent="0.2">
      <c r="A49" t="s">
        <v>72</v>
      </c>
      <c r="B49" t="s">
        <v>1400</v>
      </c>
      <c r="C49" t="s">
        <v>74</v>
      </c>
      <c r="D49" t="s">
        <v>74</v>
      </c>
      <c r="E49" t="s">
        <v>74</v>
      </c>
      <c r="F49" t="s">
        <v>1401</v>
      </c>
      <c r="G49" t="s">
        <v>74</v>
      </c>
      <c r="H49" t="s">
        <v>74</v>
      </c>
      <c r="I49" t="s">
        <v>1402</v>
      </c>
      <c r="J49" t="s">
        <v>350</v>
      </c>
      <c r="K49" t="s">
        <v>74</v>
      </c>
      <c r="L49" t="s">
        <v>74</v>
      </c>
      <c r="M49" t="s">
        <v>74</v>
      </c>
      <c r="N49" t="s">
        <v>74</v>
      </c>
      <c r="O49" t="s">
        <v>74</v>
      </c>
      <c r="P49" t="s">
        <v>74</v>
      </c>
      <c r="Q49" t="s">
        <v>74</v>
      </c>
      <c r="R49" t="s">
        <v>74</v>
      </c>
      <c r="S49" t="s">
        <v>74</v>
      </c>
      <c r="T49" t="s">
        <v>74</v>
      </c>
      <c r="U49" t="s">
        <v>74</v>
      </c>
      <c r="V49" t="s">
        <v>74</v>
      </c>
      <c r="W49" t="s">
        <v>74</v>
      </c>
      <c r="X49" t="s">
        <v>74</v>
      </c>
      <c r="Y49" t="s">
        <v>74</v>
      </c>
      <c r="Z49" t="s">
        <v>74</v>
      </c>
      <c r="AA49" t="s">
        <v>6850</v>
      </c>
      <c r="AB49" t="s">
        <v>6851</v>
      </c>
      <c r="AC49" t="s">
        <v>74</v>
      </c>
      <c r="AD49" t="s">
        <v>74</v>
      </c>
      <c r="AE49" t="s">
        <v>74</v>
      </c>
      <c r="AF49" t="s">
        <v>74</v>
      </c>
      <c r="AG49" t="s">
        <v>74</v>
      </c>
      <c r="AH49" t="s">
        <v>74</v>
      </c>
      <c r="AI49" t="s">
        <v>74</v>
      </c>
      <c r="AJ49" t="s">
        <v>74</v>
      </c>
      <c r="AK49" t="s">
        <v>74</v>
      </c>
      <c r="AL49" t="s">
        <v>74</v>
      </c>
      <c r="AM49" t="s">
        <v>74</v>
      </c>
      <c r="AN49" t="s">
        <v>74</v>
      </c>
      <c r="AO49" t="s">
        <v>352</v>
      </c>
      <c r="AP49" t="s">
        <v>353</v>
      </c>
      <c r="AQ49" t="s">
        <v>74</v>
      </c>
      <c r="AR49" t="s">
        <v>74</v>
      </c>
      <c r="AS49" t="s">
        <v>74</v>
      </c>
      <c r="AT49" t="s">
        <v>569</v>
      </c>
      <c r="AU49">
        <v>2022</v>
      </c>
      <c r="AV49">
        <v>29</v>
      </c>
      <c r="AW49">
        <v>26</v>
      </c>
      <c r="AX49" t="s">
        <v>74</v>
      </c>
      <c r="AY49" t="s">
        <v>74</v>
      </c>
      <c r="AZ49" t="s">
        <v>74</v>
      </c>
      <c r="BA49" t="s">
        <v>74</v>
      </c>
      <c r="BB49">
        <v>39777</v>
      </c>
      <c r="BC49">
        <v>39789</v>
      </c>
      <c r="BD49" t="s">
        <v>74</v>
      </c>
      <c r="BE49" t="s">
        <v>1403</v>
      </c>
      <c r="BF49" t="str">
        <f>HYPERLINK("http://dx.doi.org/10.1007/s11356-022-18993-7","http://dx.doi.org/10.1007/s11356-022-18993-7")</f>
        <v>http://dx.doi.org/10.1007/s11356-022-18993-7</v>
      </c>
      <c r="BG49" t="s">
        <v>74</v>
      </c>
      <c r="BH49" t="s">
        <v>1383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>
        <v>35113371</v>
      </c>
      <c r="BO49" t="s">
        <v>74</v>
      </c>
      <c r="BP49" t="s">
        <v>74</v>
      </c>
      <c r="BQ49" t="s">
        <v>74</v>
      </c>
      <c r="BR49" t="s">
        <v>74</v>
      </c>
      <c r="BS49" t="s">
        <v>1404</v>
      </c>
      <c r="BT49" t="str">
        <f>HYPERLINK("https%3A%2F%2Fwww.webofscience.com%2Fwos%2Fwoscc%2Ffull-record%2FWOS:000750720700014","View Full Record in Web of Science")</f>
        <v>View Full Record in Web of Science</v>
      </c>
    </row>
    <row r="50" spans="1:72" x14ac:dyDescent="0.2">
      <c r="A50" t="s">
        <v>72</v>
      </c>
      <c r="B50" t="s">
        <v>1405</v>
      </c>
      <c r="C50" t="s">
        <v>74</v>
      </c>
      <c r="D50" t="s">
        <v>74</v>
      </c>
      <c r="E50" t="s">
        <v>74</v>
      </c>
      <c r="F50" t="s">
        <v>1406</v>
      </c>
      <c r="G50" t="s">
        <v>74</v>
      </c>
      <c r="H50" t="s">
        <v>74</v>
      </c>
      <c r="I50" t="s">
        <v>1407</v>
      </c>
      <c r="J50" t="s">
        <v>227</v>
      </c>
      <c r="K50" t="s">
        <v>74</v>
      </c>
      <c r="L50" t="s">
        <v>74</v>
      </c>
      <c r="M50" t="s">
        <v>74</v>
      </c>
      <c r="N50" t="s">
        <v>74</v>
      </c>
      <c r="O50" t="s">
        <v>74</v>
      </c>
      <c r="P50" t="s">
        <v>74</v>
      </c>
      <c r="Q50" t="s">
        <v>74</v>
      </c>
      <c r="R50" t="s">
        <v>74</v>
      </c>
      <c r="S50" t="s">
        <v>74</v>
      </c>
      <c r="T50" t="s">
        <v>74</v>
      </c>
      <c r="U50" t="s">
        <v>74</v>
      </c>
      <c r="V50" t="s">
        <v>74</v>
      </c>
      <c r="W50" t="s">
        <v>74</v>
      </c>
      <c r="X50" t="s">
        <v>74</v>
      </c>
      <c r="Y50" t="s">
        <v>74</v>
      </c>
      <c r="Z50" t="s">
        <v>74</v>
      </c>
      <c r="AA50" t="s">
        <v>1408</v>
      </c>
      <c r="AB50" t="s">
        <v>1409</v>
      </c>
      <c r="AC50" t="s">
        <v>74</v>
      </c>
      <c r="AD50" t="s">
        <v>74</v>
      </c>
      <c r="AE50" t="s">
        <v>74</v>
      </c>
      <c r="AF50" t="s">
        <v>74</v>
      </c>
      <c r="AG50" t="s">
        <v>74</v>
      </c>
      <c r="AH50" t="s">
        <v>74</v>
      </c>
      <c r="AI50" t="s">
        <v>74</v>
      </c>
      <c r="AJ50" t="s">
        <v>74</v>
      </c>
      <c r="AK50" t="s">
        <v>74</v>
      </c>
      <c r="AL50" t="s">
        <v>74</v>
      </c>
      <c r="AM50" t="s">
        <v>74</v>
      </c>
      <c r="AN50" t="s">
        <v>74</v>
      </c>
      <c r="AO50" t="s">
        <v>230</v>
      </c>
      <c r="AP50" t="s">
        <v>231</v>
      </c>
      <c r="AQ50" t="s">
        <v>74</v>
      </c>
      <c r="AR50" t="s">
        <v>74</v>
      </c>
      <c r="AS50" t="s">
        <v>74</v>
      </c>
      <c r="AT50" t="s">
        <v>157</v>
      </c>
      <c r="AU50">
        <v>2022</v>
      </c>
      <c r="AV50">
        <v>67</v>
      </c>
      <c r="AW50">
        <v>3</v>
      </c>
      <c r="AX50" t="s">
        <v>74</v>
      </c>
      <c r="AY50" t="s">
        <v>74</v>
      </c>
      <c r="AZ50" t="s">
        <v>74</v>
      </c>
      <c r="BA50" t="s">
        <v>74</v>
      </c>
      <c r="BB50">
        <v>608</v>
      </c>
      <c r="BC50">
        <v>620</v>
      </c>
      <c r="BD50" t="s">
        <v>74</v>
      </c>
      <c r="BE50" t="s">
        <v>1410</v>
      </c>
      <c r="BF50" t="str">
        <f>HYPERLINK("http://dx.doi.org/10.1002/lno.12021","http://dx.doi.org/10.1002/lno.12021")</f>
        <v>http://dx.doi.org/10.1002/lno.12021</v>
      </c>
      <c r="BG50" t="s">
        <v>74</v>
      </c>
      <c r="BH50" t="s">
        <v>1383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 t="s">
        <v>1411</v>
      </c>
      <c r="BT50" t="str">
        <f>HYPERLINK("https%3A%2F%2Fwww.webofscience.com%2Fwos%2Fwoscc%2Ffull-record%2FWOS:000750023600001","View Full Record in Web of Science")</f>
        <v>View Full Record in Web of Science</v>
      </c>
    </row>
    <row r="51" spans="1:72" x14ac:dyDescent="0.2">
      <c r="A51" t="s">
        <v>72</v>
      </c>
      <c r="B51" t="s">
        <v>1427</v>
      </c>
      <c r="C51" t="s">
        <v>74</v>
      </c>
      <c r="D51" t="s">
        <v>74</v>
      </c>
      <c r="E51" t="s">
        <v>74</v>
      </c>
      <c r="F51" t="s">
        <v>1428</v>
      </c>
      <c r="G51" t="s">
        <v>74</v>
      </c>
      <c r="H51" t="s">
        <v>74</v>
      </c>
      <c r="I51" t="s">
        <v>1429</v>
      </c>
      <c r="J51" t="s">
        <v>350</v>
      </c>
      <c r="K51" t="s">
        <v>74</v>
      </c>
      <c r="L51" t="s">
        <v>74</v>
      </c>
      <c r="M51" t="s">
        <v>74</v>
      </c>
      <c r="N51" t="s">
        <v>74</v>
      </c>
      <c r="O51" t="s">
        <v>74</v>
      </c>
      <c r="P51" t="s">
        <v>74</v>
      </c>
      <c r="Q51" t="s">
        <v>74</v>
      </c>
      <c r="R51" t="s">
        <v>74</v>
      </c>
      <c r="S51" t="s">
        <v>74</v>
      </c>
      <c r="T51" t="s">
        <v>74</v>
      </c>
      <c r="U51" t="s">
        <v>74</v>
      </c>
      <c r="V51" t="s">
        <v>74</v>
      </c>
      <c r="W51" t="s">
        <v>74</v>
      </c>
      <c r="X51" t="s">
        <v>74</v>
      </c>
      <c r="Y51" t="s">
        <v>74</v>
      </c>
      <c r="Z51" t="s">
        <v>74</v>
      </c>
      <c r="AA51" t="s">
        <v>1430</v>
      </c>
      <c r="AB51" t="s">
        <v>1431</v>
      </c>
      <c r="AC51" t="s">
        <v>74</v>
      </c>
      <c r="AD51" t="s">
        <v>74</v>
      </c>
      <c r="AE51" t="s">
        <v>74</v>
      </c>
      <c r="AF51" t="s">
        <v>74</v>
      </c>
      <c r="AG51" t="s">
        <v>74</v>
      </c>
      <c r="AH51" t="s">
        <v>74</v>
      </c>
      <c r="AI51" t="s">
        <v>74</v>
      </c>
      <c r="AJ51" t="s">
        <v>74</v>
      </c>
      <c r="AK51" t="s">
        <v>74</v>
      </c>
      <c r="AL51" t="s">
        <v>74</v>
      </c>
      <c r="AM51" t="s">
        <v>74</v>
      </c>
      <c r="AN51" t="s">
        <v>74</v>
      </c>
      <c r="AO51" t="s">
        <v>352</v>
      </c>
      <c r="AP51" t="s">
        <v>353</v>
      </c>
      <c r="AQ51" t="s">
        <v>74</v>
      </c>
      <c r="AR51" t="s">
        <v>74</v>
      </c>
      <c r="AS51" t="s">
        <v>74</v>
      </c>
      <c r="AT51" t="s">
        <v>575</v>
      </c>
      <c r="AU51">
        <v>2022</v>
      </c>
      <c r="AV51">
        <v>29</v>
      </c>
      <c r="AW51">
        <v>25</v>
      </c>
      <c r="AX51" t="s">
        <v>74</v>
      </c>
      <c r="AY51" t="s">
        <v>74</v>
      </c>
      <c r="AZ51" t="s">
        <v>74</v>
      </c>
      <c r="BA51" t="s">
        <v>74</v>
      </c>
      <c r="BB51">
        <v>37498</v>
      </c>
      <c r="BC51">
        <v>37512</v>
      </c>
      <c r="BD51" t="s">
        <v>74</v>
      </c>
      <c r="BE51" t="s">
        <v>1432</v>
      </c>
      <c r="BF51" t="str">
        <f>HYPERLINK("http://dx.doi.org/10.1007/s11356-021-18096-9","http://dx.doi.org/10.1007/s11356-021-18096-9")</f>
        <v>http://dx.doi.org/10.1007/s11356-021-18096-9</v>
      </c>
      <c r="BG51" t="s">
        <v>74</v>
      </c>
      <c r="BH51" t="s">
        <v>1433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>
        <v>35066840</v>
      </c>
      <c r="BO51" t="s">
        <v>74</v>
      </c>
      <c r="BP51" t="s">
        <v>74</v>
      </c>
      <c r="BQ51" t="s">
        <v>74</v>
      </c>
      <c r="BR51" t="s">
        <v>74</v>
      </c>
      <c r="BS51" t="s">
        <v>1434</v>
      </c>
      <c r="BT51" t="str">
        <f>HYPERLINK("https%3A%2F%2Fwww.webofscience.com%2Fwos%2Fwoscc%2Ffull-record%2FWOS:000745614100011","View Full Record in Web of Science")</f>
        <v>View Full Record in Web of Science</v>
      </c>
    </row>
    <row r="52" spans="1:72" x14ac:dyDescent="0.2">
      <c r="A52" t="s">
        <v>72</v>
      </c>
      <c r="B52" t="s">
        <v>1441</v>
      </c>
      <c r="C52" t="s">
        <v>74</v>
      </c>
      <c r="D52" t="s">
        <v>74</v>
      </c>
      <c r="E52" t="s">
        <v>74</v>
      </c>
      <c r="F52" t="s">
        <v>1442</v>
      </c>
      <c r="G52" t="s">
        <v>74</v>
      </c>
      <c r="H52" t="s">
        <v>74</v>
      </c>
      <c r="I52" t="s">
        <v>1443</v>
      </c>
      <c r="J52" t="s">
        <v>1444</v>
      </c>
      <c r="K52" t="s">
        <v>74</v>
      </c>
      <c r="L52" t="s">
        <v>74</v>
      </c>
      <c r="M52" t="s">
        <v>74</v>
      </c>
      <c r="N52" t="s">
        <v>74</v>
      </c>
      <c r="O52" t="s">
        <v>74</v>
      </c>
      <c r="P52" t="s">
        <v>74</v>
      </c>
      <c r="Q52" t="s">
        <v>74</v>
      </c>
      <c r="R52" t="s">
        <v>74</v>
      </c>
      <c r="S52" t="s">
        <v>74</v>
      </c>
      <c r="T52" t="s">
        <v>74</v>
      </c>
      <c r="U52" t="s">
        <v>74</v>
      </c>
      <c r="V52" t="s">
        <v>74</v>
      </c>
      <c r="W52" t="s">
        <v>74</v>
      </c>
      <c r="X52" t="s">
        <v>74</v>
      </c>
      <c r="Y52" t="s">
        <v>74</v>
      </c>
      <c r="Z52" t="s">
        <v>74</v>
      </c>
      <c r="AA52" t="s">
        <v>1445</v>
      </c>
      <c r="AB52" t="s">
        <v>6853</v>
      </c>
      <c r="AC52" t="s">
        <v>74</v>
      </c>
      <c r="AD52" t="s">
        <v>74</v>
      </c>
      <c r="AE52" t="s">
        <v>74</v>
      </c>
      <c r="AF52" t="s">
        <v>74</v>
      </c>
      <c r="AG52" t="s">
        <v>74</v>
      </c>
      <c r="AH52" t="s">
        <v>74</v>
      </c>
      <c r="AI52" t="s">
        <v>74</v>
      </c>
      <c r="AJ52" t="s">
        <v>74</v>
      </c>
      <c r="AK52" t="s">
        <v>74</v>
      </c>
      <c r="AL52" t="s">
        <v>74</v>
      </c>
      <c r="AM52" t="s">
        <v>74</v>
      </c>
      <c r="AN52" t="s">
        <v>74</v>
      </c>
      <c r="AO52" t="s">
        <v>1447</v>
      </c>
      <c r="AP52" t="s">
        <v>1448</v>
      </c>
      <c r="AQ52" t="s">
        <v>74</v>
      </c>
      <c r="AR52" t="s">
        <v>74</v>
      </c>
      <c r="AS52" t="s">
        <v>74</v>
      </c>
      <c r="AT52" t="s">
        <v>74</v>
      </c>
      <c r="AU52">
        <v>2022</v>
      </c>
      <c r="AV52">
        <v>94</v>
      </c>
      <c r="AW52">
        <v>2</v>
      </c>
      <c r="AX52" t="s">
        <v>74</v>
      </c>
      <c r="AY52" t="s">
        <v>74</v>
      </c>
      <c r="AZ52" t="s">
        <v>74</v>
      </c>
      <c r="BA52" t="s">
        <v>74</v>
      </c>
      <c r="BB52" t="s">
        <v>74</v>
      </c>
      <c r="BC52" t="s">
        <v>74</v>
      </c>
      <c r="BD52" t="s">
        <v>1449</v>
      </c>
      <c r="BE52" t="s">
        <v>1450</v>
      </c>
      <c r="BF52" t="str">
        <f>HYPERLINK("http://dx.doi.org/10.1590/0001-3765202220200604","http://dx.doi.org/10.1590/0001-3765202220200604")</f>
        <v>http://dx.doi.org/10.1590/0001-3765202220200604</v>
      </c>
      <c r="BG52" t="s">
        <v>74</v>
      </c>
      <c r="BH52" t="s">
        <v>74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>
        <v>35703690</v>
      </c>
      <c r="BO52" t="s">
        <v>74</v>
      </c>
      <c r="BP52" t="s">
        <v>74</v>
      </c>
      <c r="BQ52" t="s">
        <v>74</v>
      </c>
      <c r="BR52" t="s">
        <v>74</v>
      </c>
      <c r="BS52" t="s">
        <v>1451</v>
      </c>
      <c r="BT52" t="str">
        <f>HYPERLINK("https%3A%2F%2Fwww.webofscience.com%2Fwos%2Fwoscc%2Ffull-record%2FWOS:000813411900001","View Full Record in Web of Science")</f>
        <v>View Full Record in Web of Science</v>
      </c>
    </row>
    <row r="53" spans="1:72" x14ac:dyDescent="0.2">
      <c r="A53" t="s">
        <v>72</v>
      </c>
      <c r="B53" t="s">
        <v>1584</v>
      </c>
      <c r="C53" t="s">
        <v>74</v>
      </c>
      <c r="D53" t="s">
        <v>74</v>
      </c>
      <c r="E53" t="s">
        <v>74</v>
      </c>
      <c r="F53" t="s">
        <v>1585</v>
      </c>
      <c r="G53" t="s">
        <v>74</v>
      </c>
      <c r="H53" t="s">
        <v>74</v>
      </c>
      <c r="I53" t="s">
        <v>1586</v>
      </c>
      <c r="J53" t="s">
        <v>180</v>
      </c>
      <c r="K53" t="s">
        <v>74</v>
      </c>
      <c r="L53" t="s">
        <v>74</v>
      </c>
      <c r="M53" t="s">
        <v>74</v>
      </c>
      <c r="N53" t="s">
        <v>74</v>
      </c>
      <c r="O53" t="s">
        <v>74</v>
      </c>
      <c r="P53" t="s">
        <v>74</v>
      </c>
      <c r="Q53" t="s">
        <v>74</v>
      </c>
      <c r="R53" t="s">
        <v>74</v>
      </c>
      <c r="S53" t="s">
        <v>74</v>
      </c>
      <c r="T53" t="s">
        <v>74</v>
      </c>
      <c r="U53" t="s">
        <v>74</v>
      </c>
      <c r="V53" t="s">
        <v>74</v>
      </c>
      <c r="W53" t="s">
        <v>74</v>
      </c>
      <c r="X53" t="s">
        <v>74</v>
      </c>
      <c r="Y53" t="s">
        <v>74</v>
      </c>
      <c r="Z53" t="s">
        <v>74</v>
      </c>
      <c r="AA53" t="s">
        <v>1587</v>
      </c>
      <c r="AB53" t="s">
        <v>1588</v>
      </c>
      <c r="AC53" t="s">
        <v>74</v>
      </c>
      <c r="AD53" t="s">
        <v>74</v>
      </c>
      <c r="AE53" t="s">
        <v>74</v>
      </c>
      <c r="AF53" t="s">
        <v>74</v>
      </c>
      <c r="AG53" t="s">
        <v>74</v>
      </c>
      <c r="AH53" t="s">
        <v>74</v>
      </c>
      <c r="AI53" t="s">
        <v>74</v>
      </c>
      <c r="AJ53" t="s">
        <v>74</v>
      </c>
      <c r="AK53" t="s">
        <v>74</v>
      </c>
      <c r="AL53" t="s">
        <v>74</v>
      </c>
      <c r="AM53" t="s">
        <v>74</v>
      </c>
      <c r="AN53" t="s">
        <v>74</v>
      </c>
      <c r="AO53" t="s">
        <v>182</v>
      </c>
      <c r="AP53" t="s">
        <v>183</v>
      </c>
      <c r="AQ53" t="s">
        <v>74</v>
      </c>
      <c r="AR53" t="s">
        <v>74</v>
      </c>
      <c r="AS53" t="s">
        <v>74</v>
      </c>
      <c r="AT53" t="s">
        <v>406</v>
      </c>
      <c r="AU53">
        <v>2021</v>
      </c>
      <c r="AV53">
        <v>130</v>
      </c>
      <c r="AW53">
        <v>10</v>
      </c>
      <c r="AX53" t="s">
        <v>74</v>
      </c>
      <c r="AY53" t="s">
        <v>74</v>
      </c>
      <c r="AZ53" t="s">
        <v>74</v>
      </c>
      <c r="BA53" t="s">
        <v>74</v>
      </c>
      <c r="BB53">
        <v>1773</v>
      </c>
      <c r="BC53">
        <v>1787</v>
      </c>
      <c r="BD53" t="s">
        <v>74</v>
      </c>
      <c r="BE53" t="s">
        <v>1589</v>
      </c>
      <c r="BF53" t="str">
        <f>HYPERLINK("http://dx.doi.org/10.1111/oik.07885","http://dx.doi.org/10.1111/oik.07885")</f>
        <v>http://dx.doi.org/10.1111/oik.07885</v>
      </c>
      <c r="BG53" t="s">
        <v>74</v>
      </c>
      <c r="BH53" t="s">
        <v>1590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 t="s">
        <v>74</v>
      </c>
      <c r="BR53" t="s">
        <v>74</v>
      </c>
      <c r="BS53" t="s">
        <v>1591</v>
      </c>
      <c r="BT53" t="str">
        <f>HYPERLINK("https%3A%2F%2Fwww.webofscience.com%2Fwos%2Fwoscc%2Ffull-record%2FWOS:000687345900001","View Full Record in Web of Science")</f>
        <v>View Full Record in Web of Science</v>
      </c>
    </row>
    <row r="54" spans="1:72" x14ac:dyDescent="0.2">
      <c r="A54" t="s">
        <v>72</v>
      </c>
      <c r="B54" t="s">
        <v>1612</v>
      </c>
      <c r="C54" t="s">
        <v>74</v>
      </c>
      <c r="D54" t="s">
        <v>74</v>
      </c>
      <c r="E54" t="s">
        <v>74</v>
      </c>
      <c r="F54" t="s">
        <v>1613</v>
      </c>
      <c r="G54" t="s">
        <v>74</v>
      </c>
      <c r="H54" t="s">
        <v>74</v>
      </c>
      <c r="I54" t="s">
        <v>1614</v>
      </c>
      <c r="J54" t="s">
        <v>1615</v>
      </c>
      <c r="K54" t="s">
        <v>74</v>
      </c>
      <c r="L54" t="s">
        <v>74</v>
      </c>
      <c r="M54" t="s">
        <v>74</v>
      </c>
      <c r="N54" t="s">
        <v>74</v>
      </c>
      <c r="O54" t="s">
        <v>74</v>
      </c>
      <c r="P54" t="s">
        <v>74</v>
      </c>
      <c r="Q54" t="s">
        <v>74</v>
      </c>
      <c r="R54" t="s">
        <v>74</v>
      </c>
      <c r="S54" t="s">
        <v>74</v>
      </c>
      <c r="T54" t="s">
        <v>74</v>
      </c>
      <c r="U54" t="s">
        <v>74</v>
      </c>
      <c r="V54" t="s">
        <v>74</v>
      </c>
      <c r="W54" t="s">
        <v>74</v>
      </c>
      <c r="X54" t="s">
        <v>74</v>
      </c>
      <c r="Y54" t="s">
        <v>74</v>
      </c>
      <c r="Z54" t="s">
        <v>74</v>
      </c>
      <c r="AA54" t="s">
        <v>74</v>
      </c>
      <c r="AB54" t="s">
        <v>74</v>
      </c>
      <c r="AC54" t="s">
        <v>74</v>
      </c>
      <c r="AD54" t="s">
        <v>74</v>
      </c>
      <c r="AE54" t="s">
        <v>74</v>
      </c>
      <c r="AF54" t="s">
        <v>74</v>
      </c>
      <c r="AG54" t="s">
        <v>74</v>
      </c>
      <c r="AH54" t="s">
        <v>74</v>
      </c>
      <c r="AI54" t="s">
        <v>74</v>
      </c>
      <c r="AJ54" t="s">
        <v>74</v>
      </c>
      <c r="AK54" t="s">
        <v>74</v>
      </c>
      <c r="AL54" t="s">
        <v>74</v>
      </c>
      <c r="AM54" t="s">
        <v>74</v>
      </c>
      <c r="AN54" t="s">
        <v>74</v>
      </c>
      <c r="AO54" t="s">
        <v>1616</v>
      </c>
      <c r="AP54" t="s">
        <v>1617</v>
      </c>
      <c r="AQ54" t="s">
        <v>74</v>
      </c>
      <c r="AR54" t="s">
        <v>74</v>
      </c>
      <c r="AS54" t="s">
        <v>74</v>
      </c>
      <c r="AT54" t="s">
        <v>1618</v>
      </c>
      <c r="AU54">
        <v>2021</v>
      </c>
      <c r="AV54">
        <v>60</v>
      </c>
      <c r="AW54" t="s">
        <v>74</v>
      </c>
      <c r="AX54" t="s">
        <v>74</v>
      </c>
      <c r="AY54" t="s">
        <v>74</v>
      </c>
      <c r="AZ54" t="s">
        <v>74</v>
      </c>
      <c r="BA54" t="s">
        <v>74</v>
      </c>
      <c r="BB54" t="s">
        <v>74</v>
      </c>
      <c r="BC54" t="s">
        <v>74</v>
      </c>
      <c r="BD54">
        <v>45</v>
      </c>
      <c r="BE54" t="s">
        <v>1619</v>
      </c>
      <c r="BF54" t="str">
        <f>HYPERLINK("http://dx.doi.org/10.6620/ZS.2021.60-45","http://dx.doi.org/10.6620/ZS.2021.60-45")</f>
        <v>http://dx.doi.org/10.6620/ZS.2021.60-45</v>
      </c>
      <c r="BG54" t="s">
        <v>74</v>
      </c>
      <c r="BH54" t="s">
        <v>74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>
        <v>35003339</v>
      </c>
      <c r="BO54" t="s">
        <v>74</v>
      </c>
      <c r="BP54" t="s">
        <v>74</v>
      </c>
      <c r="BQ54" t="s">
        <v>74</v>
      </c>
      <c r="BR54" t="s">
        <v>74</v>
      </c>
      <c r="BS54" t="s">
        <v>1620</v>
      </c>
      <c r="BT54" t="str">
        <f>HYPERLINK("https%3A%2F%2Fwww.webofscience.com%2Fwos%2Fwoscc%2Ffull-record%2FWOS:000682917500001","View Full Record in Web of Science")</f>
        <v>View Full Record in Web of Science</v>
      </c>
    </row>
    <row r="55" spans="1:72" x14ac:dyDescent="0.2">
      <c r="A55" t="s">
        <v>72</v>
      </c>
      <c r="B55" t="s">
        <v>1630</v>
      </c>
      <c r="C55" t="s">
        <v>74</v>
      </c>
      <c r="D55" t="s">
        <v>74</v>
      </c>
      <c r="E55" t="s">
        <v>74</v>
      </c>
      <c r="F55" t="s">
        <v>1631</v>
      </c>
      <c r="G55" t="s">
        <v>74</v>
      </c>
      <c r="H55" t="s">
        <v>74</v>
      </c>
      <c r="I55" t="s">
        <v>1632</v>
      </c>
      <c r="J55" t="s">
        <v>1554</v>
      </c>
      <c r="K55" t="s">
        <v>74</v>
      </c>
      <c r="L55" t="s">
        <v>74</v>
      </c>
      <c r="M55" t="s">
        <v>74</v>
      </c>
      <c r="N55" t="s">
        <v>74</v>
      </c>
      <c r="O55" t="s">
        <v>74</v>
      </c>
      <c r="P55" t="s">
        <v>74</v>
      </c>
      <c r="Q55" t="s">
        <v>74</v>
      </c>
      <c r="R55" t="s">
        <v>74</v>
      </c>
      <c r="S55" t="s">
        <v>74</v>
      </c>
      <c r="T55" t="s">
        <v>74</v>
      </c>
      <c r="U55" t="s">
        <v>74</v>
      </c>
      <c r="V55" t="s">
        <v>74</v>
      </c>
      <c r="W55" t="s">
        <v>74</v>
      </c>
      <c r="X55" t="s">
        <v>74</v>
      </c>
      <c r="Y55" t="s">
        <v>74</v>
      </c>
      <c r="Z55" t="s">
        <v>74</v>
      </c>
      <c r="AA55" t="s">
        <v>1633</v>
      </c>
      <c r="AB55" t="s">
        <v>1634</v>
      </c>
      <c r="AC55" t="s">
        <v>74</v>
      </c>
      <c r="AD55" t="s">
        <v>74</v>
      </c>
      <c r="AE55" t="s">
        <v>74</v>
      </c>
      <c r="AF55" t="s">
        <v>74</v>
      </c>
      <c r="AG55" t="s">
        <v>74</v>
      </c>
      <c r="AH55" t="s">
        <v>74</v>
      </c>
      <c r="AI55" t="s">
        <v>74</v>
      </c>
      <c r="AJ55" t="s">
        <v>74</v>
      </c>
      <c r="AK55" t="s">
        <v>74</v>
      </c>
      <c r="AL55" t="s">
        <v>74</v>
      </c>
      <c r="AM55" t="s">
        <v>74</v>
      </c>
      <c r="AN55" t="s">
        <v>74</v>
      </c>
      <c r="AO55" t="s">
        <v>1555</v>
      </c>
      <c r="AP55" t="s">
        <v>1556</v>
      </c>
      <c r="AQ55" t="s">
        <v>74</v>
      </c>
      <c r="AR55" t="s">
        <v>74</v>
      </c>
      <c r="AS55" t="s">
        <v>74</v>
      </c>
      <c r="AT55" t="s">
        <v>82</v>
      </c>
      <c r="AU55">
        <v>2021</v>
      </c>
      <c r="AV55">
        <v>46</v>
      </c>
      <c r="AW55">
        <v>8</v>
      </c>
      <c r="AX55" t="s">
        <v>74</v>
      </c>
      <c r="AY55" t="s">
        <v>74</v>
      </c>
      <c r="AZ55" t="s">
        <v>74</v>
      </c>
      <c r="BA55" t="s">
        <v>74</v>
      </c>
      <c r="BB55">
        <v>1192</v>
      </c>
      <c r="BC55">
        <v>1197</v>
      </c>
      <c r="BD55" t="s">
        <v>74</v>
      </c>
      <c r="BE55" t="s">
        <v>1635</v>
      </c>
      <c r="BF55" t="str">
        <f>HYPERLINK("http://dx.doi.org/10.1111/aec.13087","http://dx.doi.org/10.1111/aec.13087")</f>
        <v>http://dx.doi.org/10.1111/aec.13087</v>
      </c>
      <c r="BG55" t="s">
        <v>74</v>
      </c>
      <c r="BH55" t="s">
        <v>1636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 t="s">
        <v>1637</v>
      </c>
      <c r="BT55" t="str">
        <f>HYPERLINK("https%3A%2F%2Fwww.webofscience.com%2Fwos%2Fwoscc%2Ffull-record%2FWOS:000675245800001","View Full Record in Web of Science")</f>
        <v>View Full Record in Web of Science</v>
      </c>
    </row>
    <row r="56" spans="1:72" x14ac:dyDescent="0.2">
      <c r="A56" t="s">
        <v>72</v>
      </c>
      <c r="B56" t="s">
        <v>1644</v>
      </c>
      <c r="C56" t="s">
        <v>74</v>
      </c>
      <c r="D56" t="s">
        <v>74</v>
      </c>
      <c r="E56" t="s">
        <v>74</v>
      </c>
      <c r="F56" t="s">
        <v>1645</v>
      </c>
      <c r="G56" t="s">
        <v>74</v>
      </c>
      <c r="H56" t="s">
        <v>74</v>
      </c>
      <c r="I56" t="s">
        <v>1646</v>
      </c>
      <c r="J56" t="s">
        <v>457</v>
      </c>
      <c r="K56" t="s">
        <v>74</v>
      </c>
      <c r="L56" t="s">
        <v>74</v>
      </c>
      <c r="M56" t="s">
        <v>74</v>
      </c>
      <c r="N56" t="s">
        <v>74</v>
      </c>
      <c r="O56" t="s">
        <v>74</v>
      </c>
      <c r="P56" t="s">
        <v>74</v>
      </c>
      <c r="Q56" t="s">
        <v>74</v>
      </c>
      <c r="R56" t="s">
        <v>74</v>
      </c>
      <c r="S56" t="s">
        <v>74</v>
      </c>
      <c r="T56" t="s">
        <v>74</v>
      </c>
      <c r="U56" t="s">
        <v>74</v>
      </c>
      <c r="V56" t="s">
        <v>74</v>
      </c>
      <c r="W56" t="s">
        <v>74</v>
      </c>
      <c r="X56" t="s">
        <v>74</v>
      </c>
      <c r="Y56" t="s">
        <v>74</v>
      </c>
      <c r="Z56" t="s">
        <v>74</v>
      </c>
      <c r="AA56" t="s">
        <v>1647</v>
      </c>
      <c r="AB56" t="s">
        <v>1648</v>
      </c>
      <c r="AC56" t="s">
        <v>74</v>
      </c>
      <c r="AD56" t="s">
        <v>74</v>
      </c>
      <c r="AE56" t="s">
        <v>74</v>
      </c>
      <c r="AF56" t="s">
        <v>74</v>
      </c>
      <c r="AG56" t="s">
        <v>74</v>
      </c>
      <c r="AH56" t="s">
        <v>74</v>
      </c>
      <c r="AI56" t="s">
        <v>74</v>
      </c>
      <c r="AJ56" t="s">
        <v>74</v>
      </c>
      <c r="AK56" t="s">
        <v>74</v>
      </c>
      <c r="AL56" t="s">
        <v>74</v>
      </c>
      <c r="AM56" t="s">
        <v>74</v>
      </c>
      <c r="AN56" t="s">
        <v>74</v>
      </c>
      <c r="AO56" t="s">
        <v>458</v>
      </c>
      <c r="AP56" t="s">
        <v>74</v>
      </c>
      <c r="AQ56" t="s">
        <v>74</v>
      </c>
      <c r="AR56" t="s">
        <v>74</v>
      </c>
      <c r="AS56" t="s">
        <v>74</v>
      </c>
      <c r="AT56" t="s">
        <v>520</v>
      </c>
      <c r="AU56">
        <v>2021</v>
      </c>
      <c r="AV56">
        <v>11</v>
      </c>
      <c r="AW56">
        <v>15</v>
      </c>
      <c r="AX56" t="s">
        <v>74</v>
      </c>
      <c r="AY56" t="s">
        <v>74</v>
      </c>
      <c r="AZ56" t="s">
        <v>74</v>
      </c>
      <c r="BA56" t="s">
        <v>74</v>
      </c>
      <c r="BB56">
        <v>10225</v>
      </c>
      <c r="BC56">
        <v>10243</v>
      </c>
      <c r="BD56" t="s">
        <v>74</v>
      </c>
      <c r="BE56" t="s">
        <v>1649</v>
      </c>
      <c r="BF56" t="str">
        <f>HYPERLINK("http://dx.doi.org/10.1002/ece3.7828","http://dx.doi.org/10.1002/ece3.7828")</f>
        <v>http://dx.doi.org/10.1002/ece3.7828</v>
      </c>
      <c r="BG56" t="s">
        <v>74</v>
      </c>
      <c r="BH56" t="s">
        <v>1650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>
        <v>34367571</v>
      </c>
      <c r="BO56" t="s">
        <v>74</v>
      </c>
      <c r="BP56" t="s">
        <v>74</v>
      </c>
      <c r="BQ56" t="s">
        <v>74</v>
      </c>
      <c r="BR56" t="s">
        <v>74</v>
      </c>
      <c r="BS56" t="s">
        <v>1651</v>
      </c>
      <c r="BT56" t="str">
        <f>HYPERLINK("https%3A%2F%2Fwww.webofscience.com%2Fwos%2Fwoscc%2Ffull-record%2FWOS:000667626100001","View Full Record in Web of Science")</f>
        <v>View Full Record in Web of Science</v>
      </c>
    </row>
    <row r="57" spans="1:72" x14ac:dyDescent="0.2">
      <c r="A57" t="s">
        <v>72</v>
      </c>
      <c r="B57" t="s">
        <v>1707</v>
      </c>
      <c r="C57" t="s">
        <v>74</v>
      </c>
      <c r="D57" t="s">
        <v>74</v>
      </c>
      <c r="E57" t="s">
        <v>74</v>
      </c>
      <c r="F57" t="s">
        <v>1708</v>
      </c>
      <c r="G57" t="s">
        <v>74</v>
      </c>
      <c r="H57" t="s">
        <v>74</v>
      </c>
      <c r="I57" t="s">
        <v>1709</v>
      </c>
      <c r="J57" t="s">
        <v>97</v>
      </c>
      <c r="K57" t="s">
        <v>74</v>
      </c>
      <c r="L57" t="s">
        <v>74</v>
      </c>
      <c r="M57" t="s">
        <v>74</v>
      </c>
      <c r="N57" t="s">
        <v>74</v>
      </c>
      <c r="O57" t="s">
        <v>74</v>
      </c>
      <c r="P57" t="s">
        <v>74</v>
      </c>
      <c r="Q57" t="s">
        <v>74</v>
      </c>
      <c r="R57" t="s">
        <v>74</v>
      </c>
      <c r="S57" t="s">
        <v>74</v>
      </c>
      <c r="T57" t="s">
        <v>74</v>
      </c>
      <c r="U57" t="s">
        <v>74</v>
      </c>
      <c r="V57" t="s">
        <v>74</v>
      </c>
      <c r="W57" t="s">
        <v>74</v>
      </c>
      <c r="X57" t="s">
        <v>74</v>
      </c>
      <c r="Y57" t="s">
        <v>74</v>
      </c>
      <c r="Z57" t="s">
        <v>74</v>
      </c>
      <c r="AA57" t="s">
        <v>6875</v>
      </c>
      <c r="AB57" t="s">
        <v>1446</v>
      </c>
      <c r="AC57" t="s">
        <v>74</v>
      </c>
      <c r="AD57" t="s">
        <v>74</v>
      </c>
      <c r="AE57" t="s">
        <v>74</v>
      </c>
      <c r="AF57" t="s">
        <v>74</v>
      </c>
      <c r="AG57" t="s">
        <v>74</v>
      </c>
      <c r="AH57" t="s">
        <v>74</v>
      </c>
      <c r="AI57" t="s">
        <v>74</v>
      </c>
      <c r="AJ57" t="s">
        <v>74</v>
      </c>
      <c r="AK57" t="s">
        <v>74</v>
      </c>
      <c r="AL57" t="s">
        <v>74</v>
      </c>
      <c r="AM57" t="s">
        <v>74</v>
      </c>
      <c r="AN57" t="s">
        <v>74</v>
      </c>
      <c r="AO57" t="s">
        <v>98</v>
      </c>
      <c r="AP57" t="s">
        <v>99</v>
      </c>
      <c r="AQ57" t="s">
        <v>74</v>
      </c>
      <c r="AR57" t="s">
        <v>74</v>
      </c>
      <c r="AS57" t="s">
        <v>74</v>
      </c>
      <c r="AT57" t="s">
        <v>451</v>
      </c>
      <c r="AU57">
        <v>2021</v>
      </c>
      <c r="AV57">
        <v>55</v>
      </c>
      <c r="AW57">
        <v>3</v>
      </c>
      <c r="AX57" t="s">
        <v>74</v>
      </c>
      <c r="AY57" t="s">
        <v>74</v>
      </c>
      <c r="AZ57" t="s">
        <v>74</v>
      </c>
      <c r="BA57" t="s">
        <v>74</v>
      </c>
      <c r="BB57">
        <v>903</v>
      </c>
      <c r="BC57">
        <v>914</v>
      </c>
      <c r="BD57" t="s">
        <v>74</v>
      </c>
      <c r="BE57" t="s">
        <v>1710</v>
      </c>
      <c r="BF57" t="str">
        <f>HYPERLINK("http://dx.doi.org/10.1007/s10452-021-09870-5","http://dx.doi.org/10.1007/s10452-021-09870-5")</f>
        <v>http://dx.doi.org/10.1007/s10452-021-09870-5</v>
      </c>
      <c r="BG57" t="s">
        <v>74</v>
      </c>
      <c r="BH57" t="s">
        <v>1711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 t="s">
        <v>74</v>
      </c>
      <c r="BR57" t="s">
        <v>74</v>
      </c>
      <c r="BS57" t="s">
        <v>1712</v>
      </c>
      <c r="BT57" t="str">
        <f>HYPERLINK("https%3A%2F%2Fwww.webofscience.com%2Fwos%2Fwoscc%2Ffull-record%2FWOS:000651664400001","View Full Record in Web of Science")</f>
        <v>View Full Record in Web of Science</v>
      </c>
    </row>
    <row r="58" spans="1:72" x14ac:dyDescent="0.2">
      <c r="A58" t="s">
        <v>72</v>
      </c>
      <c r="B58" t="s">
        <v>1713</v>
      </c>
      <c r="C58" t="s">
        <v>74</v>
      </c>
      <c r="D58" t="s">
        <v>74</v>
      </c>
      <c r="E58" t="s">
        <v>74</v>
      </c>
      <c r="F58" t="s">
        <v>1714</v>
      </c>
      <c r="G58" t="s">
        <v>74</v>
      </c>
      <c r="H58" t="s">
        <v>74</v>
      </c>
      <c r="I58" t="s">
        <v>1715</v>
      </c>
      <c r="J58" t="s">
        <v>1716</v>
      </c>
      <c r="K58" t="s">
        <v>74</v>
      </c>
      <c r="L58" t="s">
        <v>74</v>
      </c>
      <c r="M58" t="s">
        <v>74</v>
      </c>
      <c r="N58" t="s">
        <v>74</v>
      </c>
      <c r="O58" t="s">
        <v>74</v>
      </c>
      <c r="P58" t="s">
        <v>74</v>
      </c>
      <c r="Q58" t="s">
        <v>74</v>
      </c>
      <c r="R58" t="s">
        <v>74</v>
      </c>
      <c r="S58" t="s">
        <v>74</v>
      </c>
      <c r="T58" t="s">
        <v>74</v>
      </c>
      <c r="U58" t="s">
        <v>74</v>
      </c>
      <c r="V58" t="s">
        <v>74</v>
      </c>
      <c r="W58" t="s">
        <v>74</v>
      </c>
      <c r="X58" t="s">
        <v>74</v>
      </c>
      <c r="Y58" t="s">
        <v>74</v>
      </c>
      <c r="Z58" t="s">
        <v>74</v>
      </c>
      <c r="AA58" t="s">
        <v>6876</v>
      </c>
      <c r="AB58" t="s">
        <v>6877</v>
      </c>
      <c r="AC58" t="s">
        <v>74</v>
      </c>
      <c r="AD58" t="s">
        <v>74</v>
      </c>
      <c r="AE58" t="s">
        <v>74</v>
      </c>
      <c r="AF58" t="s">
        <v>74</v>
      </c>
      <c r="AG58" t="s">
        <v>74</v>
      </c>
      <c r="AH58" t="s">
        <v>74</v>
      </c>
      <c r="AI58" t="s">
        <v>74</v>
      </c>
      <c r="AJ58" t="s">
        <v>74</v>
      </c>
      <c r="AK58" t="s">
        <v>74</v>
      </c>
      <c r="AL58" t="s">
        <v>74</v>
      </c>
      <c r="AM58" t="s">
        <v>74</v>
      </c>
      <c r="AN58" t="s">
        <v>74</v>
      </c>
      <c r="AO58" t="s">
        <v>1717</v>
      </c>
      <c r="AP58" t="s">
        <v>1718</v>
      </c>
      <c r="AQ58" t="s">
        <v>74</v>
      </c>
      <c r="AR58" t="s">
        <v>74</v>
      </c>
      <c r="AS58" t="s">
        <v>74</v>
      </c>
      <c r="AT58" t="s">
        <v>520</v>
      </c>
      <c r="AU58">
        <v>2021</v>
      </c>
      <c r="AV58">
        <v>57</v>
      </c>
      <c r="AW58">
        <v>4</v>
      </c>
      <c r="AX58" t="s">
        <v>74</v>
      </c>
      <c r="AY58" t="s">
        <v>74</v>
      </c>
      <c r="AZ58" t="s">
        <v>74</v>
      </c>
      <c r="BA58" t="s">
        <v>74</v>
      </c>
      <c r="BB58">
        <v>1309</v>
      </c>
      <c r="BC58">
        <v>1322</v>
      </c>
      <c r="BD58" t="s">
        <v>74</v>
      </c>
      <c r="BE58" t="s">
        <v>1719</v>
      </c>
      <c r="BF58" t="str">
        <f>HYPERLINK("http://dx.doi.org/10.1111/jpy.13170","http://dx.doi.org/10.1111/jpy.13170")</f>
        <v>http://dx.doi.org/10.1111/jpy.13170</v>
      </c>
      <c r="BG58" t="s">
        <v>74</v>
      </c>
      <c r="BH58" t="s">
        <v>1711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>
        <v>33749827</v>
      </c>
      <c r="BO58" t="s">
        <v>74</v>
      </c>
      <c r="BP58" t="s">
        <v>74</v>
      </c>
      <c r="BQ58" t="s">
        <v>74</v>
      </c>
      <c r="BR58" t="s">
        <v>74</v>
      </c>
      <c r="BS58" t="s">
        <v>1720</v>
      </c>
      <c r="BT58" t="str">
        <f>HYPERLINK("https%3A%2F%2Fwww.webofscience.com%2Fwos%2Fwoscc%2Ffull-record%2FWOS:000650458000001","View Full Record in Web of Science")</f>
        <v>View Full Record in Web of Science</v>
      </c>
    </row>
    <row r="59" spans="1:72" x14ac:dyDescent="0.2">
      <c r="A59" t="s">
        <v>72</v>
      </c>
      <c r="B59" t="s">
        <v>1728</v>
      </c>
      <c r="C59" t="s">
        <v>74</v>
      </c>
      <c r="D59" t="s">
        <v>74</v>
      </c>
      <c r="E59" t="s">
        <v>74</v>
      </c>
      <c r="F59" t="s">
        <v>1729</v>
      </c>
      <c r="G59" t="s">
        <v>74</v>
      </c>
      <c r="H59" t="s">
        <v>74</v>
      </c>
      <c r="I59" t="s">
        <v>1730</v>
      </c>
      <c r="J59" t="s">
        <v>844</v>
      </c>
      <c r="K59" t="s">
        <v>74</v>
      </c>
      <c r="L59" t="s">
        <v>74</v>
      </c>
      <c r="M59" t="s">
        <v>74</v>
      </c>
      <c r="N59" t="s">
        <v>74</v>
      </c>
      <c r="O59" t="s">
        <v>74</v>
      </c>
      <c r="P59" t="s">
        <v>74</v>
      </c>
      <c r="Q59" t="s">
        <v>74</v>
      </c>
      <c r="R59" t="s">
        <v>74</v>
      </c>
      <c r="S59" t="s">
        <v>74</v>
      </c>
      <c r="T59" t="s">
        <v>74</v>
      </c>
      <c r="U59" t="s">
        <v>74</v>
      </c>
      <c r="V59" t="s">
        <v>74</v>
      </c>
      <c r="W59" t="s">
        <v>74</v>
      </c>
      <c r="X59" t="s">
        <v>74</v>
      </c>
      <c r="Y59" t="s">
        <v>74</v>
      </c>
      <c r="Z59" t="s">
        <v>74</v>
      </c>
      <c r="AA59" t="s">
        <v>1731</v>
      </c>
      <c r="AB59" t="s">
        <v>6878</v>
      </c>
      <c r="AC59" t="s">
        <v>74</v>
      </c>
      <c r="AD59" t="s">
        <v>74</v>
      </c>
      <c r="AE59" t="s">
        <v>74</v>
      </c>
      <c r="AF59" t="s">
        <v>74</v>
      </c>
      <c r="AG59" t="s">
        <v>74</v>
      </c>
      <c r="AH59" t="s">
        <v>74</v>
      </c>
      <c r="AI59" t="s">
        <v>74</v>
      </c>
      <c r="AJ59" t="s">
        <v>74</v>
      </c>
      <c r="AK59" t="s">
        <v>74</v>
      </c>
      <c r="AL59" t="s">
        <v>74</v>
      </c>
      <c r="AM59" t="s">
        <v>74</v>
      </c>
      <c r="AN59" t="s">
        <v>74</v>
      </c>
      <c r="AO59" t="s">
        <v>847</v>
      </c>
      <c r="AP59" t="s">
        <v>848</v>
      </c>
      <c r="AQ59" t="s">
        <v>74</v>
      </c>
      <c r="AR59" t="s">
        <v>74</v>
      </c>
      <c r="AS59" t="s">
        <v>74</v>
      </c>
      <c r="AT59" t="s">
        <v>624</v>
      </c>
      <c r="AU59">
        <v>2021</v>
      </c>
      <c r="AV59">
        <v>40</v>
      </c>
      <c r="AW59">
        <v>7</v>
      </c>
      <c r="AX59" t="s">
        <v>74</v>
      </c>
      <c r="AY59" t="s">
        <v>74</v>
      </c>
      <c r="AZ59" t="s">
        <v>74</v>
      </c>
      <c r="BA59" t="s">
        <v>74</v>
      </c>
      <c r="BB59">
        <v>2015</v>
      </c>
      <c r="BC59">
        <v>2025</v>
      </c>
      <c r="BD59" t="s">
        <v>74</v>
      </c>
      <c r="BE59" t="s">
        <v>1732</v>
      </c>
      <c r="BF59" t="str">
        <f>HYPERLINK("http://dx.doi.org/10.1002/etc.5034","http://dx.doi.org/10.1002/etc.5034")</f>
        <v>http://dx.doi.org/10.1002/etc.5034</v>
      </c>
      <c r="BG59" t="s">
        <v>74</v>
      </c>
      <c r="BH59" t="s">
        <v>1711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>
        <v>33683756</v>
      </c>
      <c r="BO59" t="s">
        <v>74</v>
      </c>
      <c r="BP59" t="s">
        <v>74</v>
      </c>
      <c r="BQ59" t="s">
        <v>74</v>
      </c>
      <c r="BR59" t="s">
        <v>74</v>
      </c>
      <c r="BS59" t="s">
        <v>1733</v>
      </c>
      <c r="BT59" t="str">
        <f>HYPERLINK("https%3A%2F%2Fwww.webofscience.com%2Fwos%2Fwoscc%2Ffull-record%2FWOS:000648346800001","View Full Record in Web of Science")</f>
        <v>View Full Record in Web of Science</v>
      </c>
    </row>
    <row r="60" spans="1:72" x14ac:dyDescent="0.2">
      <c r="A60" t="s">
        <v>72</v>
      </c>
      <c r="B60" t="s">
        <v>1734</v>
      </c>
      <c r="C60" t="s">
        <v>74</v>
      </c>
      <c r="D60" t="s">
        <v>74</v>
      </c>
      <c r="E60" t="s">
        <v>74</v>
      </c>
      <c r="F60" t="s">
        <v>1735</v>
      </c>
      <c r="G60" t="s">
        <v>74</v>
      </c>
      <c r="H60" t="s">
        <v>74</v>
      </c>
      <c r="I60" t="s">
        <v>1736</v>
      </c>
      <c r="J60" t="s">
        <v>1737</v>
      </c>
      <c r="K60" t="s">
        <v>74</v>
      </c>
      <c r="L60" t="s">
        <v>74</v>
      </c>
      <c r="M60" t="s">
        <v>74</v>
      </c>
      <c r="N60" t="s">
        <v>74</v>
      </c>
      <c r="O60" t="s">
        <v>74</v>
      </c>
      <c r="P60" t="s">
        <v>74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74</v>
      </c>
      <c r="Y60" t="s">
        <v>74</v>
      </c>
      <c r="Z60" t="s">
        <v>74</v>
      </c>
      <c r="AA60" t="s">
        <v>1738</v>
      </c>
      <c r="AB60" t="s">
        <v>1739</v>
      </c>
      <c r="AC60" t="s">
        <v>74</v>
      </c>
      <c r="AD60" t="s">
        <v>74</v>
      </c>
      <c r="AE60" t="s">
        <v>74</v>
      </c>
      <c r="AF60" t="s">
        <v>74</v>
      </c>
      <c r="AG60" t="s">
        <v>74</v>
      </c>
      <c r="AH60" t="s">
        <v>74</v>
      </c>
      <c r="AI60" t="s">
        <v>74</v>
      </c>
      <c r="AJ60" t="s">
        <v>74</v>
      </c>
      <c r="AK60" t="s">
        <v>74</v>
      </c>
      <c r="AL60" t="s">
        <v>74</v>
      </c>
      <c r="AM60" t="s">
        <v>74</v>
      </c>
      <c r="AN60" t="s">
        <v>74</v>
      </c>
      <c r="AO60" t="s">
        <v>74</v>
      </c>
      <c r="AP60" t="s">
        <v>1740</v>
      </c>
      <c r="AQ60" t="s">
        <v>74</v>
      </c>
      <c r="AR60" t="s">
        <v>74</v>
      </c>
      <c r="AS60" t="s">
        <v>74</v>
      </c>
      <c r="AT60" t="s">
        <v>575</v>
      </c>
      <c r="AU60">
        <v>2021</v>
      </c>
      <c r="AV60">
        <v>10</v>
      </c>
      <c r="AW60">
        <v>5</v>
      </c>
      <c r="AX60" t="s">
        <v>74</v>
      </c>
      <c r="AY60" t="s">
        <v>74</v>
      </c>
      <c r="AZ60" t="s">
        <v>74</v>
      </c>
      <c r="BA60" t="s">
        <v>74</v>
      </c>
      <c r="BB60" t="s">
        <v>74</v>
      </c>
      <c r="BC60" t="s">
        <v>74</v>
      </c>
      <c r="BD60">
        <v>393</v>
      </c>
      <c r="BE60" t="s">
        <v>1741</v>
      </c>
      <c r="BF60" t="str">
        <f>HYPERLINK("http://dx.doi.org/10.3390/biology10050393","http://dx.doi.org/10.3390/biology10050393")</f>
        <v>http://dx.doi.org/10.3390/biology10050393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>
        <v>34062893</v>
      </c>
      <c r="BO60" t="s">
        <v>74</v>
      </c>
      <c r="BP60" t="s">
        <v>74</v>
      </c>
      <c r="BQ60" t="s">
        <v>74</v>
      </c>
      <c r="BR60" t="s">
        <v>74</v>
      </c>
      <c r="BS60" t="s">
        <v>1742</v>
      </c>
      <c r="BT60" t="str">
        <f>HYPERLINK("https%3A%2F%2Fwww.webofscience.com%2Fwos%2Fwoscc%2Ffull-record%2FWOS:000653459300001","View Full Record in Web of Science")</f>
        <v>View Full Record in Web of Science</v>
      </c>
    </row>
    <row r="61" spans="1:72" x14ac:dyDescent="0.2">
      <c r="A61" t="s">
        <v>72</v>
      </c>
      <c r="B61" t="s">
        <v>1743</v>
      </c>
      <c r="C61" t="s">
        <v>74</v>
      </c>
      <c r="D61" t="s">
        <v>74</v>
      </c>
      <c r="E61" t="s">
        <v>74</v>
      </c>
      <c r="F61" t="s">
        <v>1744</v>
      </c>
      <c r="G61" t="s">
        <v>74</v>
      </c>
      <c r="H61" t="s">
        <v>74</v>
      </c>
      <c r="I61" t="s">
        <v>1745</v>
      </c>
      <c r="J61" t="s">
        <v>1063</v>
      </c>
      <c r="K61" t="s">
        <v>74</v>
      </c>
      <c r="L61" t="s">
        <v>74</v>
      </c>
      <c r="M61" t="s">
        <v>74</v>
      </c>
      <c r="N61" t="s">
        <v>74</v>
      </c>
      <c r="O61" t="s">
        <v>74</v>
      </c>
      <c r="P61" t="s">
        <v>74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74</v>
      </c>
      <c r="Y61" t="s">
        <v>74</v>
      </c>
      <c r="Z61" t="s">
        <v>74</v>
      </c>
      <c r="AA61" t="s">
        <v>1746</v>
      </c>
      <c r="AB61" t="s">
        <v>1747</v>
      </c>
      <c r="AC61" t="s">
        <v>74</v>
      </c>
      <c r="AD61" t="s">
        <v>74</v>
      </c>
      <c r="AE61" t="s">
        <v>74</v>
      </c>
      <c r="AF61" t="s">
        <v>74</v>
      </c>
      <c r="AG61" t="s">
        <v>74</v>
      </c>
      <c r="AH61" t="s">
        <v>74</v>
      </c>
      <c r="AI61" t="s">
        <v>74</v>
      </c>
      <c r="AJ61" t="s">
        <v>74</v>
      </c>
      <c r="AK61" t="s">
        <v>74</v>
      </c>
      <c r="AL61" t="s">
        <v>74</v>
      </c>
      <c r="AM61" t="s">
        <v>74</v>
      </c>
      <c r="AN61" t="s">
        <v>74</v>
      </c>
      <c r="AO61" t="s">
        <v>1065</v>
      </c>
      <c r="AP61" t="s">
        <v>1066</v>
      </c>
      <c r="AQ61" t="s">
        <v>74</v>
      </c>
      <c r="AR61" t="s">
        <v>74</v>
      </c>
      <c r="AS61" t="s">
        <v>74</v>
      </c>
      <c r="AT61" t="s">
        <v>451</v>
      </c>
      <c r="AU61">
        <v>2021</v>
      </c>
      <c r="AV61">
        <v>279</v>
      </c>
      <c r="AW61" t="s">
        <v>74</v>
      </c>
      <c r="AX61" t="s">
        <v>74</v>
      </c>
      <c r="AY61" t="s">
        <v>74</v>
      </c>
      <c r="AZ61" t="s">
        <v>74</v>
      </c>
      <c r="BA61" t="s">
        <v>74</v>
      </c>
      <c r="BB61" t="s">
        <v>74</v>
      </c>
      <c r="BC61" t="s">
        <v>74</v>
      </c>
      <c r="BD61">
        <v>130623</v>
      </c>
      <c r="BE61" t="s">
        <v>1748</v>
      </c>
      <c r="BF61" t="str">
        <f>HYPERLINK("http://dx.doi.org/10.1016/j.chemosphere.2021.130623","http://dx.doi.org/10.1016/j.chemosphere.2021.130623")</f>
        <v>http://dx.doi.org/10.1016/j.chemosphere.2021.130623</v>
      </c>
      <c r="BG61" t="s">
        <v>74</v>
      </c>
      <c r="BH61" t="s">
        <v>1749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>
        <v>34134419</v>
      </c>
      <c r="BO61" t="s">
        <v>74</v>
      </c>
      <c r="BP61" t="s">
        <v>74</v>
      </c>
      <c r="BQ61" t="s">
        <v>74</v>
      </c>
      <c r="BR61" t="s">
        <v>74</v>
      </c>
      <c r="BS61" t="s">
        <v>1750</v>
      </c>
      <c r="BT61" t="str">
        <f>HYPERLINK("https%3A%2F%2Fwww.webofscience.com%2Fwos%2Fwoscc%2Ffull-record%2FWOS:000659971200116","View Full Record in Web of Science")</f>
        <v>View Full Record in Web of Science</v>
      </c>
    </row>
    <row r="62" spans="1:72" x14ac:dyDescent="0.2">
      <c r="A62" t="s">
        <v>72</v>
      </c>
      <c r="B62" t="s">
        <v>1795</v>
      </c>
      <c r="C62" t="s">
        <v>74</v>
      </c>
      <c r="D62" t="s">
        <v>74</v>
      </c>
      <c r="E62" t="s">
        <v>74</v>
      </c>
      <c r="F62" t="s">
        <v>1796</v>
      </c>
      <c r="G62" t="s">
        <v>74</v>
      </c>
      <c r="H62" t="s">
        <v>74</v>
      </c>
      <c r="I62" t="s">
        <v>1797</v>
      </c>
      <c r="J62" t="s">
        <v>198</v>
      </c>
      <c r="K62" t="s">
        <v>74</v>
      </c>
      <c r="L62" t="s">
        <v>74</v>
      </c>
      <c r="M62" t="s">
        <v>74</v>
      </c>
      <c r="N62" t="s">
        <v>74</v>
      </c>
      <c r="O62" t="s">
        <v>74</v>
      </c>
      <c r="P62" t="s">
        <v>74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74</v>
      </c>
      <c r="Y62" t="s">
        <v>74</v>
      </c>
      <c r="Z62" t="s">
        <v>74</v>
      </c>
      <c r="AA62" t="s">
        <v>199</v>
      </c>
      <c r="AB62" t="s">
        <v>6885</v>
      </c>
      <c r="AC62" t="s">
        <v>74</v>
      </c>
      <c r="AD62" t="s">
        <v>74</v>
      </c>
      <c r="AE62" t="s">
        <v>74</v>
      </c>
      <c r="AF62" t="s">
        <v>74</v>
      </c>
      <c r="AG62" t="s">
        <v>74</v>
      </c>
      <c r="AH62" t="s">
        <v>74</v>
      </c>
      <c r="AI62" t="s">
        <v>74</v>
      </c>
      <c r="AJ62" t="s">
        <v>74</v>
      </c>
      <c r="AK62" t="s">
        <v>74</v>
      </c>
      <c r="AL62" t="s">
        <v>74</v>
      </c>
      <c r="AM62" t="s">
        <v>74</v>
      </c>
      <c r="AN62" t="s">
        <v>74</v>
      </c>
      <c r="AO62" t="s">
        <v>201</v>
      </c>
      <c r="AP62" t="s">
        <v>202</v>
      </c>
      <c r="AQ62" t="s">
        <v>74</v>
      </c>
      <c r="AR62" t="s">
        <v>74</v>
      </c>
      <c r="AS62" t="s">
        <v>74</v>
      </c>
      <c r="AT62" t="s">
        <v>203</v>
      </c>
      <c r="AU62">
        <v>2021</v>
      </c>
      <c r="AV62">
        <v>35</v>
      </c>
      <c r="AW62">
        <v>4</v>
      </c>
      <c r="AX62" t="s">
        <v>74</v>
      </c>
      <c r="AY62" t="s">
        <v>74</v>
      </c>
      <c r="AZ62" t="s">
        <v>74</v>
      </c>
      <c r="BA62" t="s">
        <v>74</v>
      </c>
      <c r="BB62">
        <v>920</v>
      </c>
      <c r="BC62">
        <v>929</v>
      </c>
      <c r="BD62" t="s">
        <v>74</v>
      </c>
      <c r="BE62" t="s">
        <v>1798</v>
      </c>
      <c r="BF62" t="str">
        <f>HYPERLINK("http://dx.doi.org/10.1111/1365-2435.13752","http://dx.doi.org/10.1111/1365-2435.13752")</f>
        <v>http://dx.doi.org/10.1111/1365-2435.13752</v>
      </c>
      <c r="BG62" t="s">
        <v>74</v>
      </c>
      <c r="BH62" t="s">
        <v>1784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1799</v>
      </c>
      <c r="BT62" t="str">
        <f>HYPERLINK("https%3A%2F%2Fwww.webofscience.com%2Fwos%2Fwoscc%2Ffull-record%2FWOS:000624341300001","View Full Record in Web of Science")</f>
        <v>View Full Record in Web of Science</v>
      </c>
    </row>
    <row r="63" spans="1:72" x14ac:dyDescent="0.2">
      <c r="A63" t="s">
        <v>72</v>
      </c>
      <c r="B63" t="s">
        <v>1815</v>
      </c>
      <c r="C63" t="s">
        <v>74</v>
      </c>
      <c r="D63" t="s">
        <v>74</v>
      </c>
      <c r="E63" t="s">
        <v>74</v>
      </c>
      <c r="F63" t="s">
        <v>1816</v>
      </c>
      <c r="G63" t="s">
        <v>74</v>
      </c>
      <c r="H63" t="s">
        <v>74</v>
      </c>
      <c r="I63" t="s">
        <v>1817</v>
      </c>
      <c r="J63" t="s">
        <v>145</v>
      </c>
      <c r="K63" t="s">
        <v>74</v>
      </c>
      <c r="L63" t="s">
        <v>74</v>
      </c>
      <c r="M63" t="s">
        <v>74</v>
      </c>
      <c r="N63" t="s">
        <v>74</v>
      </c>
      <c r="O63" t="s">
        <v>74</v>
      </c>
      <c r="P63" t="s">
        <v>74</v>
      </c>
      <c r="Q63" t="s">
        <v>74</v>
      </c>
      <c r="R63" t="s">
        <v>74</v>
      </c>
      <c r="S63" t="s">
        <v>74</v>
      </c>
      <c r="T63" t="s">
        <v>74</v>
      </c>
      <c r="U63" t="s">
        <v>74</v>
      </c>
      <c r="V63" t="s">
        <v>74</v>
      </c>
      <c r="W63" t="s">
        <v>74</v>
      </c>
      <c r="X63" t="s">
        <v>74</v>
      </c>
      <c r="Y63" t="s">
        <v>74</v>
      </c>
      <c r="Z63" t="s">
        <v>74</v>
      </c>
      <c r="AA63" t="s">
        <v>6888</v>
      </c>
      <c r="AB63" t="s">
        <v>6889</v>
      </c>
      <c r="AC63" t="s">
        <v>74</v>
      </c>
      <c r="AD63" t="s">
        <v>74</v>
      </c>
      <c r="AE63" t="s">
        <v>74</v>
      </c>
      <c r="AF63" t="s">
        <v>74</v>
      </c>
      <c r="AG63" t="s">
        <v>74</v>
      </c>
      <c r="AH63" t="s">
        <v>74</v>
      </c>
      <c r="AI63" t="s">
        <v>74</v>
      </c>
      <c r="AJ63" t="s">
        <v>74</v>
      </c>
      <c r="AK63" t="s">
        <v>74</v>
      </c>
      <c r="AL63" t="s">
        <v>74</v>
      </c>
      <c r="AM63" t="s">
        <v>74</v>
      </c>
      <c r="AN63" t="s">
        <v>74</v>
      </c>
      <c r="AO63" t="s">
        <v>146</v>
      </c>
      <c r="AP63" t="s">
        <v>147</v>
      </c>
      <c r="AQ63" t="s">
        <v>74</v>
      </c>
      <c r="AR63" t="s">
        <v>74</v>
      </c>
      <c r="AS63" t="s">
        <v>74</v>
      </c>
      <c r="AT63" t="s">
        <v>1208</v>
      </c>
      <c r="AU63">
        <v>2021</v>
      </c>
      <c r="AV63">
        <v>773</v>
      </c>
      <c r="AW63" t="s">
        <v>74</v>
      </c>
      <c r="AX63" t="s">
        <v>74</v>
      </c>
      <c r="AY63" t="s">
        <v>74</v>
      </c>
      <c r="AZ63" t="s">
        <v>74</v>
      </c>
      <c r="BA63" t="s">
        <v>74</v>
      </c>
      <c r="BB63" t="s">
        <v>74</v>
      </c>
      <c r="BC63" t="s">
        <v>74</v>
      </c>
      <c r="BD63">
        <v>145538</v>
      </c>
      <c r="BE63" t="s">
        <v>1818</v>
      </c>
      <c r="BF63" t="str">
        <f>HYPERLINK("http://dx.doi.org/10.1016/j.scitotenv.2021.145538","http://dx.doi.org/10.1016/j.scitotenv.2021.145538")</f>
        <v>http://dx.doi.org/10.1016/j.scitotenv.2021.145538</v>
      </c>
      <c r="BG63" t="s">
        <v>74</v>
      </c>
      <c r="BH63" t="s">
        <v>1819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>
        <v>33592473</v>
      </c>
      <c r="BO63" t="s">
        <v>74</v>
      </c>
      <c r="BP63" t="s">
        <v>74</v>
      </c>
      <c r="BQ63" t="s">
        <v>74</v>
      </c>
      <c r="BR63" t="s">
        <v>74</v>
      </c>
      <c r="BS63" t="s">
        <v>1820</v>
      </c>
      <c r="BT63" t="str">
        <f>HYPERLINK("https%3A%2F%2Fwww.webofscience.com%2Fwos%2Fwoscc%2Ffull-record%2FWOS:000635207100074","View Full Record in Web of Science")</f>
        <v>View Full Record in Web of Science</v>
      </c>
    </row>
    <row r="64" spans="1:72" x14ac:dyDescent="0.2">
      <c r="A64" t="s">
        <v>72</v>
      </c>
      <c r="B64" t="s">
        <v>1856</v>
      </c>
      <c r="C64" t="s">
        <v>74</v>
      </c>
      <c r="D64" t="s">
        <v>74</v>
      </c>
      <c r="E64" t="s">
        <v>74</v>
      </c>
      <c r="F64" t="s">
        <v>1857</v>
      </c>
      <c r="G64" t="s">
        <v>74</v>
      </c>
      <c r="H64" t="s">
        <v>74</v>
      </c>
      <c r="I64" t="s">
        <v>1858</v>
      </c>
      <c r="J64" t="s">
        <v>1859</v>
      </c>
      <c r="K64" t="s">
        <v>74</v>
      </c>
      <c r="L64" t="s">
        <v>74</v>
      </c>
      <c r="M64" t="s">
        <v>74</v>
      </c>
      <c r="N64" t="s">
        <v>74</v>
      </c>
      <c r="O64" t="s">
        <v>74</v>
      </c>
      <c r="P64" t="s">
        <v>74</v>
      </c>
      <c r="Q64" t="s">
        <v>74</v>
      </c>
      <c r="R64" t="s">
        <v>74</v>
      </c>
      <c r="S64" t="s">
        <v>74</v>
      </c>
      <c r="T64" t="s">
        <v>74</v>
      </c>
      <c r="U64" t="s">
        <v>74</v>
      </c>
      <c r="V64" t="s">
        <v>74</v>
      </c>
      <c r="W64" t="s">
        <v>74</v>
      </c>
      <c r="X64" t="s">
        <v>74</v>
      </c>
      <c r="Y64" t="s">
        <v>74</v>
      </c>
      <c r="Z64" t="s">
        <v>74</v>
      </c>
      <c r="AA64" t="s">
        <v>6896</v>
      </c>
      <c r="AB64" t="s">
        <v>6897</v>
      </c>
      <c r="AC64" t="s">
        <v>74</v>
      </c>
      <c r="AD64" t="s">
        <v>74</v>
      </c>
      <c r="AE64" t="s">
        <v>74</v>
      </c>
      <c r="AF64" t="s">
        <v>74</v>
      </c>
      <c r="AG64" t="s">
        <v>74</v>
      </c>
      <c r="AH64" t="s">
        <v>74</v>
      </c>
      <c r="AI64" t="s">
        <v>74</v>
      </c>
      <c r="AJ64" t="s">
        <v>74</v>
      </c>
      <c r="AK64" t="s">
        <v>74</v>
      </c>
      <c r="AL64" t="s">
        <v>74</v>
      </c>
      <c r="AM64" t="s">
        <v>74</v>
      </c>
      <c r="AN64" t="s">
        <v>74</v>
      </c>
      <c r="AO64" t="s">
        <v>74</v>
      </c>
      <c r="AP64" t="s">
        <v>1860</v>
      </c>
      <c r="AQ64" t="s">
        <v>74</v>
      </c>
      <c r="AR64" t="s">
        <v>74</v>
      </c>
      <c r="AS64" t="s">
        <v>74</v>
      </c>
      <c r="AT64" t="s">
        <v>1861</v>
      </c>
      <c r="AU64">
        <v>2021</v>
      </c>
      <c r="AV64">
        <v>4</v>
      </c>
      <c r="AW64">
        <v>1</v>
      </c>
      <c r="AX64" t="s">
        <v>74</v>
      </c>
      <c r="AY64" t="s">
        <v>74</v>
      </c>
      <c r="AZ64" t="s">
        <v>74</v>
      </c>
      <c r="BA64" t="s">
        <v>74</v>
      </c>
      <c r="BB64" t="s">
        <v>74</v>
      </c>
      <c r="BC64" t="s">
        <v>74</v>
      </c>
      <c r="BD64">
        <v>49</v>
      </c>
      <c r="BE64" t="s">
        <v>1862</v>
      </c>
      <c r="BF64" t="str">
        <f>HYPERLINK("http://dx.doi.org/10.1038/s42003-020-01587-9","http://dx.doi.org/10.1038/s42003-020-01587-9")</f>
        <v>http://dx.doi.org/10.1038/s42003-020-01587-9</v>
      </c>
      <c r="BG64" t="s">
        <v>74</v>
      </c>
      <c r="BH64" t="s">
        <v>74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>
        <v>33420411</v>
      </c>
      <c r="BO64" t="s">
        <v>74</v>
      </c>
      <c r="BP64" t="s">
        <v>74</v>
      </c>
      <c r="BQ64" t="s">
        <v>74</v>
      </c>
      <c r="BR64" t="s">
        <v>74</v>
      </c>
      <c r="BS64" t="s">
        <v>1863</v>
      </c>
      <c r="BT64" t="str">
        <f>HYPERLINK("https%3A%2F%2Fwww.webofscience.com%2Fwos%2Fwoscc%2Ffull-record%2FWOS:000608285700007","View Full Record in Web of Science")</f>
        <v>View Full Record in Web of Science</v>
      </c>
    </row>
    <row r="65" spans="1:72" x14ac:dyDescent="0.2">
      <c r="A65" t="s">
        <v>72</v>
      </c>
      <c r="B65" t="s">
        <v>1871</v>
      </c>
      <c r="C65" t="s">
        <v>74</v>
      </c>
      <c r="D65" t="s">
        <v>74</v>
      </c>
      <c r="E65" t="s">
        <v>74</v>
      </c>
      <c r="F65" t="s">
        <v>1872</v>
      </c>
      <c r="G65" t="s">
        <v>74</v>
      </c>
      <c r="H65" t="s">
        <v>74</v>
      </c>
      <c r="I65" t="s">
        <v>1873</v>
      </c>
      <c r="J65" t="s">
        <v>1444</v>
      </c>
      <c r="K65" t="s">
        <v>74</v>
      </c>
      <c r="L65" t="s">
        <v>74</v>
      </c>
      <c r="M65" t="s">
        <v>74</v>
      </c>
      <c r="N65" t="s">
        <v>74</v>
      </c>
      <c r="O65" t="s">
        <v>74</v>
      </c>
      <c r="P65" t="s">
        <v>74</v>
      </c>
      <c r="Q65" t="s">
        <v>74</v>
      </c>
      <c r="R65" t="s">
        <v>74</v>
      </c>
      <c r="S65" t="s">
        <v>74</v>
      </c>
      <c r="T65" t="s">
        <v>74</v>
      </c>
      <c r="U65" t="s">
        <v>74</v>
      </c>
      <c r="V65" t="s">
        <v>74</v>
      </c>
      <c r="W65" t="s">
        <v>74</v>
      </c>
      <c r="X65" t="s">
        <v>74</v>
      </c>
      <c r="Y65" t="s">
        <v>74</v>
      </c>
      <c r="Z65" t="s">
        <v>74</v>
      </c>
      <c r="AA65" t="s">
        <v>6898</v>
      </c>
      <c r="AB65" t="s">
        <v>6899</v>
      </c>
      <c r="AC65" t="s">
        <v>74</v>
      </c>
      <c r="AD65" t="s">
        <v>74</v>
      </c>
      <c r="AE65" t="s">
        <v>74</v>
      </c>
      <c r="AF65" t="s">
        <v>74</v>
      </c>
      <c r="AG65" t="s">
        <v>74</v>
      </c>
      <c r="AH65" t="s">
        <v>74</v>
      </c>
      <c r="AI65" t="s">
        <v>74</v>
      </c>
      <c r="AJ65" t="s">
        <v>74</v>
      </c>
      <c r="AK65" t="s">
        <v>74</v>
      </c>
      <c r="AL65" t="s">
        <v>74</v>
      </c>
      <c r="AM65" t="s">
        <v>74</v>
      </c>
      <c r="AN65" t="s">
        <v>74</v>
      </c>
      <c r="AO65" t="s">
        <v>1447</v>
      </c>
      <c r="AP65" t="s">
        <v>1448</v>
      </c>
      <c r="AQ65" t="s">
        <v>74</v>
      </c>
      <c r="AR65" t="s">
        <v>74</v>
      </c>
      <c r="AS65" t="s">
        <v>74</v>
      </c>
      <c r="AT65" t="s">
        <v>74</v>
      </c>
      <c r="AU65">
        <v>2021</v>
      </c>
      <c r="AV65">
        <v>93</v>
      </c>
      <c r="AW65" t="s">
        <v>74</v>
      </c>
      <c r="AX65" t="s">
        <v>74</v>
      </c>
      <c r="AY65">
        <v>3</v>
      </c>
      <c r="AZ65" t="s">
        <v>74</v>
      </c>
      <c r="BA65" t="s">
        <v>74</v>
      </c>
      <c r="BB65" t="s">
        <v>74</v>
      </c>
      <c r="BC65" t="s">
        <v>74</v>
      </c>
      <c r="BD65" t="s">
        <v>1874</v>
      </c>
      <c r="BE65" t="s">
        <v>1875</v>
      </c>
      <c r="BF65" t="str">
        <f>HYPERLINK("http://dx.doi.org/10.1590/0001-3765202120200778","http://dx.doi.org/10.1590/0001-3765202120200778")</f>
        <v>http://dx.doi.org/10.1590/0001-3765202120200778</v>
      </c>
      <c r="BG65" t="s">
        <v>74</v>
      </c>
      <c r="BH65" t="s">
        <v>74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>
        <v>34431864</v>
      </c>
      <c r="BO65" t="s">
        <v>74</v>
      </c>
      <c r="BP65" t="s">
        <v>74</v>
      </c>
      <c r="BQ65" t="s">
        <v>74</v>
      </c>
      <c r="BR65" t="s">
        <v>74</v>
      </c>
      <c r="BS65" t="s">
        <v>1876</v>
      </c>
      <c r="BT65" t="str">
        <f>HYPERLINK("https%3A%2F%2Fwww.webofscience.com%2Fwos%2Fwoscc%2Ffull-record%2FWOS:000691751200001","View Full Record in Web of Science")</f>
        <v>View Full Record in Web of Science</v>
      </c>
    </row>
    <row r="66" spans="1:72" x14ac:dyDescent="0.2">
      <c r="A66" t="s">
        <v>72</v>
      </c>
      <c r="B66" t="s">
        <v>1877</v>
      </c>
      <c r="C66" t="s">
        <v>74</v>
      </c>
      <c r="D66" t="s">
        <v>74</v>
      </c>
      <c r="E66" t="s">
        <v>74</v>
      </c>
      <c r="F66" t="s">
        <v>1878</v>
      </c>
      <c r="G66" t="s">
        <v>74</v>
      </c>
      <c r="H66" t="s">
        <v>74</v>
      </c>
      <c r="I66" t="s">
        <v>1879</v>
      </c>
      <c r="J66" t="s">
        <v>1880</v>
      </c>
      <c r="K66" t="s">
        <v>74</v>
      </c>
      <c r="L66" t="s">
        <v>74</v>
      </c>
      <c r="M66" t="s">
        <v>74</v>
      </c>
      <c r="N66" t="s">
        <v>74</v>
      </c>
      <c r="O66" t="s">
        <v>74</v>
      </c>
      <c r="P66" t="s">
        <v>74</v>
      </c>
      <c r="Q66" t="s">
        <v>74</v>
      </c>
      <c r="R66" t="s">
        <v>74</v>
      </c>
      <c r="S66" t="s">
        <v>74</v>
      </c>
      <c r="T66" t="s">
        <v>74</v>
      </c>
      <c r="U66" t="s">
        <v>74</v>
      </c>
      <c r="V66" t="s">
        <v>74</v>
      </c>
      <c r="W66" t="s">
        <v>74</v>
      </c>
      <c r="X66" t="s">
        <v>74</v>
      </c>
      <c r="Y66" t="s">
        <v>74</v>
      </c>
      <c r="Z66" t="s">
        <v>74</v>
      </c>
      <c r="AA66" t="s">
        <v>74</v>
      </c>
      <c r="AB66" t="s">
        <v>6900</v>
      </c>
      <c r="AC66" t="s">
        <v>74</v>
      </c>
      <c r="AD66" t="s">
        <v>74</v>
      </c>
      <c r="AE66" t="s">
        <v>74</v>
      </c>
      <c r="AF66" t="s">
        <v>74</v>
      </c>
      <c r="AG66" t="s">
        <v>74</v>
      </c>
      <c r="AH66" t="s">
        <v>74</v>
      </c>
      <c r="AI66" t="s">
        <v>74</v>
      </c>
      <c r="AJ66" t="s">
        <v>74</v>
      </c>
      <c r="AK66" t="s">
        <v>74</v>
      </c>
      <c r="AL66" t="s">
        <v>74</v>
      </c>
      <c r="AM66" t="s">
        <v>74</v>
      </c>
      <c r="AN66" t="s">
        <v>74</v>
      </c>
      <c r="AO66" t="s">
        <v>1881</v>
      </c>
      <c r="AP66" t="s">
        <v>74</v>
      </c>
      <c r="AQ66" t="s">
        <v>74</v>
      </c>
      <c r="AR66" t="s">
        <v>74</v>
      </c>
      <c r="AS66" t="s">
        <v>74</v>
      </c>
      <c r="AT66" t="s">
        <v>74</v>
      </c>
      <c r="AU66">
        <v>2021</v>
      </c>
      <c r="AV66">
        <v>8</v>
      </c>
      <c r="AW66">
        <v>3</v>
      </c>
      <c r="AX66" t="s">
        <v>74</v>
      </c>
      <c r="AY66" t="s">
        <v>74</v>
      </c>
      <c r="AZ66" t="s">
        <v>74</v>
      </c>
      <c r="BA66" t="s">
        <v>74</v>
      </c>
      <c r="BB66">
        <v>655</v>
      </c>
      <c r="BC66">
        <v>661</v>
      </c>
      <c r="BD66" t="s">
        <v>74</v>
      </c>
      <c r="BE66" t="s">
        <v>1882</v>
      </c>
      <c r="BF66" t="str">
        <f>HYPERLINK("http://dx.doi.org/10.14719/pst.2021.8.3.1190","http://dx.doi.org/10.14719/pst.2021.8.3.1190")</f>
        <v>http://dx.doi.org/10.14719/pst.2021.8.3.1190</v>
      </c>
      <c r="BG66" t="s">
        <v>74</v>
      </c>
      <c r="BH66" t="s">
        <v>74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">
        <v>1883</v>
      </c>
      <c r="BT66" t="str">
        <f>HYPERLINK("https%3A%2F%2Fwww.webofscience.com%2Fwos%2Fwoscc%2Ffull-record%2FWOS:000669503900030","View Full Record in Web of Science")</f>
        <v>View Full Record in Web of Science</v>
      </c>
    </row>
    <row r="67" spans="1:72" x14ac:dyDescent="0.2">
      <c r="A67" t="s">
        <v>72</v>
      </c>
      <c r="B67" t="s">
        <v>1901</v>
      </c>
      <c r="C67" t="s">
        <v>74</v>
      </c>
      <c r="D67" t="s">
        <v>74</v>
      </c>
      <c r="E67" t="s">
        <v>74</v>
      </c>
      <c r="F67" t="s">
        <v>1902</v>
      </c>
      <c r="G67" t="s">
        <v>74</v>
      </c>
      <c r="H67" t="s">
        <v>74</v>
      </c>
      <c r="I67" t="s">
        <v>1903</v>
      </c>
      <c r="J67" t="s">
        <v>1904</v>
      </c>
      <c r="K67" t="s">
        <v>74</v>
      </c>
      <c r="L67" t="s">
        <v>74</v>
      </c>
      <c r="M67" t="s">
        <v>74</v>
      </c>
      <c r="N67" t="s">
        <v>74</v>
      </c>
      <c r="O67" t="s">
        <v>74</v>
      </c>
      <c r="P67" t="s">
        <v>74</v>
      </c>
      <c r="Q67" t="s">
        <v>74</v>
      </c>
      <c r="R67" t="s">
        <v>74</v>
      </c>
      <c r="S67" t="s">
        <v>74</v>
      </c>
      <c r="T67" t="s">
        <v>74</v>
      </c>
      <c r="U67" t="s">
        <v>74</v>
      </c>
      <c r="V67" t="s">
        <v>74</v>
      </c>
      <c r="W67" t="s">
        <v>74</v>
      </c>
      <c r="X67" t="s">
        <v>74</v>
      </c>
      <c r="Y67" t="s">
        <v>74</v>
      </c>
      <c r="Z67" t="s">
        <v>74</v>
      </c>
      <c r="AA67" t="s">
        <v>6903</v>
      </c>
      <c r="AB67" t="s">
        <v>6904</v>
      </c>
      <c r="AC67" t="s">
        <v>74</v>
      </c>
      <c r="AD67" t="s">
        <v>74</v>
      </c>
      <c r="AE67" t="s">
        <v>74</v>
      </c>
      <c r="AF67" t="s">
        <v>74</v>
      </c>
      <c r="AG67" t="s">
        <v>74</v>
      </c>
      <c r="AH67" t="s">
        <v>74</v>
      </c>
      <c r="AI67" t="s">
        <v>74</v>
      </c>
      <c r="AJ67" t="s">
        <v>74</v>
      </c>
      <c r="AK67" t="s">
        <v>74</v>
      </c>
      <c r="AL67" t="s">
        <v>74</v>
      </c>
      <c r="AM67" t="s">
        <v>74</v>
      </c>
      <c r="AN67" t="s">
        <v>74</v>
      </c>
      <c r="AO67" t="s">
        <v>1905</v>
      </c>
      <c r="AP67" t="s">
        <v>1906</v>
      </c>
      <c r="AQ67" t="s">
        <v>74</v>
      </c>
      <c r="AR67" t="s">
        <v>74</v>
      </c>
      <c r="AS67" t="s">
        <v>74</v>
      </c>
      <c r="AT67" t="s">
        <v>74</v>
      </c>
      <c r="AU67">
        <v>2021</v>
      </c>
      <c r="AV67">
        <v>40</v>
      </c>
      <c r="AW67">
        <v>2</v>
      </c>
      <c r="AX67" t="s">
        <v>74</v>
      </c>
      <c r="AY67" t="s">
        <v>74</v>
      </c>
      <c r="AZ67" t="s">
        <v>74</v>
      </c>
      <c r="BA67" t="s">
        <v>74</v>
      </c>
      <c r="BB67">
        <v>233</v>
      </c>
      <c r="BC67">
        <v>246</v>
      </c>
      <c r="BD67" t="s">
        <v>74</v>
      </c>
      <c r="BE67" t="s">
        <v>1907</v>
      </c>
      <c r="BF67" t="str">
        <f>HYPERLINK("http://dx.doi.org/10.23818/limn.40.16","http://dx.doi.org/10.23818/limn.40.16")</f>
        <v>http://dx.doi.org/10.23818/limn.40.16</v>
      </c>
      <c r="BG67" t="s">
        <v>74</v>
      </c>
      <c r="BH67" t="s">
        <v>74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 t="s">
        <v>74</v>
      </c>
      <c r="BR67" t="s">
        <v>74</v>
      </c>
      <c r="BS67" t="s">
        <v>1908</v>
      </c>
      <c r="BT67" t="str">
        <f>HYPERLINK("https%3A%2F%2Fwww.webofscience.com%2Fwos%2Fwoscc%2Ffull-record%2FWOS:000659952800001","View Full Record in Web of Science")</f>
        <v>View Full Record in Web of Science</v>
      </c>
    </row>
    <row r="68" spans="1:72" x14ac:dyDescent="0.2">
      <c r="A68" t="s">
        <v>72</v>
      </c>
      <c r="B68" t="s">
        <v>1909</v>
      </c>
      <c r="C68" t="s">
        <v>74</v>
      </c>
      <c r="D68" t="s">
        <v>74</v>
      </c>
      <c r="E68" t="s">
        <v>74</v>
      </c>
      <c r="F68" t="s">
        <v>1910</v>
      </c>
      <c r="G68" t="s">
        <v>74</v>
      </c>
      <c r="H68" t="s">
        <v>74</v>
      </c>
      <c r="I68" t="s">
        <v>1911</v>
      </c>
      <c r="J68" t="s">
        <v>1912</v>
      </c>
      <c r="K68" t="s">
        <v>74</v>
      </c>
      <c r="L68" t="s">
        <v>74</v>
      </c>
      <c r="M68" t="s">
        <v>74</v>
      </c>
      <c r="N68" t="s">
        <v>74</v>
      </c>
      <c r="O68" t="s">
        <v>74</v>
      </c>
      <c r="P68" t="s">
        <v>74</v>
      </c>
      <c r="Q68" t="s">
        <v>74</v>
      </c>
      <c r="R68" t="s">
        <v>74</v>
      </c>
      <c r="S68" t="s">
        <v>74</v>
      </c>
      <c r="T68" t="s">
        <v>74</v>
      </c>
      <c r="U68" t="s">
        <v>74</v>
      </c>
      <c r="V68" t="s">
        <v>74</v>
      </c>
      <c r="W68" t="s">
        <v>74</v>
      </c>
      <c r="X68" t="s">
        <v>74</v>
      </c>
      <c r="Y68" t="s">
        <v>74</v>
      </c>
      <c r="Z68" t="s">
        <v>74</v>
      </c>
      <c r="AA68" t="s">
        <v>74</v>
      </c>
      <c r="AB68" t="s">
        <v>6905</v>
      </c>
      <c r="AC68" t="s">
        <v>74</v>
      </c>
      <c r="AD68" t="s">
        <v>74</v>
      </c>
      <c r="AE68" t="s">
        <v>74</v>
      </c>
      <c r="AF68" t="s">
        <v>74</v>
      </c>
      <c r="AG68" t="s">
        <v>74</v>
      </c>
      <c r="AH68" t="s">
        <v>74</v>
      </c>
      <c r="AI68" t="s">
        <v>74</v>
      </c>
      <c r="AJ68" t="s">
        <v>74</v>
      </c>
      <c r="AK68" t="s">
        <v>74</v>
      </c>
      <c r="AL68" t="s">
        <v>74</v>
      </c>
      <c r="AM68" t="s">
        <v>74</v>
      </c>
      <c r="AN68" t="s">
        <v>74</v>
      </c>
      <c r="AO68" t="s">
        <v>1913</v>
      </c>
      <c r="AP68" t="s">
        <v>1914</v>
      </c>
      <c r="AQ68" t="s">
        <v>74</v>
      </c>
      <c r="AR68" t="s">
        <v>74</v>
      </c>
      <c r="AS68" t="s">
        <v>74</v>
      </c>
      <c r="AT68" t="s">
        <v>74</v>
      </c>
      <c r="AU68">
        <v>2021</v>
      </c>
      <c r="AV68">
        <v>26</v>
      </c>
      <c r="AW68" t="s">
        <v>74</v>
      </c>
      <c r="AX68" t="s">
        <v>74</v>
      </c>
      <c r="AY68" t="s">
        <v>74</v>
      </c>
      <c r="AZ68" t="s">
        <v>74</v>
      </c>
      <c r="BA68" t="s">
        <v>74</v>
      </c>
      <c r="BB68">
        <v>17</v>
      </c>
      <c r="BC68">
        <v>27</v>
      </c>
      <c r="BD68" t="s">
        <v>74</v>
      </c>
      <c r="BE68" t="s">
        <v>1915</v>
      </c>
      <c r="BF68" t="str">
        <f>HYPERLINK("http://dx.doi.org/10.17011/jyx/dataset/66278","http://dx.doi.org/10.17011/jyx/dataset/66278")</f>
        <v>http://dx.doi.org/10.17011/jyx/dataset/66278</v>
      </c>
      <c r="BG68" t="s">
        <v>74</v>
      </c>
      <c r="BH68" t="s">
        <v>74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 t="s">
        <v>74</v>
      </c>
      <c r="BR68" t="s">
        <v>74</v>
      </c>
      <c r="BS68" t="s">
        <v>1916</v>
      </c>
      <c r="BT68" t="str">
        <f>HYPERLINK("https%3A%2F%2Fwww.webofscience.com%2Fwos%2Fwoscc%2Ffull-record%2FWOS:000641306800002","View Full Record in Web of Science")</f>
        <v>View Full Record in Web of Science</v>
      </c>
    </row>
    <row r="69" spans="1:72" x14ac:dyDescent="0.2">
      <c r="A69" t="s">
        <v>72</v>
      </c>
      <c r="B69" t="s">
        <v>1917</v>
      </c>
      <c r="C69" t="s">
        <v>74</v>
      </c>
      <c r="D69" t="s">
        <v>74</v>
      </c>
      <c r="E69" t="s">
        <v>74</v>
      </c>
      <c r="F69" t="s">
        <v>1918</v>
      </c>
      <c r="G69" t="s">
        <v>74</v>
      </c>
      <c r="H69" t="s">
        <v>74</v>
      </c>
      <c r="I69" t="s">
        <v>1919</v>
      </c>
      <c r="J69" t="s">
        <v>1920</v>
      </c>
      <c r="K69" t="s">
        <v>74</v>
      </c>
      <c r="L69" t="s">
        <v>74</v>
      </c>
      <c r="M69" t="s">
        <v>74</v>
      </c>
      <c r="N69" t="s">
        <v>74</v>
      </c>
      <c r="O69" t="s">
        <v>74</v>
      </c>
      <c r="P69" t="s">
        <v>74</v>
      </c>
      <c r="Q69" t="s">
        <v>74</v>
      </c>
      <c r="R69" t="s">
        <v>74</v>
      </c>
      <c r="S69" t="s">
        <v>74</v>
      </c>
      <c r="T69" t="s">
        <v>74</v>
      </c>
      <c r="U69" t="s">
        <v>74</v>
      </c>
      <c r="V69" t="s">
        <v>74</v>
      </c>
      <c r="W69" t="s">
        <v>74</v>
      </c>
      <c r="X69" t="s">
        <v>74</v>
      </c>
      <c r="Y69" t="s">
        <v>74</v>
      </c>
      <c r="Z69" t="s">
        <v>74</v>
      </c>
      <c r="AA69" t="s">
        <v>1182</v>
      </c>
      <c r="AB69" t="s">
        <v>74</v>
      </c>
      <c r="AC69" t="s">
        <v>74</v>
      </c>
      <c r="AD69" t="s">
        <v>74</v>
      </c>
      <c r="AE69" t="s">
        <v>74</v>
      </c>
      <c r="AF69" t="s">
        <v>74</v>
      </c>
      <c r="AG69" t="s">
        <v>74</v>
      </c>
      <c r="AH69" t="s">
        <v>74</v>
      </c>
      <c r="AI69" t="s">
        <v>74</v>
      </c>
      <c r="AJ69" t="s">
        <v>74</v>
      </c>
      <c r="AK69" t="s">
        <v>74</v>
      </c>
      <c r="AL69" t="s">
        <v>74</v>
      </c>
      <c r="AM69" t="s">
        <v>74</v>
      </c>
      <c r="AN69" t="s">
        <v>74</v>
      </c>
      <c r="AO69" t="s">
        <v>1921</v>
      </c>
      <c r="AP69" t="s">
        <v>1922</v>
      </c>
      <c r="AQ69" t="s">
        <v>74</v>
      </c>
      <c r="AR69" t="s">
        <v>74</v>
      </c>
      <c r="AS69" t="s">
        <v>74</v>
      </c>
      <c r="AT69" t="s">
        <v>315</v>
      </c>
      <c r="AU69">
        <v>2021</v>
      </c>
      <c r="AV69">
        <v>68</v>
      </c>
      <c r="AW69">
        <v>1</v>
      </c>
      <c r="AX69" t="s">
        <v>74</v>
      </c>
      <c r="AY69" t="s">
        <v>74</v>
      </c>
      <c r="AZ69" t="s">
        <v>74</v>
      </c>
      <c r="BA69" t="s">
        <v>74</v>
      </c>
      <c r="BB69" t="s">
        <v>74</v>
      </c>
      <c r="BC69" t="s">
        <v>74</v>
      </c>
      <c r="BD69" t="s">
        <v>74</v>
      </c>
      <c r="BE69" t="s">
        <v>1923</v>
      </c>
      <c r="BF69" t="str">
        <f>HYPERLINK("http://dx.doi.org/10.1111/jeu.12823","http://dx.doi.org/10.1111/jeu.12823")</f>
        <v>http://dx.doi.org/10.1111/jeu.12823</v>
      </c>
      <c r="BG69" t="s">
        <v>74</v>
      </c>
      <c r="BH69" t="s">
        <v>1924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>
        <v>33241612</v>
      </c>
      <c r="BO69" t="s">
        <v>74</v>
      </c>
      <c r="BP69" t="s">
        <v>74</v>
      </c>
      <c r="BQ69" t="s">
        <v>74</v>
      </c>
      <c r="BR69" t="s">
        <v>74</v>
      </c>
      <c r="BS69" t="s">
        <v>1925</v>
      </c>
      <c r="BT69" t="str">
        <f>HYPERLINK("https%3A%2F%2Fwww.webofscience.com%2Fwos%2Fwoscc%2Ffull-record%2FWOS:000602507000001","View Full Record in Web of Science")</f>
        <v>View Full Record in Web of Science</v>
      </c>
    </row>
    <row r="70" spans="1:72" x14ac:dyDescent="0.2">
      <c r="A70" t="s">
        <v>72</v>
      </c>
      <c r="B70" t="s">
        <v>1926</v>
      </c>
      <c r="C70" t="s">
        <v>74</v>
      </c>
      <c r="D70" t="s">
        <v>74</v>
      </c>
      <c r="E70" t="s">
        <v>74</v>
      </c>
      <c r="F70" t="s">
        <v>1927</v>
      </c>
      <c r="G70" t="s">
        <v>74</v>
      </c>
      <c r="H70" t="s">
        <v>74</v>
      </c>
      <c r="I70" t="s">
        <v>1928</v>
      </c>
      <c r="J70" t="s">
        <v>1716</v>
      </c>
      <c r="K70" t="s">
        <v>74</v>
      </c>
      <c r="L70" t="s">
        <v>74</v>
      </c>
      <c r="M70" t="s">
        <v>74</v>
      </c>
      <c r="N70" t="s">
        <v>74</v>
      </c>
      <c r="O70" t="s">
        <v>74</v>
      </c>
      <c r="P70" t="s">
        <v>74</v>
      </c>
      <c r="Q70" t="s">
        <v>74</v>
      </c>
      <c r="R70" t="s">
        <v>74</v>
      </c>
      <c r="S70" t="s">
        <v>74</v>
      </c>
      <c r="T70" t="s">
        <v>74</v>
      </c>
      <c r="U70" t="s">
        <v>74</v>
      </c>
      <c r="V70" t="s">
        <v>74</v>
      </c>
      <c r="W70" t="s">
        <v>74</v>
      </c>
      <c r="X70" t="s">
        <v>74</v>
      </c>
      <c r="Y70" t="s">
        <v>74</v>
      </c>
      <c r="Z70" t="s">
        <v>74</v>
      </c>
      <c r="AA70" t="s">
        <v>1929</v>
      </c>
      <c r="AB70" t="s">
        <v>6759</v>
      </c>
      <c r="AC70" t="s">
        <v>74</v>
      </c>
      <c r="AD70" t="s">
        <v>74</v>
      </c>
      <c r="AE70" t="s">
        <v>74</v>
      </c>
      <c r="AF70" t="s">
        <v>74</v>
      </c>
      <c r="AG70" t="s">
        <v>74</v>
      </c>
      <c r="AH70" t="s">
        <v>74</v>
      </c>
      <c r="AI70" t="s">
        <v>74</v>
      </c>
      <c r="AJ70" t="s">
        <v>74</v>
      </c>
      <c r="AK70" t="s">
        <v>74</v>
      </c>
      <c r="AL70" t="s">
        <v>74</v>
      </c>
      <c r="AM70" t="s">
        <v>74</v>
      </c>
      <c r="AN70" t="s">
        <v>74</v>
      </c>
      <c r="AO70" t="s">
        <v>1717</v>
      </c>
      <c r="AP70" t="s">
        <v>1718</v>
      </c>
      <c r="AQ70" t="s">
        <v>74</v>
      </c>
      <c r="AR70" t="s">
        <v>74</v>
      </c>
      <c r="AS70" t="s">
        <v>74</v>
      </c>
      <c r="AT70" t="s">
        <v>416</v>
      </c>
      <c r="AU70">
        <v>2021</v>
      </c>
      <c r="AV70">
        <v>57</v>
      </c>
      <c r="AW70">
        <v>1</v>
      </c>
      <c r="AX70" t="s">
        <v>74</v>
      </c>
      <c r="AY70" t="s">
        <v>74</v>
      </c>
      <c r="AZ70" t="s">
        <v>74</v>
      </c>
      <c r="BA70" t="s">
        <v>74</v>
      </c>
      <c r="BB70">
        <v>324</v>
      </c>
      <c r="BC70">
        <v>334</v>
      </c>
      <c r="BD70" t="s">
        <v>74</v>
      </c>
      <c r="BE70" t="s">
        <v>1930</v>
      </c>
      <c r="BF70" t="str">
        <f>HYPERLINK("http://dx.doi.org/10.1111/jpy.13104","http://dx.doi.org/10.1111/jpy.13104")</f>
        <v>http://dx.doi.org/10.1111/jpy.13104</v>
      </c>
      <c r="BG70" t="s">
        <v>74</v>
      </c>
      <c r="BH70" t="s">
        <v>1924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>
        <v>33191502</v>
      </c>
      <c r="BO70" t="s">
        <v>74</v>
      </c>
      <c r="BP70" t="s">
        <v>74</v>
      </c>
      <c r="BQ70" t="s">
        <v>74</v>
      </c>
      <c r="BR70" t="s">
        <v>74</v>
      </c>
      <c r="BS70" t="s">
        <v>1931</v>
      </c>
      <c r="BT70" t="str">
        <f>HYPERLINK("https%3A%2F%2Fwww.webofscience.com%2Fwos%2Fwoscc%2Ffull-record%2FWOS:000601000600001","View Full Record in Web of Science")</f>
        <v>View Full Record in Web of Science</v>
      </c>
    </row>
    <row r="71" spans="1:72" x14ac:dyDescent="0.2">
      <c r="A71" t="s">
        <v>72</v>
      </c>
      <c r="B71" t="s">
        <v>1932</v>
      </c>
      <c r="C71" t="s">
        <v>74</v>
      </c>
      <c r="D71" t="s">
        <v>74</v>
      </c>
      <c r="E71" t="s">
        <v>74</v>
      </c>
      <c r="F71" t="s">
        <v>1933</v>
      </c>
      <c r="G71" t="s">
        <v>74</v>
      </c>
      <c r="H71" t="s">
        <v>74</v>
      </c>
      <c r="I71" t="s">
        <v>1934</v>
      </c>
      <c r="J71" t="s">
        <v>1615</v>
      </c>
      <c r="K71" t="s">
        <v>74</v>
      </c>
      <c r="L71" t="s">
        <v>74</v>
      </c>
      <c r="M71" t="s">
        <v>74</v>
      </c>
      <c r="N71" t="s">
        <v>74</v>
      </c>
      <c r="O71" t="s">
        <v>74</v>
      </c>
      <c r="P71" t="s">
        <v>74</v>
      </c>
      <c r="Q71" t="s">
        <v>74</v>
      </c>
      <c r="R71" t="s">
        <v>74</v>
      </c>
      <c r="S71" t="s">
        <v>74</v>
      </c>
      <c r="T71" t="s">
        <v>74</v>
      </c>
      <c r="U71" t="s">
        <v>74</v>
      </c>
      <c r="V71" t="s">
        <v>74</v>
      </c>
      <c r="W71" t="s">
        <v>74</v>
      </c>
      <c r="X71" t="s">
        <v>74</v>
      </c>
      <c r="Y71" t="s">
        <v>74</v>
      </c>
      <c r="Z71" t="s">
        <v>74</v>
      </c>
      <c r="AA71" t="s">
        <v>74</v>
      </c>
      <c r="AB71" t="s">
        <v>74</v>
      </c>
      <c r="AC71" t="s">
        <v>74</v>
      </c>
      <c r="AD71" t="s">
        <v>74</v>
      </c>
      <c r="AE71" t="s">
        <v>74</v>
      </c>
      <c r="AF71" t="s">
        <v>74</v>
      </c>
      <c r="AG71" t="s">
        <v>74</v>
      </c>
      <c r="AH71" t="s">
        <v>74</v>
      </c>
      <c r="AI71" t="s">
        <v>74</v>
      </c>
      <c r="AJ71" t="s">
        <v>74</v>
      </c>
      <c r="AK71" t="s">
        <v>74</v>
      </c>
      <c r="AL71" t="s">
        <v>74</v>
      </c>
      <c r="AM71" t="s">
        <v>74</v>
      </c>
      <c r="AN71" t="s">
        <v>74</v>
      </c>
      <c r="AO71" t="s">
        <v>1616</v>
      </c>
      <c r="AP71" t="s">
        <v>1617</v>
      </c>
      <c r="AQ71" t="s">
        <v>74</v>
      </c>
      <c r="AR71" t="s">
        <v>74</v>
      </c>
      <c r="AS71" t="s">
        <v>74</v>
      </c>
      <c r="AT71" t="s">
        <v>1935</v>
      </c>
      <c r="AU71">
        <v>2020</v>
      </c>
      <c r="AV71">
        <v>59</v>
      </c>
      <c r="AW71" t="s">
        <v>74</v>
      </c>
      <c r="AX71" t="s">
        <v>74</v>
      </c>
      <c r="AY71" t="s">
        <v>74</v>
      </c>
      <c r="AZ71" t="s">
        <v>74</v>
      </c>
      <c r="BA71" t="s">
        <v>74</v>
      </c>
      <c r="BB71" t="s">
        <v>74</v>
      </c>
      <c r="BC71" t="s">
        <v>74</v>
      </c>
      <c r="BD71">
        <v>70</v>
      </c>
      <c r="BE71" t="s">
        <v>1936</v>
      </c>
      <c r="BF71" t="str">
        <f>HYPERLINK("http://dx.doi.org/10.6620/ZS.2020.59-70","http://dx.doi.org/10.6620/ZS.2020.59-70")</f>
        <v>http://dx.doi.org/10.6620/ZS.2020.59-70</v>
      </c>
      <c r="BG71" t="s">
        <v>74</v>
      </c>
      <c r="BH71" t="s">
        <v>74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>
        <v>34140986</v>
      </c>
      <c r="BO71" t="s">
        <v>74</v>
      </c>
      <c r="BP71" t="s">
        <v>74</v>
      </c>
      <c r="BQ71" t="s">
        <v>74</v>
      </c>
      <c r="BR71" t="s">
        <v>74</v>
      </c>
      <c r="BS71" t="s">
        <v>1937</v>
      </c>
      <c r="BT71" t="str">
        <f>HYPERLINK("https%3A%2F%2Fwww.webofscience.com%2Fwos%2Fwoscc%2Ffull-record%2FWOS:000600195000001","View Full Record in Web of Science")</f>
        <v>View Full Record in Web of Science</v>
      </c>
    </row>
    <row r="72" spans="1:72" x14ac:dyDescent="0.2">
      <c r="A72" t="s">
        <v>72</v>
      </c>
      <c r="B72" t="s">
        <v>2000</v>
      </c>
      <c r="C72" t="s">
        <v>74</v>
      </c>
      <c r="D72" t="s">
        <v>74</v>
      </c>
      <c r="E72" t="s">
        <v>74</v>
      </c>
      <c r="F72" t="s">
        <v>2001</v>
      </c>
      <c r="G72" t="s">
        <v>74</v>
      </c>
      <c r="H72" t="s">
        <v>74</v>
      </c>
      <c r="I72" t="s">
        <v>2002</v>
      </c>
      <c r="J72" t="s">
        <v>1323</v>
      </c>
      <c r="K72" t="s">
        <v>74</v>
      </c>
      <c r="L72" t="s">
        <v>74</v>
      </c>
      <c r="M72" t="s">
        <v>74</v>
      </c>
      <c r="N72" t="s">
        <v>74</v>
      </c>
      <c r="O72" t="s">
        <v>74</v>
      </c>
      <c r="P72" t="s">
        <v>74</v>
      </c>
      <c r="Q72" t="s">
        <v>74</v>
      </c>
      <c r="R72" t="s">
        <v>74</v>
      </c>
      <c r="S72" t="s">
        <v>74</v>
      </c>
      <c r="T72" t="s">
        <v>74</v>
      </c>
      <c r="U72" t="s">
        <v>74</v>
      </c>
      <c r="V72" t="s">
        <v>74</v>
      </c>
      <c r="W72" t="s">
        <v>74</v>
      </c>
      <c r="X72" t="s">
        <v>74</v>
      </c>
      <c r="Y72" t="s">
        <v>74</v>
      </c>
      <c r="Z72" t="s">
        <v>74</v>
      </c>
      <c r="AA72" t="s">
        <v>6914</v>
      </c>
      <c r="AB72" t="s">
        <v>2003</v>
      </c>
      <c r="AC72" t="s">
        <v>74</v>
      </c>
      <c r="AD72" t="s">
        <v>74</v>
      </c>
      <c r="AE72" t="s">
        <v>74</v>
      </c>
      <c r="AF72" t="s">
        <v>74</v>
      </c>
      <c r="AG72" t="s">
        <v>74</v>
      </c>
      <c r="AH72" t="s">
        <v>74</v>
      </c>
      <c r="AI72" t="s">
        <v>74</v>
      </c>
      <c r="AJ72" t="s">
        <v>74</v>
      </c>
      <c r="AK72" t="s">
        <v>74</v>
      </c>
      <c r="AL72" t="s">
        <v>74</v>
      </c>
      <c r="AM72" t="s">
        <v>74</v>
      </c>
      <c r="AN72" t="s">
        <v>74</v>
      </c>
      <c r="AO72" t="s">
        <v>1326</v>
      </c>
      <c r="AP72" t="s">
        <v>1327</v>
      </c>
      <c r="AQ72" t="s">
        <v>74</v>
      </c>
      <c r="AR72" t="s">
        <v>74</v>
      </c>
      <c r="AS72" t="s">
        <v>74</v>
      </c>
      <c r="AT72" t="s">
        <v>2004</v>
      </c>
      <c r="AU72">
        <v>2020</v>
      </c>
      <c r="AV72">
        <v>83</v>
      </c>
      <c r="AW72">
        <v>1</v>
      </c>
      <c r="AX72" t="s">
        <v>74</v>
      </c>
      <c r="AY72" t="s">
        <v>74</v>
      </c>
      <c r="AZ72" t="s">
        <v>74</v>
      </c>
      <c r="BA72" t="s">
        <v>74</v>
      </c>
      <c r="BB72" t="s">
        <v>74</v>
      </c>
      <c r="BC72" t="s">
        <v>74</v>
      </c>
      <c r="BD72">
        <v>10</v>
      </c>
      <c r="BE72" t="s">
        <v>2005</v>
      </c>
      <c r="BF72" t="str">
        <f>HYPERLINK("http://dx.doi.org/10.1007/s00027-020-00763-7","http://dx.doi.org/10.1007/s00027-020-00763-7")</f>
        <v>http://dx.doi.org/10.1007/s00027-020-00763-7</v>
      </c>
      <c r="BG72" t="s">
        <v>74</v>
      </c>
      <c r="BH72" t="s">
        <v>74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 t="s">
        <v>74</v>
      </c>
      <c r="BR72" t="s">
        <v>74</v>
      </c>
      <c r="BS72" t="s">
        <v>2006</v>
      </c>
      <c r="BT72" t="str">
        <f>HYPERLINK("https%3A%2F%2Fwww.webofscience.com%2Fwos%2Fwoscc%2Ffull-record%2FWOS:000590055500002","View Full Record in Web of Science")</f>
        <v>View Full Record in Web of Science</v>
      </c>
    </row>
    <row r="73" spans="1:72" x14ac:dyDescent="0.2">
      <c r="A73" t="s">
        <v>72</v>
      </c>
      <c r="B73" t="s">
        <v>2017</v>
      </c>
      <c r="C73" t="s">
        <v>74</v>
      </c>
      <c r="D73" t="s">
        <v>74</v>
      </c>
      <c r="E73" t="s">
        <v>74</v>
      </c>
      <c r="F73" t="s">
        <v>2018</v>
      </c>
      <c r="G73" t="s">
        <v>74</v>
      </c>
      <c r="H73" t="s">
        <v>74</v>
      </c>
      <c r="I73" t="s">
        <v>2019</v>
      </c>
      <c r="J73" t="s">
        <v>2020</v>
      </c>
      <c r="K73" t="s">
        <v>74</v>
      </c>
      <c r="L73" t="s">
        <v>74</v>
      </c>
      <c r="M73" t="s">
        <v>74</v>
      </c>
      <c r="N73" t="s">
        <v>74</v>
      </c>
      <c r="O73" t="s">
        <v>74</v>
      </c>
      <c r="P73" t="s">
        <v>74</v>
      </c>
      <c r="Q73" t="s">
        <v>74</v>
      </c>
      <c r="R73" t="s">
        <v>74</v>
      </c>
      <c r="S73" t="s">
        <v>74</v>
      </c>
      <c r="T73" t="s">
        <v>74</v>
      </c>
      <c r="U73" t="s">
        <v>74</v>
      </c>
      <c r="V73" t="s">
        <v>74</v>
      </c>
      <c r="W73" t="s">
        <v>74</v>
      </c>
      <c r="X73" t="s">
        <v>74</v>
      </c>
      <c r="Y73" t="s">
        <v>74</v>
      </c>
      <c r="Z73" t="s">
        <v>74</v>
      </c>
      <c r="AA73" t="s">
        <v>2021</v>
      </c>
      <c r="AB73" t="s">
        <v>6915</v>
      </c>
      <c r="AC73" t="s">
        <v>74</v>
      </c>
      <c r="AD73" t="s">
        <v>74</v>
      </c>
      <c r="AE73" t="s">
        <v>74</v>
      </c>
      <c r="AF73" t="s">
        <v>74</v>
      </c>
      <c r="AG73" t="s">
        <v>74</v>
      </c>
      <c r="AH73" t="s">
        <v>74</v>
      </c>
      <c r="AI73" t="s">
        <v>74</v>
      </c>
      <c r="AJ73" t="s">
        <v>74</v>
      </c>
      <c r="AK73" t="s">
        <v>74</v>
      </c>
      <c r="AL73" t="s">
        <v>74</v>
      </c>
      <c r="AM73" t="s">
        <v>74</v>
      </c>
      <c r="AN73" t="s">
        <v>74</v>
      </c>
      <c r="AO73" t="s">
        <v>2022</v>
      </c>
      <c r="AP73" t="s">
        <v>2023</v>
      </c>
      <c r="AQ73" t="s">
        <v>74</v>
      </c>
      <c r="AR73" t="s">
        <v>74</v>
      </c>
      <c r="AS73" t="s">
        <v>74</v>
      </c>
      <c r="AT73" t="s">
        <v>1007</v>
      </c>
      <c r="AU73">
        <v>2020</v>
      </c>
      <c r="AV73">
        <v>35</v>
      </c>
      <c r="AW73">
        <v>4</v>
      </c>
      <c r="AX73" t="s">
        <v>74</v>
      </c>
      <c r="AY73" t="s">
        <v>74</v>
      </c>
      <c r="AZ73" t="s">
        <v>74</v>
      </c>
      <c r="BA73" t="s">
        <v>74</v>
      </c>
      <c r="BB73">
        <v>315</v>
      </c>
      <c r="BC73">
        <v>326</v>
      </c>
      <c r="BD73" t="s">
        <v>74</v>
      </c>
      <c r="BE73" t="s">
        <v>2024</v>
      </c>
      <c r="BF73" t="str">
        <f>HYPERLINK("http://dx.doi.org/10.1080/0269249X.2020.1828175","http://dx.doi.org/10.1080/0269249X.2020.1828175")</f>
        <v>http://dx.doi.org/10.1080/0269249X.2020.1828175</v>
      </c>
      <c r="BG73" t="s">
        <v>74</v>
      </c>
      <c r="BH73" t="s">
        <v>2025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 t="s">
        <v>74</v>
      </c>
      <c r="BR73" t="s">
        <v>74</v>
      </c>
      <c r="BS73" t="s">
        <v>2026</v>
      </c>
      <c r="BT73" t="str">
        <f>HYPERLINK("https%3A%2F%2Fwww.webofscience.com%2Fwos%2Fwoscc%2Ffull-record%2FWOS:000580516300001","View Full Record in Web of Science")</f>
        <v>View Full Record in Web of Science</v>
      </c>
    </row>
    <row r="74" spans="1:72" x14ac:dyDescent="0.2">
      <c r="A74" t="s">
        <v>72</v>
      </c>
      <c r="B74" t="s">
        <v>2027</v>
      </c>
      <c r="C74" t="s">
        <v>74</v>
      </c>
      <c r="D74" t="s">
        <v>74</v>
      </c>
      <c r="E74" t="s">
        <v>74</v>
      </c>
      <c r="F74" t="s">
        <v>2028</v>
      </c>
      <c r="G74" t="s">
        <v>74</v>
      </c>
      <c r="H74" t="s">
        <v>74</v>
      </c>
      <c r="I74" t="s">
        <v>2029</v>
      </c>
      <c r="J74" t="s">
        <v>1100</v>
      </c>
      <c r="K74" t="s">
        <v>74</v>
      </c>
      <c r="L74" t="s">
        <v>74</v>
      </c>
      <c r="M74" t="s">
        <v>74</v>
      </c>
      <c r="N74" t="s">
        <v>74</v>
      </c>
      <c r="O74" t="s">
        <v>74</v>
      </c>
      <c r="P74" t="s">
        <v>74</v>
      </c>
      <c r="Q74" t="s">
        <v>74</v>
      </c>
      <c r="R74" t="s">
        <v>74</v>
      </c>
      <c r="S74" t="s">
        <v>74</v>
      </c>
      <c r="T74" t="s">
        <v>74</v>
      </c>
      <c r="U74" t="s">
        <v>74</v>
      </c>
      <c r="V74" t="s">
        <v>74</v>
      </c>
      <c r="W74" t="s">
        <v>74</v>
      </c>
      <c r="X74" t="s">
        <v>74</v>
      </c>
      <c r="Y74" t="s">
        <v>74</v>
      </c>
      <c r="Z74" t="s">
        <v>74</v>
      </c>
      <c r="AA74" t="s">
        <v>74</v>
      </c>
      <c r="AB74" t="s">
        <v>6916</v>
      </c>
      <c r="AC74" t="s">
        <v>74</v>
      </c>
      <c r="AD74" t="s">
        <v>74</v>
      </c>
      <c r="AE74" t="s">
        <v>74</v>
      </c>
      <c r="AF74" t="s">
        <v>74</v>
      </c>
      <c r="AG74" t="s">
        <v>74</v>
      </c>
      <c r="AH74" t="s">
        <v>74</v>
      </c>
      <c r="AI74" t="s">
        <v>74</v>
      </c>
      <c r="AJ74" t="s">
        <v>74</v>
      </c>
      <c r="AK74" t="s">
        <v>74</v>
      </c>
      <c r="AL74" t="s">
        <v>74</v>
      </c>
      <c r="AM74" t="s">
        <v>74</v>
      </c>
      <c r="AN74" t="s">
        <v>74</v>
      </c>
      <c r="AO74" t="s">
        <v>74</v>
      </c>
      <c r="AP74" t="s">
        <v>1101</v>
      </c>
      <c r="AQ74" t="s">
        <v>74</v>
      </c>
      <c r="AR74" t="s">
        <v>74</v>
      </c>
      <c r="AS74" t="s">
        <v>74</v>
      </c>
      <c r="AT74" t="s">
        <v>2030</v>
      </c>
      <c r="AU74">
        <v>2020</v>
      </c>
      <c r="AV74">
        <v>8</v>
      </c>
      <c r="AW74" t="s">
        <v>74</v>
      </c>
      <c r="AX74" t="s">
        <v>74</v>
      </c>
      <c r="AY74" t="s">
        <v>74</v>
      </c>
      <c r="AZ74" t="s">
        <v>74</v>
      </c>
      <c r="BA74" t="s">
        <v>74</v>
      </c>
      <c r="BB74" t="s">
        <v>74</v>
      </c>
      <c r="BC74" t="s">
        <v>74</v>
      </c>
      <c r="BD74">
        <v>540607</v>
      </c>
      <c r="BE74" t="s">
        <v>2031</v>
      </c>
      <c r="BF74" t="str">
        <f>HYPERLINK("http://dx.doi.org/10.3389/fenvs.2020.540607","http://dx.doi.org/10.3389/fenvs.2020.540607")</f>
        <v>http://dx.doi.org/10.3389/fenvs.2020.540607</v>
      </c>
      <c r="BG74" t="s">
        <v>74</v>
      </c>
      <c r="BH74" t="s">
        <v>74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 t="s">
        <v>74</v>
      </c>
      <c r="BR74" t="s">
        <v>74</v>
      </c>
      <c r="BS74" t="s">
        <v>2032</v>
      </c>
      <c r="BT74" t="str">
        <f>HYPERLINK("https%3A%2F%2Fwww.webofscience.com%2Fwos%2Fwoscc%2Ffull-record%2FWOS:000583415600001","View Full Record in Web of Science")</f>
        <v>View Full Record in Web of Science</v>
      </c>
    </row>
    <row r="75" spans="1:72" x14ac:dyDescent="0.2">
      <c r="A75" t="s">
        <v>72</v>
      </c>
      <c r="B75" t="s">
        <v>2063</v>
      </c>
      <c r="C75" t="s">
        <v>74</v>
      </c>
      <c r="D75" t="s">
        <v>74</v>
      </c>
      <c r="E75" t="s">
        <v>74</v>
      </c>
      <c r="F75" t="s">
        <v>2064</v>
      </c>
      <c r="G75" t="s">
        <v>74</v>
      </c>
      <c r="H75" t="s">
        <v>74</v>
      </c>
      <c r="I75" t="s">
        <v>2065</v>
      </c>
      <c r="J75" t="s">
        <v>1523</v>
      </c>
      <c r="K75" t="s">
        <v>74</v>
      </c>
      <c r="L75" t="s">
        <v>74</v>
      </c>
      <c r="M75" t="s">
        <v>74</v>
      </c>
      <c r="N75" t="s">
        <v>74</v>
      </c>
      <c r="O75" t="s">
        <v>74</v>
      </c>
      <c r="P75" t="s">
        <v>74</v>
      </c>
      <c r="Q75" t="s">
        <v>74</v>
      </c>
      <c r="R75" t="s">
        <v>74</v>
      </c>
      <c r="S75" t="s">
        <v>74</v>
      </c>
      <c r="T75" t="s">
        <v>74</v>
      </c>
      <c r="U75" t="s">
        <v>74</v>
      </c>
      <c r="V75" t="s">
        <v>74</v>
      </c>
      <c r="W75" t="s">
        <v>74</v>
      </c>
      <c r="X75" t="s">
        <v>74</v>
      </c>
      <c r="Y75" t="s">
        <v>74</v>
      </c>
      <c r="Z75" t="s">
        <v>74</v>
      </c>
      <c r="AA75" t="s">
        <v>6922</v>
      </c>
      <c r="AB75" t="s">
        <v>6923</v>
      </c>
      <c r="AC75" t="s">
        <v>74</v>
      </c>
      <c r="AD75" t="s">
        <v>74</v>
      </c>
      <c r="AE75" t="s">
        <v>74</v>
      </c>
      <c r="AF75" t="s">
        <v>74</v>
      </c>
      <c r="AG75" t="s">
        <v>74</v>
      </c>
      <c r="AH75" t="s">
        <v>74</v>
      </c>
      <c r="AI75" t="s">
        <v>74</v>
      </c>
      <c r="AJ75" t="s">
        <v>74</v>
      </c>
      <c r="AK75" t="s">
        <v>74</v>
      </c>
      <c r="AL75" t="s">
        <v>74</v>
      </c>
      <c r="AM75" t="s">
        <v>74</v>
      </c>
      <c r="AN75" t="s">
        <v>74</v>
      </c>
      <c r="AO75" t="s">
        <v>1524</v>
      </c>
      <c r="AP75" t="s">
        <v>1525</v>
      </c>
      <c r="AQ75" t="s">
        <v>74</v>
      </c>
      <c r="AR75" t="s">
        <v>74</v>
      </c>
      <c r="AS75" t="s">
        <v>74</v>
      </c>
      <c r="AT75" t="s">
        <v>335</v>
      </c>
      <c r="AU75">
        <v>2020</v>
      </c>
      <c r="AV75">
        <v>101</v>
      </c>
      <c r="AW75">
        <v>11</v>
      </c>
      <c r="AX75" t="s">
        <v>74</v>
      </c>
      <c r="AY75" t="s">
        <v>74</v>
      </c>
      <c r="AZ75" t="s">
        <v>74</v>
      </c>
      <c r="BA75" t="s">
        <v>74</v>
      </c>
      <c r="BB75" t="s">
        <v>74</v>
      </c>
      <c r="BC75" t="s">
        <v>74</v>
      </c>
      <c r="BD75" t="s">
        <v>74</v>
      </c>
      <c r="BE75" t="s">
        <v>2066</v>
      </c>
      <c r="BF75" t="str">
        <f>HYPERLINK("http://dx.doi.org/10.1002/ecy.3145","http://dx.doi.org/10.1002/ecy.3145")</f>
        <v>http://dx.doi.org/10.1002/ecy.3145</v>
      </c>
      <c r="BG75" t="s">
        <v>74</v>
      </c>
      <c r="BH75" t="s">
        <v>2067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>
        <v>32740928</v>
      </c>
      <c r="BO75" t="s">
        <v>74</v>
      </c>
      <c r="BP75" t="s">
        <v>74</v>
      </c>
      <c r="BQ75" t="s">
        <v>74</v>
      </c>
      <c r="BR75" t="s">
        <v>74</v>
      </c>
      <c r="BS75" t="s">
        <v>2068</v>
      </c>
      <c r="BT75" t="str">
        <f>HYPERLINK("https%3A%2F%2Fwww.webofscience.com%2Fwos%2Fwoscc%2Ffull-record%2FWOS:000567662000001","View Full Record in Web of Science")</f>
        <v>View Full Record in Web of Science</v>
      </c>
    </row>
    <row r="76" spans="1:72" x14ac:dyDescent="0.2">
      <c r="A76" t="s">
        <v>72</v>
      </c>
      <c r="B76" t="s">
        <v>2077</v>
      </c>
      <c r="C76" t="s">
        <v>74</v>
      </c>
      <c r="D76" t="s">
        <v>74</v>
      </c>
      <c r="E76" t="s">
        <v>74</v>
      </c>
      <c r="F76" t="s">
        <v>2078</v>
      </c>
      <c r="G76" t="s">
        <v>74</v>
      </c>
      <c r="H76" t="s">
        <v>74</v>
      </c>
      <c r="I76" t="s">
        <v>2079</v>
      </c>
      <c r="J76" t="s">
        <v>145</v>
      </c>
      <c r="K76" t="s">
        <v>74</v>
      </c>
      <c r="L76" t="s">
        <v>74</v>
      </c>
      <c r="M76" t="s">
        <v>74</v>
      </c>
      <c r="N76" t="s">
        <v>74</v>
      </c>
      <c r="O76" t="s">
        <v>74</v>
      </c>
      <c r="P76" t="s">
        <v>74</v>
      </c>
      <c r="Q76" t="s">
        <v>74</v>
      </c>
      <c r="R76" t="s">
        <v>74</v>
      </c>
      <c r="S76" t="s">
        <v>74</v>
      </c>
      <c r="T76" t="s">
        <v>74</v>
      </c>
      <c r="U76" t="s">
        <v>74</v>
      </c>
      <c r="V76" t="s">
        <v>74</v>
      </c>
      <c r="W76" t="s">
        <v>74</v>
      </c>
      <c r="X76" t="s">
        <v>74</v>
      </c>
      <c r="Y76" t="s">
        <v>74</v>
      </c>
      <c r="Z76" t="s">
        <v>74</v>
      </c>
      <c r="AA76" t="s">
        <v>74</v>
      </c>
      <c r="AB76" t="s">
        <v>2080</v>
      </c>
      <c r="AC76" t="s">
        <v>74</v>
      </c>
      <c r="AD76" t="s">
        <v>74</v>
      </c>
      <c r="AE76" t="s">
        <v>74</v>
      </c>
      <c r="AF76" t="s">
        <v>74</v>
      </c>
      <c r="AG76" t="s">
        <v>74</v>
      </c>
      <c r="AH76" t="s">
        <v>74</v>
      </c>
      <c r="AI76" t="s">
        <v>74</v>
      </c>
      <c r="AJ76" t="s">
        <v>74</v>
      </c>
      <c r="AK76" t="s">
        <v>74</v>
      </c>
      <c r="AL76" t="s">
        <v>74</v>
      </c>
      <c r="AM76" t="s">
        <v>74</v>
      </c>
      <c r="AN76" t="s">
        <v>74</v>
      </c>
      <c r="AO76" t="s">
        <v>146</v>
      </c>
      <c r="AP76" t="s">
        <v>147</v>
      </c>
      <c r="AQ76" t="s">
        <v>74</v>
      </c>
      <c r="AR76" t="s">
        <v>74</v>
      </c>
      <c r="AS76" t="s">
        <v>74</v>
      </c>
      <c r="AT76" t="s">
        <v>489</v>
      </c>
      <c r="AU76">
        <v>2020</v>
      </c>
      <c r="AV76">
        <v>730</v>
      </c>
      <c r="AW76" t="s">
        <v>74</v>
      </c>
      <c r="AX76" t="s">
        <v>74</v>
      </c>
      <c r="AY76" t="s">
        <v>74</v>
      </c>
      <c r="AZ76" t="s">
        <v>74</v>
      </c>
      <c r="BA76" t="s">
        <v>74</v>
      </c>
      <c r="BB76" t="s">
        <v>74</v>
      </c>
      <c r="BC76" t="s">
        <v>74</v>
      </c>
      <c r="BD76">
        <v>139044</v>
      </c>
      <c r="BE76" t="s">
        <v>2081</v>
      </c>
      <c r="BF76" t="str">
        <f>HYPERLINK("http://dx.doi.org/10.1016/j.scitotenv.2020.139044","http://dx.doi.org/10.1016/j.scitotenv.2020.139044")</f>
        <v>http://dx.doi.org/10.1016/j.scitotenv.2020.139044</v>
      </c>
      <c r="BG76" t="s">
        <v>74</v>
      </c>
      <c r="BH76" t="s">
        <v>74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>
        <v>32402967</v>
      </c>
      <c r="BO76" t="s">
        <v>74</v>
      </c>
      <c r="BP76" t="s">
        <v>74</v>
      </c>
      <c r="BQ76" t="s">
        <v>74</v>
      </c>
      <c r="BR76" t="s">
        <v>74</v>
      </c>
      <c r="BS76" t="s">
        <v>2082</v>
      </c>
      <c r="BT76" t="str">
        <f>HYPERLINK("https%3A%2F%2Fwww.webofscience.com%2Fwos%2Fwoscc%2Ffull-record%2FWOS:000537447300012","View Full Record in Web of Science")</f>
        <v>View Full Record in Web of Science</v>
      </c>
    </row>
    <row r="77" spans="1:72" x14ac:dyDescent="0.2">
      <c r="A77" t="s">
        <v>72</v>
      </c>
      <c r="B77" t="s">
        <v>2164</v>
      </c>
      <c r="C77" t="s">
        <v>74</v>
      </c>
      <c r="D77" t="s">
        <v>74</v>
      </c>
      <c r="E77" t="s">
        <v>74</v>
      </c>
      <c r="F77" t="s">
        <v>2165</v>
      </c>
      <c r="G77" t="s">
        <v>74</v>
      </c>
      <c r="H77" t="s">
        <v>74</v>
      </c>
      <c r="I77" t="s">
        <v>2166</v>
      </c>
      <c r="J77" t="s">
        <v>2167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6933</v>
      </c>
      <c r="AB77" t="s">
        <v>2168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2169</v>
      </c>
      <c r="AP77" t="s">
        <v>74</v>
      </c>
      <c r="AQ77" t="s">
        <v>74</v>
      </c>
      <c r="AR77" t="s">
        <v>74</v>
      </c>
      <c r="AS77" t="s">
        <v>74</v>
      </c>
      <c r="AT77" t="s">
        <v>569</v>
      </c>
      <c r="AU77">
        <v>2020</v>
      </c>
      <c r="AV77">
        <v>9</v>
      </c>
      <c r="AW77">
        <v>2</v>
      </c>
      <c r="AX77" t="s">
        <v>74</v>
      </c>
      <c r="AY77" t="s">
        <v>74</v>
      </c>
      <c r="AZ77" t="s">
        <v>74</v>
      </c>
      <c r="BA77" t="s">
        <v>74</v>
      </c>
      <c r="BB77">
        <v>287</v>
      </c>
      <c r="BC77">
        <v>302</v>
      </c>
      <c r="BD77" t="s">
        <v>74</v>
      </c>
      <c r="BE77" t="s">
        <v>2170</v>
      </c>
      <c r="BF77" t="str">
        <f>HYPERLINK("http://dx.doi.org/10.3391/bir.2020.9.2.14","http://dx.doi.org/10.3391/bir.2020.9.2.14")</f>
        <v>http://dx.doi.org/10.3391/bir.2020.9.2.14</v>
      </c>
      <c r="BG77" t="s">
        <v>74</v>
      </c>
      <c r="BH77" t="s">
        <v>74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 t="s">
        <v>74</v>
      </c>
      <c r="BR77" t="s">
        <v>74</v>
      </c>
      <c r="BS77" t="s">
        <v>2171</v>
      </c>
      <c r="BT77" t="str">
        <f>HYPERLINK("https%3A%2F%2Fwww.webofscience.com%2Fwos%2Fwoscc%2Ffull-record%2FWOS:000531866100014","View Full Record in Web of Science")</f>
        <v>View Full Record in Web of Science</v>
      </c>
    </row>
    <row r="78" spans="1:72" x14ac:dyDescent="0.2">
      <c r="A78" t="s">
        <v>72</v>
      </c>
      <c r="B78" t="s">
        <v>2172</v>
      </c>
      <c r="C78" t="s">
        <v>74</v>
      </c>
      <c r="D78" t="s">
        <v>74</v>
      </c>
      <c r="E78" t="s">
        <v>74</v>
      </c>
      <c r="F78" t="s">
        <v>2173</v>
      </c>
      <c r="G78" t="s">
        <v>74</v>
      </c>
      <c r="H78" t="s">
        <v>74</v>
      </c>
      <c r="I78" t="s">
        <v>2174</v>
      </c>
      <c r="J78" t="s">
        <v>124</v>
      </c>
      <c r="K78" t="s">
        <v>74</v>
      </c>
      <c r="L78" t="s">
        <v>74</v>
      </c>
      <c r="M78" t="s">
        <v>74</v>
      </c>
      <c r="N78" t="s">
        <v>74</v>
      </c>
      <c r="O78" t="s">
        <v>74</v>
      </c>
      <c r="P78" t="s">
        <v>74</v>
      </c>
      <c r="Q78" t="s">
        <v>74</v>
      </c>
      <c r="R78" t="s">
        <v>74</v>
      </c>
      <c r="S78" t="s">
        <v>74</v>
      </c>
      <c r="T78" t="s">
        <v>74</v>
      </c>
      <c r="U78" t="s">
        <v>74</v>
      </c>
      <c r="V78" t="s">
        <v>74</v>
      </c>
      <c r="W78" t="s">
        <v>74</v>
      </c>
      <c r="X78" t="s">
        <v>74</v>
      </c>
      <c r="Y78" t="s">
        <v>74</v>
      </c>
      <c r="Z78" t="s">
        <v>74</v>
      </c>
      <c r="AA78" t="s">
        <v>6934</v>
      </c>
      <c r="AB78" t="s">
        <v>6935</v>
      </c>
      <c r="AC78" t="s">
        <v>74</v>
      </c>
      <c r="AD78" t="s">
        <v>74</v>
      </c>
      <c r="AE78" t="s">
        <v>74</v>
      </c>
      <c r="AF78" t="s">
        <v>74</v>
      </c>
      <c r="AG78" t="s">
        <v>74</v>
      </c>
      <c r="AH78" t="s">
        <v>74</v>
      </c>
      <c r="AI78" t="s">
        <v>74</v>
      </c>
      <c r="AJ78" t="s">
        <v>74</v>
      </c>
      <c r="AK78" t="s">
        <v>74</v>
      </c>
      <c r="AL78" t="s">
        <v>74</v>
      </c>
      <c r="AM78" t="s">
        <v>74</v>
      </c>
      <c r="AN78" t="s">
        <v>74</v>
      </c>
      <c r="AO78" t="s">
        <v>127</v>
      </c>
      <c r="AP78" t="s">
        <v>128</v>
      </c>
      <c r="AQ78" t="s">
        <v>74</v>
      </c>
      <c r="AR78" t="s">
        <v>74</v>
      </c>
      <c r="AS78" t="s">
        <v>74</v>
      </c>
      <c r="AT78" t="s">
        <v>569</v>
      </c>
      <c r="AU78">
        <v>2020</v>
      </c>
      <c r="AV78">
        <v>847</v>
      </c>
      <c r="AW78">
        <v>10</v>
      </c>
      <c r="AX78" t="s">
        <v>74</v>
      </c>
      <c r="AY78" t="s">
        <v>74</v>
      </c>
      <c r="AZ78" t="s">
        <v>74</v>
      </c>
      <c r="BA78" t="s">
        <v>74</v>
      </c>
      <c r="BB78">
        <v>2307</v>
      </c>
      <c r="BC78">
        <v>2320</v>
      </c>
      <c r="BD78" t="s">
        <v>74</v>
      </c>
      <c r="BE78" t="s">
        <v>2175</v>
      </c>
      <c r="BF78" t="str">
        <f>HYPERLINK("http://dx.doi.org/10.1007/s10750-020-04255-5","http://dx.doi.org/10.1007/s10750-020-04255-5")</f>
        <v>http://dx.doi.org/10.1007/s10750-020-04255-5</v>
      </c>
      <c r="BG78" t="s">
        <v>74</v>
      </c>
      <c r="BH78" t="s">
        <v>74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 t="s">
        <v>74</v>
      </c>
      <c r="BO78" t="s">
        <v>74</v>
      </c>
      <c r="BP78" t="s">
        <v>74</v>
      </c>
      <c r="BQ78" t="s">
        <v>74</v>
      </c>
      <c r="BR78" t="s">
        <v>74</v>
      </c>
      <c r="BS78" t="s">
        <v>2176</v>
      </c>
      <c r="BT78" t="str">
        <f>HYPERLINK("https%3A%2F%2Fwww.webofscience.com%2Fwos%2Fwoscc%2Ffull-record%2FWOS:000531813500008","View Full Record in Web of Science")</f>
        <v>View Full Record in Web of Science</v>
      </c>
    </row>
    <row r="79" spans="1:72" x14ac:dyDescent="0.2">
      <c r="A79" t="s">
        <v>72</v>
      </c>
      <c r="B79" t="s">
        <v>2177</v>
      </c>
      <c r="C79" t="s">
        <v>74</v>
      </c>
      <c r="D79" t="s">
        <v>74</v>
      </c>
      <c r="E79" t="s">
        <v>74</v>
      </c>
      <c r="F79" t="s">
        <v>2178</v>
      </c>
      <c r="G79" t="s">
        <v>74</v>
      </c>
      <c r="H79" t="s">
        <v>74</v>
      </c>
      <c r="I79" t="s">
        <v>2179</v>
      </c>
      <c r="J79" t="s">
        <v>2180</v>
      </c>
      <c r="K79" t="s">
        <v>74</v>
      </c>
      <c r="L79" t="s">
        <v>74</v>
      </c>
      <c r="M79" t="s">
        <v>74</v>
      </c>
      <c r="N79" t="s">
        <v>74</v>
      </c>
      <c r="O79" t="s">
        <v>2181</v>
      </c>
      <c r="P79" t="s">
        <v>2182</v>
      </c>
      <c r="Q79" t="s">
        <v>2183</v>
      </c>
      <c r="R79" t="s">
        <v>74</v>
      </c>
      <c r="S79" t="s">
        <v>74</v>
      </c>
      <c r="T79" t="s">
        <v>74</v>
      </c>
      <c r="U79" t="s">
        <v>74</v>
      </c>
      <c r="V79" t="s">
        <v>74</v>
      </c>
      <c r="W79" t="s">
        <v>74</v>
      </c>
      <c r="X79" t="s">
        <v>74</v>
      </c>
      <c r="Y79" t="s">
        <v>74</v>
      </c>
      <c r="Z79" t="s">
        <v>74</v>
      </c>
      <c r="AA79" t="s">
        <v>74</v>
      </c>
      <c r="AB79" t="s">
        <v>2184</v>
      </c>
      <c r="AC79" t="s">
        <v>74</v>
      </c>
      <c r="AD79" t="s">
        <v>74</v>
      </c>
      <c r="AE79" t="s">
        <v>74</v>
      </c>
      <c r="AF79" t="s">
        <v>74</v>
      </c>
      <c r="AG79" t="s">
        <v>74</v>
      </c>
      <c r="AH79" t="s">
        <v>74</v>
      </c>
      <c r="AI79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2185</v>
      </c>
      <c r="AP79" t="s">
        <v>2186</v>
      </c>
      <c r="AQ79" t="s">
        <v>74</v>
      </c>
      <c r="AR79" t="s">
        <v>74</v>
      </c>
      <c r="AS79" t="s">
        <v>74</v>
      </c>
      <c r="AT79" t="s">
        <v>569</v>
      </c>
      <c r="AU79">
        <v>2020</v>
      </c>
      <c r="AV79">
        <v>93</v>
      </c>
      <c r="AW79" t="s">
        <v>2187</v>
      </c>
      <c r="AX79" t="s">
        <v>74</v>
      </c>
      <c r="AY79" t="s">
        <v>74</v>
      </c>
      <c r="AZ79" t="s">
        <v>632</v>
      </c>
      <c r="BA79" t="s">
        <v>74</v>
      </c>
      <c r="BB79">
        <v>283</v>
      </c>
      <c r="BC79">
        <v>298</v>
      </c>
      <c r="BD79" t="s">
        <v>74</v>
      </c>
      <c r="BE79" t="s">
        <v>2188</v>
      </c>
      <c r="BF79" t="str">
        <f>HYPERLINK("http://dx.doi.org/10.1163/15685403-00004008","http://dx.doi.org/10.1163/15685403-00004008")</f>
        <v>http://dx.doi.org/10.1163/15685403-00004008</v>
      </c>
      <c r="BG79" t="s">
        <v>74</v>
      </c>
      <c r="BH79" t="s">
        <v>74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 t="s">
        <v>74</v>
      </c>
      <c r="BR79" t="s">
        <v>74</v>
      </c>
      <c r="BS79" t="s">
        <v>2189</v>
      </c>
      <c r="BT79" t="str">
        <f>HYPERLINK("https%3A%2F%2Fwww.webofscience.com%2Fwos%2Fwoscc%2Ffull-record%2FWOS:000540781400005","View Full Record in Web of Science")</f>
        <v>View Full Record in Web of Science</v>
      </c>
    </row>
    <row r="80" spans="1:72" x14ac:dyDescent="0.2">
      <c r="A80" t="s">
        <v>72</v>
      </c>
      <c r="B80" t="s">
        <v>2211</v>
      </c>
      <c r="C80" t="s">
        <v>74</v>
      </c>
      <c r="D80" t="s">
        <v>74</v>
      </c>
      <c r="E80" t="s">
        <v>74</v>
      </c>
      <c r="F80" t="s">
        <v>2212</v>
      </c>
      <c r="G80" t="s">
        <v>74</v>
      </c>
      <c r="H80" t="s">
        <v>74</v>
      </c>
      <c r="I80" t="s">
        <v>2213</v>
      </c>
      <c r="J80" t="s">
        <v>2214</v>
      </c>
      <c r="K80" t="s">
        <v>74</v>
      </c>
      <c r="L80" t="s">
        <v>74</v>
      </c>
      <c r="M80" t="s">
        <v>74</v>
      </c>
      <c r="N80" t="s">
        <v>74</v>
      </c>
      <c r="O80" t="s">
        <v>74</v>
      </c>
      <c r="P80" t="s">
        <v>74</v>
      </c>
      <c r="Q80" t="s">
        <v>74</v>
      </c>
      <c r="R80" t="s">
        <v>74</v>
      </c>
      <c r="S80" t="s">
        <v>74</v>
      </c>
      <c r="T80" t="s">
        <v>74</v>
      </c>
      <c r="U80" t="s">
        <v>74</v>
      </c>
      <c r="V80" t="s">
        <v>74</v>
      </c>
      <c r="W80" t="s">
        <v>74</v>
      </c>
      <c r="X80" t="s">
        <v>74</v>
      </c>
      <c r="Y80" t="s">
        <v>74</v>
      </c>
      <c r="Z80" t="s">
        <v>74</v>
      </c>
      <c r="AA80" t="s">
        <v>2215</v>
      </c>
      <c r="AB80" t="s">
        <v>2216</v>
      </c>
      <c r="AC80" t="s">
        <v>74</v>
      </c>
      <c r="AD80" t="s">
        <v>74</v>
      </c>
      <c r="AE80" t="s">
        <v>74</v>
      </c>
      <c r="AF80" t="s">
        <v>74</v>
      </c>
      <c r="AG80" t="s">
        <v>74</v>
      </c>
      <c r="AH80" t="s">
        <v>74</v>
      </c>
      <c r="AI80" t="s">
        <v>74</v>
      </c>
      <c r="AJ80" t="s">
        <v>74</v>
      </c>
      <c r="AK80" t="s">
        <v>74</v>
      </c>
      <c r="AL80" t="s">
        <v>74</v>
      </c>
      <c r="AM80" t="s">
        <v>74</v>
      </c>
      <c r="AN80" t="s">
        <v>74</v>
      </c>
      <c r="AO80" t="s">
        <v>2217</v>
      </c>
      <c r="AP80" t="s">
        <v>2218</v>
      </c>
      <c r="AQ80" t="s">
        <v>74</v>
      </c>
      <c r="AR80" t="s">
        <v>74</v>
      </c>
      <c r="AS80" t="s">
        <v>74</v>
      </c>
      <c r="AT80" t="s">
        <v>569</v>
      </c>
      <c r="AU80">
        <v>2020</v>
      </c>
      <c r="AV80">
        <v>281</v>
      </c>
      <c r="AW80">
        <v>6</v>
      </c>
      <c r="AX80" t="s">
        <v>74</v>
      </c>
      <c r="AY80" t="s">
        <v>74</v>
      </c>
      <c r="AZ80" t="s">
        <v>74</v>
      </c>
      <c r="BA80" t="s">
        <v>74</v>
      </c>
      <c r="BB80">
        <v>653</v>
      </c>
      <c r="BC80">
        <v>661</v>
      </c>
      <c r="BD80" t="s">
        <v>74</v>
      </c>
      <c r="BE80" t="s">
        <v>2219</v>
      </c>
      <c r="BF80" t="str">
        <f>HYPERLINK("http://dx.doi.org/10.1002/jmor.21131","http://dx.doi.org/10.1002/jmor.21131")</f>
        <v>http://dx.doi.org/10.1002/jmor.21131</v>
      </c>
      <c r="BG80" t="s">
        <v>74</v>
      </c>
      <c r="BH80" t="s">
        <v>2209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>
        <v>32333693</v>
      </c>
      <c r="BO80" t="s">
        <v>74</v>
      </c>
      <c r="BP80" t="s">
        <v>74</v>
      </c>
      <c r="BQ80" t="s">
        <v>74</v>
      </c>
      <c r="BR80" t="s">
        <v>74</v>
      </c>
      <c r="BS80" t="s">
        <v>2220</v>
      </c>
      <c r="BT80" t="str">
        <f>HYPERLINK("https%3A%2F%2Fwww.webofscience.com%2Fwos%2Fwoscc%2Ffull-record%2FWOS:000528334400001","View Full Record in Web of Science")</f>
        <v>View Full Record in Web of Science</v>
      </c>
    </row>
    <row r="81" spans="1:72" x14ac:dyDescent="0.2">
      <c r="A81" t="s">
        <v>72</v>
      </c>
      <c r="B81" t="s">
        <v>2238</v>
      </c>
      <c r="C81" t="s">
        <v>74</v>
      </c>
      <c r="D81" t="s">
        <v>74</v>
      </c>
      <c r="E81" t="s">
        <v>74</v>
      </c>
      <c r="F81" t="s">
        <v>2239</v>
      </c>
      <c r="G81" t="s">
        <v>74</v>
      </c>
      <c r="H81" t="s">
        <v>74</v>
      </c>
      <c r="I81" t="s">
        <v>2240</v>
      </c>
      <c r="J81" t="s">
        <v>124</v>
      </c>
      <c r="K81" t="s">
        <v>74</v>
      </c>
      <c r="L81" t="s">
        <v>74</v>
      </c>
      <c r="M81" t="s">
        <v>74</v>
      </c>
      <c r="N81" t="s">
        <v>74</v>
      </c>
      <c r="O81" t="s">
        <v>74</v>
      </c>
      <c r="P81" t="s">
        <v>74</v>
      </c>
      <c r="Q81" t="s">
        <v>74</v>
      </c>
      <c r="R81" t="s">
        <v>74</v>
      </c>
      <c r="S81" t="s">
        <v>74</v>
      </c>
      <c r="T81" t="s">
        <v>74</v>
      </c>
      <c r="U81" t="s">
        <v>74</v>
      </c>
      <c r="V81" t="s">
        <v>74</v>
      </c>
      <c r="W81" t="s">
        <v>74</v>
      </c>
      <c r="X81" t="s">
        <v>74</v>
      </c>
      <c r="Y81" t="s">
        <v>74</v>
      </c>
      <c r="Z81" t="s">
        <v>74</v>
      </c>
      <c r="AA81" t="s">
        <v>2241</v>
      </c>
      <c r="AB81" t="s">
        <v>2242</v>
      </c>
      <c r="AC81" t="s">
        <v>74</v>
      </c>
      <c r="AD81" t="s">
        <v>74</v>
      </c>
      <c r="AE81" t="s">
        <v>74</v>
      </c>
      <c r="AF81" t="s">
        <v>74</v>
      </c>
      <c r="AG81" t="s">
        <v>74</v>
      </c>
      <c r="AH81" t="s">
        <v>74</v>
      </c>
      <c r="AI81" t="s">
        <v>74</v>
      </c>
      <c r="AJ81" t="s">
        <v>74</v>
      </c>
      <c r="AK81" t="s">
        <v>74</v>
      </c>
      <c r="AL81" t="s">
        <v>74</v>
      </c>
      <c r="AM81" t="s">
        <v>74</v>
      </c>
      <c r="AN81" t="s">
        <v>74</v>
      </c>
      <c r="AO81" t="s">
        <v>127</v>
      </c>
      <c r="AP81" t="s">
        <v>128</v>
      </c>
      <c r="AQ81" t="s">
        <v>74</v>
      </c>
      <c r="AR81" t="s">
        <v>74</v>
      </c>
      <c r="AS81" t="s">
        <v>74</v>
      </c>
      <c r="AT81" t="s">
        <v>569</v>
      </c>
      <c r="AU81">
        <v>2020</v>
      </c>
      <c r="AV81">
        <v>847</v>
      </c>
      <c r="AW81">
        <v>10</v>
      </c>
      <c r="AX81" t="s">
        <v>74</v>
      </c>
      <c r="AY81" t="s">
        <v>74</v>
      </c>
      <c r="AZ81" t="s">
        <v>74</v>
      </c>
      <c r="BA81" t="s">
        <v>74</v>
      </c>
      <c r="BB81">
        <v>2225</v>
      </c>
      <c r="BC81">
        <v>2239</v>
      </c>
      <c r="BD81" t="s">
        <v>74</v>
      </c>
      <c r="BE81" t="s">
        <v>2243</v>
      </c>
      <c r="BF81" t="str">
        <f>HYPERLINK("http://dx.doi.org/10.1007/s10750-020-04250-w","http://dx.doi.org/10.1007/s10750-020-04250-w")</f>
        <v>http://dx.doi.org/10.1007/s10750-020-04250-w</v>
      </c>
      <c r="BG81" t="s">
        <v>74</v>
      </c>
      <c r="BH81" t="s">
        <v>2209</v>
      </c>
      <c r="BI81" t="s">
        <v>74</v>
      </c>
      <c r="BJ81" t="s">
        <v>74</v>
      </c>
      <c r="BK81" t="s">
        <v>74</v>
      </c>
      <c r="BL81" t="s">
        <v>74</v>
      </c>
      <c r="BM81" t="s">
        <v>74</v>
      </c>
      <c r="BN81" t="s">
        <v>74</v>
      </c>
      <c r="BO81" t="s">
        <v>74</v>
      </c>
      <c r="BP81" t="s">
        <v>74</v>
      </c>
      <c r="BQ81" t="s">
        <v>74</v>
      </c>
      <c r="BR81" t="s">
        <v>74</v>
      </c>
      <c r="BS81" t="s">
        <v>2244</v>
      </c>
      <c r="BT81" t="str">
        <f>HYPERLINK("https%3A%2F%2Fwww.webofscience.com%2Fwos%2Fwoscc%2Ffull-record%2FWOS:000526238700002","View Full Record in Web of Science")</f>
        <v>View Full Record in Web of Science</v>
      </c>
    </row>
    <row r="82" spans="1:72" x14ac:dyDescent="0.2">
      <c r="A82" t="s">
        <v>72</v>
      </c>
      <c r="B82" t="s">
        <v>2334</v>
      </c>
      <c r="C82" t="s">
        <v>74</v>
      </c>
      <c r="D82" t="s">
        <v>74</v>
      </c>
      <c r="E82" t="s">
        <v>74</v>
      </c>
      <c r="F82" t="s">
        <v>2335</v>
      </c>
      <c r="G82" t="s">
        <v>74</v>
      </c>
      <c r="H82" t="s">
        <v>74</v>
      </c>
      <c r="I82" t="s">
        <v>2336</v>
      </c>
      <c r="J82" t="s">
        <v>1523</v>
      </c>
      <c r="K82" t="s">
        <v>74</v>
      </c>
      <c r="L82" t="s">
        <v>74</v>
      </c>
      <c r="M82" t="s">
        <v>74</v>
      </c>
      <c r="N82" t="s">
        <v>74</v>
      </c>
      <c r="O82" t="s">
        <v>74</v>
      </c>
      <c r="P82" t="s">
        <v>74</v>
      </c>
      <c r="Q82" t="s">
        <v>74</v>
      </c>
      <c r="R82" t="s">
        <v>74</v>
      </c>
      <c r="S82" t="s">
        <v>74</v>
      </c>
      <c r="T82" t="s">
        <v>74</v>
      </c>
      <c r="U82" t="s">
        <v>74</v>
      </c>
      <c r="V82" t="s">
        <v>74</v>
      </c>
      <c r="W82" t="s">
        <v>74</v>
      </c>
      <c r="X82" t="s">
        <v>74</v>
      </c>
      <c r="Y82" t="s">
        <v>74</v>
      </c>
      <c r="Z82" t="s">
        <v>74</v>
      </c>
      <c r="AA82" t="s">
        <v>2337</v>
      </c>
      <c r="AB82" t="s">
        <v>6954</v>
      </c>
      <c r="AC82" t="s">
        <v>74</v>
      </c>
      <c r="AD82" t="s">
        <v>74</v>
      </c>
      <c r="AE82" t="s">
        <v>74</v>
      </c>
      <c r="AF82" t="s">
        <v>74</v>
      </c>
      <c r="AG82" t="s">
        <v>74</v>
      </c>
      <c r="AH82" t="s">
        <v>74</v>
      </c>
      <c r="AI82" t="s">
        <v>74</v>
      </c>
      <c r="AJ82" t="s">
        <v>74</v>
      </c>
      <c r="AK82" t="s">
        <v>74</v>
      </c>
      <c r="AL82" t="s">
        <v>74</v>
      </c>
      <c r="AM82" t="s">
        <v>74</v>
      </c>
      <c r="AN82" t="s">
        <v>74</v>
      </c>
      <c r="AO82" t="s">
        <v>1524</v>
      </c>
      <c r="AP82" t="s">
        <v>1525</v>
      </c>
      <c r="AQ82" t="s">
        <v>74</v>
      </c>
      <c r="AR82" t="s">
        <v>74</v>
      </c>
      <c r="AS82" t="s">
        <v>74</v>
      </c>
      <c r="AT82" t="s">
        <v>157</v>
      </c>
      <c r="AU82">
        <v>2020</v>
      </c>
      <c r="AV82">
        <v>101</v>
      </c>
      <c r="AW82">
        <v>3</v>
      </c>
      <c r="AX82" t="s">
        <v>74</v>
      </c>
      <c r="AY82" t="s">
        <v>74</v>
      </c>
      <c r="AZ82" t="s">
        <v>74</v>
      </c>
      <c r="BA82" t="s">
        <v>74</v>
      </c>
      <c r="BB82" t="s">
        <v>74</v>
      </c>
      <c r="BC82" t="s">
        <v>74</v>
      </c>
      <c r="BD82" t="s">
        <v>2338</v>
      </c>
      <c r="BE82" t="s">
        <v>2339</v>
      </c>
      <c r="BF82" t="str">
        <f>HYPERLINK("http://dx.doi.org/10.1002/ecy.2951","http://dx.doi.org/10.1002/ecy.2951")</f>
        <v>http://dx.doi.org/10.1002/ecy.2951</v>
      </c>
      <c r="BG82" t="s">
        <v>74</v>
      </c>
      <c r="BH82" t="s">
        <v>2340</v>
      </c>
      <c r="BI82" t="s">
        <v>74</v>
      </c>
      <c r="BJ82" t="s">
        <v>74</v>
      </c>
      <c r="BK82" t="s">
        <v>74</v>
      </c>
      <c r="BL82" t="s">
        <v>74</v>
      </c>
      <c r="BM82" t="s">
        <v>74</v>
      </c>
      <c r="BN82">
        <v>31840230</v>
      </c>
      <c r="BO82" t="s">
        <v>74</v>
      </c>
      <c r="BP82" t="s">
        <v>74</v>
      </c>
      <c r="BQ82" t="s">
        <v>74</v>
      </c>
      <c r="BR82" t="s">
        <v>74</v>
      </c>
      <c r="BS82" t="s">
        <v>2341</v>
      </c>
      <c r="BT82" t="str">
        <f>HYPERLINK("https%3A%2F%2Fwww.webofscience.com%2Fwos%2Fwoscc%2Ffull-record%2FWOS:000510577700001","View Full Record in Web of Science")</f>
        <v>View Full Record in Web of Science</v>
      </c>
    </row>
    <row r="83" spans="1:72" x14ac:dyDescent="0.2">
      <c r="A83" t="s">
        <v>72</v>
      </c>
      <c r="B83" t="s">
        <v>2355</v>
      </c>
      <c r="C83" t="s">
        <v>74</v>
      </c>
      <c r="D83" t="s">
        <v>74</v>
      </c>
      <c r="E83" t="s">
        <v>74</v>
      </c>
      <c r="F83" t="s">
        <v>2356</v>
      </c>
      <c r="G83" t="s">
        <v>74</v>
      </c>
      <c r="H83" t="s">
        <v>74</v>
      </c>
      <c r="I83" t="s">
        <v>2357</v>
      </c>
      <c r="J83" t="s">
        <v>1967</v>
      </c>
      <c r="K83" t="s">
        <v>74</v>
      </c>
      <c r="L83" t="s">
        <v>74</v>
      </c>
      <c r="M83" t="s">
        <v>74</v>
      </c>
      <c r="N83" t="s">
        <v>74</v>
      </c>
      <c r="O83" t="s">
        <v>74</v>
      </c>
      <c r="P83" t="s">
        <v>74</v>
      </c>
      <c r="Q83" t="s">
        <v>74</v>
      </c>
      <c r="R83" t="s">
        <v>74</v>
      </c>
      <c r="S83" t="s">
        <v>74</v>
      </c>
      <c r="T83" t="s">
        <v>74</v>
      </c>
      <c r="U83" t="s">
        <v>74</v>
      </c>
      <c r="V83" t="s">
        <v>74</v>
      </c>
      <c r="W83" t="s">
        <v>74</v>
      </c>
      <c r="X83" t="s">
        <v>74</v>
      </c>
      <c r="Y83" t="s">
        <v>74</v>
      </c>
      <c r="Z83" t="s">
        <v>74</v>
      </c>
      <c r="AA83" t="s">
        <v>74</v>
      </c>
      <c r="AB83" t="s">
        <v>2358</v>
      </c>
      <c r="AC83" t="s">
        <v>74</v>
      </c>
      <c r="AD83" t="s">
        <v>74</v>
      </c>
      <c r="AE83" t="s">
        <v>74</v>
      </c>
      <c r="AF83" t="s">
        <v>74</v>
      </c>
      <c r="AG83" t="s">
        <v>74</v>
      </c>
      <c r="AH83" t="s">
        <v>74</v>
      </c>
      <c r="AI83" t="s">
        <v>74</v>
      </c>
      <c r="AJ83" t="s">
        <v>74</v>
      </c>
      <c r="AK83" t="s">
        <v>74</v>
      </c>
      <c r="AL83" t="s">
        <v>74</v>
      </c>
      <c r="AM83" t="s">
        <v>74</v>
      </c>
      <c r="AN83" t="s">
        <v>74</v>
      </c>
      <c r="AO83" t="s">
        <v>1968</v>
      </c>
      <c r="AP83" t="s">
        <v>1969</v>
      </c>
      <c r="AQ83" t="s">
        <v>74</v>
      </c>
      <c r="AR83" t="s">
        <v>74</v>
      </c>
      <c r="AS83" t="s">
        <v>74</v>
      </c>
      <c r="AT83" t="s">
        <v>2359</v>
      </c>
      <c r="AU83">
        <v>2020</v>
      </c>
      <c r="AV83">
        <v>192</v>
      </c>
      <c r="AW83">
        <v>2</v>
      </c>
      <c r="AX83" t="s">
        <v>74</v>
      </c>
      <c r="AY83" t="s">
        <v>74</v>
      </c>
      <c r="AZ83" t="s">
        <v>74</v>
      </c>
      <c r="BA83" t="s">
        <v>74</v>
      </c>
      <c r="BB83" t="s">
        <v>74</v>
      </c>
      <c r="BC83" t="s">
        <v>74</v>
      </c>
      <c r="BD83">
        <v>107</v>
      </c>
      <c r="BE83" t="s">
        <v>2360</v>
      </c>
      <c r="BF83" t="str">
        <f>HYPERLINK("http://dx.doi.org/10.1007/s10661-020-8068-x","http://dx.doi.org/10.1007/s10661-020-8068-x")</f>
        <v>http://dx.doi.org/10.1007/s10661-020-8068-x</v>
      </c>
      <c r="BG83" t="s">
        <v>74</v>
      </c>
      <c r="BH83" t="s">
        <v>74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>
        <v>31927668</v>
      </c>
      <c r="BO83" t="s">
        <v>74</v>
      </c>
      <c r="BP83" t="s">
        <v>74</v>
      </c>
      <c r="BQ83" t="s">
        <v>74</v>
      </c>
      <c r="BR83" t="s">
        <v>74</v>
      </c>
      <c r="BS83" t="s">
        <v>2361</v>
      </c>
      <c r="BT83" t="str">
        <f>HYPERLINK("https%3A%2F%2Fwww.webofscience.com%2Fwos%2Fwoscc%2Ffull-record%2FWOS:000521105000001","View Full Record in Web of Science")</f>
        <v>View Full Record in Web of Science</v>
      </c>
    </row>
    <row r="84" spans="1:72" x14ac:dyDescent="0.2">
      <c r="A84" t="s">
        <v>72</v>
      </c>
      <c r="B84" t="s">
        <v>2451</v>
      </c>
      <c r="C84" t="s">
        <v>74</v>
      </c>
      <c r="D84" t="s">
        <v>74</v>
      </c>
      <c r="E84" t="s">
        <v>74</v>
      </c>
      <c r="F84" t="s">
        <v>2452</v>
      </c>
      <c r="G84" t="s">
        <v>74</v>
      </c>
      <c r="H84" t="s">
        <v>74</v>
      </c>
      <c r="I84" t="s">
        <v>2453</v>
      </c>
      <c r="J84" t="s">
        <v>1523</v>
      </c>
      <c r="K84" t="s">
        <v>74</v>
      </c>
      <c r="L84" t="s">
        <v>74</v>
      </c>
      <c r="M84" t="s">
        <v>74</v>
      </c>
      <c r="N84" t="s">
        <v>74</v>
      </c>
      <c r="O84" t="s">
        <v>74</v>
      </c>
      <c r="P84" t="s">
        <v>74</v>
      </c>
      <c r="Q84" t="s">
        <v>74</v>
      </c>
      <c r="R84" t="s">
        <v>74</v>
      </c>
      <c r="S84" t="s">
        <v>74</v>
      </c>
      <c r="T84" t="s">
        <v>74</v>
      </c>
      <c r="U84" t="s">
        <v>74</v>
      </c>
      <c r="V84" t="s">
        <v>74</v>
      </c>
      <c r="W84" t="s">
        <v>74</v>
      </c>
      <c r="X84" t="s">
        <v>74</v>
      </c>
      <c r="Y84" t="s">
        <v>74</v>
      </c>
      <c r="Z84" t="s">
        <v>74</v>
      </c>
      <c r="AA84" t="s">
        <v>2454</v>
      </c>
      <c r="AB84" t="s">
        <v>2455</v>
      </c>
      <c r="AC84" t="s">
        <v>74</v>
      </c>
      <c r="AD84" t="s">
        <v>74</v>
      </c>
      <c r="AE84" t="s">
        <v>74</v>
      </c>
      <c r="AF84" t="s">
        <v>74</v>
      </c>
      <c r="AG84" t="s">
        <v>74</v>
      </c>
      <c r="AH84" t="s">
        <v>74</v>
      </c>
      <c r="AI84" t="s">
        <v>74</v>
      </c>
      <c r="AJ84" t="s">
        <v>74</v>
      </c>
      <c r="AK84" t="s">
        <v>74</v>
      </c>
      <c r="AL84" t="s">
        <v>74</v>
      </c>
      <c r="AM84" t="s">
        <v>74</v>
      </c>
      <c r="AN84" t="s">
        <v>74</v>
      </c>
      <c r="AO84" t="s">
        <v>1524</v>
      </c>
      <c r="AP84" t="s">
        <v>1525</v>
      </c>
      <c r="AQ84" t="s">
        <v>74</v>
      </c>
      <c r="AR84" t="s">
        <v>74</v>
      </c>
      <c r="AS84" t="s">
        <v>74</v>
      </c>
      <c r="AT84" t="s">
        <v>82</v>
      </c>
      <c r="AU84">
        <v>2019</v>
      </c>
      <c r="AV84">
        <v>100</v>
      </c>
      <c r="AW84">
        <v>12</v>
      </c>
      <c r="AX84" t="s">
        <v>74</v>
      </c>
      <c r="AY84" t="s">
        <v>74</v>
      </c>
      <c r="AZ84" t="s">
        <v>74</v>
      </c>
      <c r="BA84" t="s">
        <v>74</v>
      </c>
      <c r="BB84" t="s">
        <v>74</v>
      </c>
      <c r="BC84" t="s">
        <v>74</v>
      </c>
      <c r="BD84" t="s">
        <v>74</v>
      </c>
      <c r="BE84" t="s">
        <v>2456</v>
      </c>
      <c r="BF84" t="str">
        <f>HYPERLINK("http://dx.doi.org/10.1002/ecy.2875","http://dx.doi.org/10.1002/ecy.2875")</f>
        <v>http://dx.doi.org/10.1002/ecy.2875</v>
      </c>
      <c r="BG84" t="s">
        <v>74</v>
      </c>
      <c r="BH84" t="s">
        <v>2457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>
        <v>31465548</v>
      </c>
      <c r="BO84" t="s">
        <v>74</v>
      </c>
      <c r="BP84" t="s">
        <v>74</v>
      </c>
      <c r="BQ84" t="s">
        <v>74</v>
      </c>
      <c r="BR84" t="s">
        <v>74</v>
      </c>
      <c r="BS84" t="s">
        <v>2458</v>
      </c>
      <c r="BT84" t="str">
        <f>HYPERLINK("https%3A%2F%2Fwww.webofscience.com%2Fwos%2Fwoscc%2Ffull-record%2FWOS:000491684700001","View Full Record in Web of Science")</f>
        <v>View Full Record in Web of Science</v>
      </c>
    </row>
    <row r="85" spans="1:72" x14ac:dyDescent="0.2">
      <c r="A85" t="s">
        <v>72</v>
      </c>
      <c r="B85" t="s">
        <v>2538</v>
      </c>
      <c r="C85" t="s">
        <v>74</v>
      </c>
      <c r="D85" t="s">
        <v>74</v>
      </c>
      <c r="E85" t="s">
        <v>74</v>
      </c>
      <c r="F85" t="s">
        <v>2539</v>
      </c>
      <c r="G85" t="s">
        <v>74</v>
      </c>
      <c r="H85" t="s">
        <v>74</v>
      </c>
      <c r="I85" t="s">
        <v>2540</v>
      </c>
      <c r="J85" t="s">
        <v>423</v>
      </c>
      <c r="K85" t="s">
        <v>74</v>
      </c>
      <c r="L85" t="s">
        <v>74</v>
      </c>
      <c r="M85" t="s">
        <v>74</v>
      </c>
      <c r="N85" t="s">
        <v>74</v>
      </c>
      <c r="O85" t="s">
        <v>74</v>
      </c>
      <c r="P85" t="s">
        <v>74</v>
      </c>
      <c r="Q85" t="s">
        <v>74</v>
      </c>
      <c r="R85" t="s">
        <v>74</v>
      </c>
      <c r="S85" t="s">
        <v>74</v>
      </c>
      <c r="T85" t="s">
        <v>74</v>
      </c>
      <c r="U85" t="s">
        <v>74</v>
      </c>
      <c r="V85" t="s">
        <v>74</v>
      </c>
      <c r="W85" t="s">
        <v>74</v>
      </c>
      <c r="X85" t="s">
        <v>74</v>
      </c>
      <c r="Y85" t="s">
        <v>74</v>
      </c>
      <c r="Z85" t="s">
        <v>74</v>
      </c>
      <c r="AA85" t="s">
        <v>6962</v>
      </c>
      <c r="AB85" t="s">
        <v>6963</v>
      </c>
      <c r="AC85" t="s">
        <v>74</v>
      </c>
      <c r="AD85" t="s">
        <v>74</v>
      </c>
      <c r="AE85" t="s">
        <v>74</v>
      </c>
      <c r="AF85" t="s">
        <v>74</v>
      </c>
      <c r="AG85" t="s">
        <v>74</v>
      </c>
      <c r="AH85" t="s">
        <v>74</v>
      </c>
      <c r="AI85" t="s">
        <v>74</v>
      </c>
      <c r="AJ85" t="s">
        <v>74</v>
      </c>
      <c r="AK85" t="s">
        <v>74</v>
      </c>
      <c r="AL85" t="s">
        <v>74</v>
      </c>
      <c r="AM85" t="s">
        <v>74</v>
      </c>
      <c r="AN85" t="s">
        <v>74</v>
      </c>
      <c r="AO85" t="s">
        <v>425</v>
      </c>
      <c r="AP85" t="s">
        <v>426</v>
      </c>
      <c r="AQ85" t="s">
        <v>74</v>
      </c>
      <c r="AR85" t="s">
        <v>74</v>
      </c>
      <c r="AS85" t="s">
        <v>74</v>
      </c>
      <c r="AT85" t="s">
        <v>520</v>
      </c>
      <c r="AU85">
        <v>2019</v>
      </c>
      <c r="AV85">
        <v>64</v>
      </c>
      <c r="AW85">
        <v>8</v>
      </c>
      <c r="AX85" t="s">
        <v>74</v>
      </c>
      <c r="AY85" t="s">
        <v>74</v>
      </c>
      <c r="AZ85" t="s">
        <v>74</v>
      </c>
      <c r="BA85" t="s">
        <v>74</v>
      </c>
      <c r="BB85">
        <v>1369</v>
      </c>
      <c r="BC85">
        <v>1381</v>
      </c>
      <c r="BD85" t="s">
        <v>74</v>
      </c>
      <c r="BE85" t="s">
        <v>2541</v>
      </c>
      <c r="BF85" t="str">
        <f>HYPERLINK("http://dx.doi.org/10.1111/fwb.13311","http://dx.doi.org/10.1111/fwb.13311")</f>
        <v>http://dx.doi.org/10.1111/fwb.13311</v>
      </c>
      <c r="BG85" t="s">
        <v>74</v>
      </c>
      <c r="BH85" t="s">
        <v>74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 t="s">
        <v>74</v>
      </c>
      <c r="BR85" t="s">
        <v>74</v>
      </c>
      <c r="BS85" t="s">
        <v>2542</v>
      </c>
      <c r="BT85" t="str">
        <f>HYPERLINK("https%3A%2F%2Fwww.webofscience.com%2Fwos%2Fwoscc%2Ffull-record%2FWOS:000474661800002","View Full Record in Web of Science")</f>
        <v>View Full Record in Web of Science</v>
      </c>
    </row>
    <row r="86" spans="1:72" x14ac:dyDescent="0.2">
      <c r="A86" t="s">
        <v>72</v>
      </c>
      <c r="B86" t="s">
        <v>2549</v>
      </c>
      <c r="C86" t="s">
        <v>74</v>
      </c>
      <c r="D86" t="s">
        <v>74</v>
      </c>
      <c r="E86" t="s">
        <v>74</v>
      </c>
      <c r="F86" t="s">
        <v>2550</v>
      </c>
      <c r="G86" t="s">
        <v>74</v>
      </c>
      <c r="H86" t="s">
        <v>74</v>
      </c>
      <c r="I86" t="s">
        <v>2551</v>
      </c>
      <c r="J86" t="s">
        <v>381</v>
      </c>
      <c r="K86" t="s">
        <v>74</v>
      </c>
      <c r="L86" t="s">
        <v>74</v>
      </c>
      <c r="M86" t="s">
        <v>74</v>
      </c>
      <c r="N86" t="s">
        <v>74</v>
      </c>
      <c r="O86" t="s">
        <v>74</v>
      </c>
      <c r="P86" t="s">
        <v>74</v>
      </c>
      <c r="Q86" t="s">
        <v>74</v>
      </c>
      <c r="R86" t="s">
        <v>74</v>
      </c>
      <c r="S86" t="s">
        <v>74</v>
      </c>
      <c r="T86" t="s">
        <v>74</v>
      </c>
      <c r="U86" t="s">
        <v>74</v>
      </c>
      <c r="V86" t="s">
        <v>74</v>
      </c>
      <c r="W86" t="s">
        <v>74</v>
      </c>
      <c r="X86" t="s">
        <v>74</v>
      </c>
      <c r="Y86" t="s">
        <v>74</v>
      </c>
      <c r="Z86" t="s">
        <v>74</v>
      </c>
      <c r="AA86" t="s">
        <v>2552</v>
      </c>
      <c r="AB86" t="s">
        <v>2553</v>
      </c>
      <c r="AC86" t="s">
        <v>74</v>
      </c>
      <c r="AD86" t="s">
        <v>74</v>
      </c>
      <c r="AE86" t="s">
        <v>74</v>
      </c>
      <c r="AF86" t="s">
        <v>74</v>
      </c>
      <c r="AG86" t="s">
        <v>74</v>
      </c>
      <c r="AH86" t="s">
        <v>74</v>
      </c>
      <c r="AI86" t="s">
        <v>74</v>
      </c>
      <c r="AJ86" t="s">
        <v>74</v>
      </c>
      <c r="AK86" t="s">
        <v>74</v>
      </c>
      <c r="AL86" t="s">
        <v>74</v>
      </c>
      <c r="AM86" t="s">
        <v>74</v>
      </c>
      <c r="AN86" t="s">
        <v>74</v>
      </c>
      <c r="AO86" t="s">
        <v>383</v>
      </c>
      <c r="AP86" t="s">
        <v>384</v>
      </c>
      <c r="AQ86" t="s">
        <v>74</v>
      </c>
      <c r="AR86" t="s">
        <v>74</v>
      </c>
      <c r="AS86" t="s">
        <v>74</v>
      </c>
      <c r="AT86" t="s">
        <v>520</v>
      </c>
      <c r="AU86">
        <v>2019</v>
      </c>
      <c r="AV86">
        <v>251</v>
      </c>
      <c r="AW86" t="s">
        <v>74</v>
      </c>
      <c r="AX86" t="s">
        <v>74</v>
      </c>
      <c r="AY86" t="s">
        <v>74</v>
      </c>
      <c r="AZ86" t="s">
        <v>74</v>
      </c>
      <c r="BA86" t="s">
        <v>74</v>
      </c>
      <c r="BB86">
        <v>434</v>
      </c>
      <c r="BC86">
        <v>441</v>
      </c>
      <c r="BD86" t="s">
        <v>74</v>
      </c>
      <c r="BE86" t="s">
        <v>2554</v>
      </c>
      <c r="BF86" t="str">
        <f>HYPERLINK("http://dx.doi.org/10.1016/j.envpol.2019.05.034","http://dx.doi.org/10.1016/j.envpol.2019.05.034")</f>
        <v>http://dx.doi.org/10.1016/j.envpol.2019.05.034</v>
      </c>
      <c r="BG86" t="s">
        <v>74</v>
      </c>
      <c r="BH86" t="s">
        <v>74</v>
      </c>
      <c r="BI86" t="s">
        <v>74</v>
      </c>
      <c r="BJ86" t="s">
        <v>74</v>
      </c>
      <c r="BK86" t="s">
        <v>74</v>
      </c>
      <c r="BL86" t="s">
        <v>74</v>
      </c>
      <c r="BM86" t="s">
        <v>74</v>
      </c>
      <c r="BN86">
        <v>31103003</v>
      </c>
      <c r="BO86" t="s">
        <v>74</v>
      </c>
      <c r="BP86" t="s">
        <v>74</v>
      </c>
      <c r="BQ86" t="s">
        <v>74</v>
      </c>
      <c r="BR86" t="s">
        <v>74</v>
      </c>
      <c r="BS86" t="s">
        <v>2555</v>
      </c>
      <c r="BT86" t="str">
        <f>HYPERLINK("https%3A%2F%2Fwww.webofscience.com%2Fwos%2Fwoscc%2Ffull-record%2FWOS:000474329700048","View Full Record in Web of Science")</f>
        <v>View Full Record in Web of Science</v>
      </c>
    </row>
    <row r="87" spans="1:72" x14ac:dyDescent="0.2">
      <c r="A87" t="s">
        <v>72</v>
      </c>
      <c r="B87" t="s">
        <v>2563</v>
      </c>
      <c r="C87" t="s">
        <v>74</v>
      </c>
      <c r="D87" t="s">
        <v>74</v>
      </c>
      <c r="E87" t="s">
        <v>74</v>
      </c>
      <c r="F87" t="s">
        <v>2564</v>
      </c>
      <c r="G87" t="s">
        <v>74</v>
      </c>
      <c r="H87" t="s">
        <v>74</v>
      </c>
      <c r="I87" t="s">
        <v>2565</v>
      </c>
      <c r="J87" t="s">
        <v>2566</v>
      </c>
      <c r="K87" t="s">
        <v>74</v>
      </c>
      <c r="L87" t="s">
        <v>74</v>
      </c>
      <c r="M87" t="s">
        <v>74</v>
      </c>
      <c r="N87" t="s">
        <v>74</v>
      </c>
      <c r="O87" t="s">
        <v>74</v>
      </c>
      <c r="P87" t="s">
        <v>74</v>
      </c>
      <c r="Q87" t="s">
        <v>74</v>
      </c>
      <c r="R87" t="s">
        <v>74</v>
      </c>
      <c r="S87" t="s">
        <v>74</v>
      </c>
      <c r="T87" t="s">
        <v>74</v>
      </c>
      <c r="U87" t="s">
        <v>74</v>
      </c>
      <c r="V87" t="s">
        <v>74</v>
      </c>
      <c r="W87" t="s">
        <v>74</v>
      </c>
      <c r="X87" t="s">
        <v>74</v>
      </c>
      <c r="Y87" t="s">
        <v>74</v>
      </c>
      <c r="Z87" t="s">
        <v>74</v>
      </c>
      <c r="AA87" t="s">
        <v>2567</v>
      </c>
      <c r="AB87" t="s">
        <v>2568</v>
      </c>
      <c r="AC87" t="s">
        <v>74</v>
      </c>
      <c r="AD87" t="s">
        <v>74</v>
      </c>
      <c r="AE87" t="s">
        <v>74</v>
      </c>
      <c r="AF87" t="s">
        <v>74</v>
      </c>
      <c r="AG87" t="s">
        <v>74</v>
      </c>
      <c r="AH87" t="s">
        <v>74</v>
      </c>
      <c r="AI87" t="s">
        <v>74</v>
      </c>
      <c r="AJ87" t="s">
        <v>74</v>
      </c>
      <c r="AK87" t="s">
        <v>74</v>
      </c>
      <c r="AL87" t="s">
        <v>74</v>
      </c>
      <c r="AM87" t="s">
        <v>74</v>
      </c>
      <c r="AN87" t="s">
        <v>74</v>
      </c>
      <c r="AO87" t="s">
        <v>2569</v>
      </c>
      <c r="AP87" t="s">
        <v>74</v>
      </c>
      <c r="AQ87" t="s">
        <v>74</v>
      </c>
      <c r="AR87" t="s">
        <v>74</v>
      </c>
      <c r="AS87" t="s">
        <v>74</v>
      </c>
      <c r="AT87" t="s">
        <v>520</v>
      </c>
      <c r="AU87">
        <v>2019</v>
      </c>
      <c r="AV87">
        <v>12</v>
      </c>
      <c r="AW87">
        <v>7</v>
      </c>
      <c r="AX87" t="s">
        <v>74</v>
      </c>
      <c r="AY87" t="s">
        <v>74</v>
      </c>
      <c r="AZ87" t="s">
        <v>632</v>
      </c>
      <c r="BA87" t="s">
        <v>74</v>
      </c>
      <c r="BB87">
        <v>1463</v>
      </c>
      <c r="BC87">
        <v>1474</v>
      </c>
      <c r="BD87" t="s">
        <v>74</v>
      </c>
      <c r="BE87" t="s">
        <v>2570</v>
      </c>
      <c r="BF87" t="str">
        <f>HYPERLINK("http://dx.doi.org/10.1111/eva.12805","http://dx.doi.org/10.1111/eva.12805")</f>
        <v>http://dx.doi.org/10.1111/eva.12805</v>
      </c>
      <c r="BG87" t="s">
        <v>74</v>
      </c>
      <c r="BH87" t="s">
        <v>74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>
        <v>31417627</v>
      </c>
      <c r="BO87" t="s">
        <v>74</v>
      </c>
      <c r="BP87" t="s">
        <v>74</v>
      </c>
      <c r="BQ87" t="s">
        <v>74</v>
      </c>
      <c r="BR87" t="s">
        <v>74</v>
      </c>
      <c r="BS87" t="s">
        <v>2571</v>
      </c>
      <c r="BT87" t="str">
        <f>HYPERLINK("https%3A%2F%2Fwww.webofscience.com%2Fwos%2Fwoscc%2Ffull-record%2FWOS:000480580300017","View Full Record in Web of Science")</f>
        <v>View Full Record in Web of Science</v>
      </c>
    </row>
    <row r="88" spans="1:72" x14ac:dyDescent="0.2">
      <c r="A88" t="s">
        <v>72</v>
      </c>
      <c r="B88" t="s">
        <v>2605</v>
      </c>
      <c r="C88" t="s">
        <v>74</v>
      </c>
      <c r="D88" t="s">
        <v>74</v>
      </c>
      <c r="E88" t="s">
        <v>74</v>
      </c>
      <c r="F88" t="s">
        <v>2606</v>
      </c>
      <c r="G88" t="s">
        <v>74</v>
      </c>
      <c r="H88" t="s">
        <v>74</v>
      </c>
      <c r="I88" t="s">
        <v>2607</v>
      </c>
      <c r="J88" t="s">
        <v>145</v>
      </c>
      <c r="K88" t="s">
        <v>74</v>
      </c>
      <c r="L88" t="s">
        <v>74</v>
      </c>
      <c r="M88" t="s">
        <v>74</v>
      </c>
      <c r="N88" t="s">
        <v>74</v>
      </c>
      <c r="O88" t="s">
        <v>74</v>
      </c>
      <c r="P88" t="s">
        <v>74</v>
      </c>
      <c r="Q88" t="s">
        <v>74</v>
      </c>
      <c r="R88" t="s">
        <v>74</v>
      </c>
      <c r="S88" t="s">
        <v>74</v>
      </c>
      <c r="T88" t="s">
        <v>74</v>
      </c>
      <c r="U88" t="s">
        <v>74</v>
      </c>
      <c r="V88" t="s">
        <v>74</v>
      </c>
      <c r="W88" t="s">
        <v>74</v>
      </c>
      <c r="X88" t="s">
        <v>74</v>
      </c>
      <c r="Y88" t="s">
        <v>74</v>
      </c>
      <c r="Z88" t="s">
        <v>74</v>
      </c>
      <c r="AA88" t="s">
        <v>6970</v>
      </c>
      <c r="AB88" t="s">
        <v>2608</v>
      </c>
      <c r="AC88" t="s">
        <v>74</v>
      </c>
      <c r="AD88" t="s">
        <v>74</v>
      </c>
      <c r="AE88" t="s">
        <v>74</v>
      </c>
      <c r="AF88" t="s">
        <v>74</v>
      </c>
      <c r="AG88" t="s">
        <v>74</v>
      </c>
      <c r="AH88" t="s">
        <v>74</v>
      </c>
      <c r="AI88" t="s">
        <v>74</v>
      </c>
      <c r="AJ88" t="s">
        <v>74</v>
      </c>
      <c r="AK88" t="s">
        <v>74</v>
      </c>
      <c r="AL88" t="s">
        <v>74</v>
      </c>
      <c r="AM88" t="s">
        <v>74</v>
      </c>
      <c r="AN88" t="s">
        <v>74</v>
      </c>
      <c r="AO88" t="s">
        <v>146</v>
      </c>
      <c r="AP88" t="s">
        <v>147</v>
      </c>
      <c r="AQ88" t="s">
        <v>74</v>
      </c>
      <c r="AR88" t="s">
        <v>74</v>
      </c>
      <c r="AS88" t="s">
        <v>74</v>
      </c>
      <c r="AT88" t="s">
        <v>2609</v>
      </c>
      <c r="AU88">
        <v>2019</v>
      </c>
      <c r="AV88">
        <v>667</v>
      </c>
      <c r="AW88" t="s">
        <v>74</v>
      </c>
      <c r="AX88" t="s">
        <v>74</v>
      </c>
      <c r="AY88" t="s">
        <v>74</v>
      </c>
      <c r="AZ88" t="s">
        <v>74</v>
      </c>
      <c r="BA88" t="s">
        <v>74</v>
      </c>
      <c r="BB88">
        <v>601</v>
      </c>
      <c r="BC88">
        <v>612</v>
      </c>
      <c r="BD88" t="s">
        <v>74</v>
      </c>
      <c r="BE88" t="s">
        <v>2610</v>
      </c>
      <c r="BF88" t="str">
        <f>HYPERLINK("http://dx.doi.org/10.1016/j.scitotenv.2019.02.259","http://dx.doi.org/10.1016/j.scitotenv.2019.02.259")</f>
        <v>http://dx.doi.org/10.1016/j.scitotenv.2019.02.259</v>
      </c>
      <c r="BG88" t="s">
        <v>74</v>
      </c>
      <c r="BH88" t="s">
        <v>74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>
        <v>30833259</v>
      </c>
      <c r="BO88" t="s">
        <v>74</v>
      </c>
      <c r="BP88" t="s">
        <v>74</v>
      </c>
      <c r="BQ88" t="s">
        <v>74</v>
      </c>
      <c r="BR88" t="s">
        <v>74</v>
      </c>
      <c r="BS88" t="s">
        <v>2611</v>
      </c>
      <c r="BT88" t="str">
        <f>HYPERLINK("https%3A%2F%2Fwww.webofscience.com%2Fwos%2Fwoscc%2Ffull-record%2FWOS:000461676600063","View Full Record in Web of Science")</f>
        <v>View Full Record in Web of Science</v>
      </c>
    </row>
    <row r="89" spans="1:72" x14ac:dyDescent="0.2">
      <c r="A89" t="s">
        <v>72</v>
      </c>
      <c r="B89" t="s">
        <v>2678</v>
      </c>
      <c r="C89" t="s">
        <v>74</v>
      </c>
      <c r="D89" t="s">
        <v>74</v>
      </c>
      <c r="E89" t="s">
        <v>74</v>
      </c>
      <c r="F89" t="s">
        <v>2679</v>
      </c>
      <c r="G89" t="s">
        <v>74</v>
      </c>
      <c r="H89" t="s">
        <v>74</v>
      </c>
      <c r="I89" t="s">
        <v>2680</v>
      </c>
      <c r="J89" t="s">
        <v>124</v>
      </c>
      <c r="K89" t="s">
        <v>74</v>
      </c>
      <c r="L89" t="s">
        <v>74</v>
      </c>
      <c r="M89" t="s">
        <v>74</v>
      </c>
      <c r="N89" t="s">
        <v>74</v>
      </c>
      <c r="O89" t="s">
        <v>74</v>
      </c>
      <c r="P89" t="s">
        <v>74</v>
      </c>
      <c r="Q89" t="s">
        <v>74</v>
      </c>
      <c r="R89" t="s">
        <v>74</v>
      </c>
      <c r="S89" t="s">
        <v>74</v>
      </c>
      <c r="T89" t="s">
        <v>74</v>
      </c>
      <c r="U89" t="s">
        <v>74</v>
      </c>
      <c r="V89" t="s">
        <v>74</v>
      </c>
      <c r="W89" t="s">
        <v>74</v>
      </c>
      <c r="X89" t="s">
        <v>74</v>
      </c>
      <c r="Y89" t="s">
        <v>74</v>
      </c>
      <c r="Z89" t="s">
        <v>74</v>
      </c>
      <c r="AA89" t="s">
        <v>6974</v>
      </c>
      <c r="AB89" t="s">
        <v>6975</v>
      </c>
      <c r="AC89" t="s">
        <v>74</v>
      </c>
      <c r="AD89" t="s">
        <v>74</v>
      </c>
      <c r="AE89" t="s">
        <v>74</v>
      </c>
      <c r="AF89" t="s">
        <v>74</v>
      </c>
      <c r="AG89" t="s">
        <v>74</v>
      </c>
      <c r="AH89" t="s">
        <v>74</v>
      </c>
      <c r="AI89" t="s">
        <v>74</v>
      </c>
      <c r="AJ89" t="s">
        <v>74</v>
      </c>
      <c r="AK89" t="s">
        <v>74</v>
      </c>
      <c r="AL89" t="s">
        <v>74</v>
      </c>
      <c r="AM89" t="s">
        <v>74</v>
      </c>
      <c r="AN89" t="s">
        <v>74</v>
      </c>
      <c r="AO89" t="s">
        <v>127</v>
      </c>
      <c r="AP89" t="s">
        <v>128</v>
      </c>
      <c r="AQ89" t="s">
        <v>74</v>
      </c>
      <c r="AR89" t="s">
        <v>74</v>
      </c>
      <c r="AS89" t="s">
        <v>74</v>
      </c>
      <c r="AT89" t="s">
        <v>157</v>
      </c>
      <c r="AU89">
        <v>2019</v>
      </c>
      <c r="AV89">
        <v>831</v>
      </c>
      <c r="AW89">
        <v>1</v>
      </c>
      <c r="AX89" t="s">
        <v>74</v>
      </c>
      <c r="AY89" t="s">
        <v>74</v>
      </c>
      <c r="AZ89" t="s">
        <v>632</v>
      </c>
      <c r="BA89" t="s">
        <v>74</v>
      </c>
      <c r="BB89">
        <v>149</v>
      </c>
      <c r="BC89">
        <v>161</v>
      </c>
      <c r="BD89" t="s">
        <v>74</v>
      </c>
      <c r="BE89" t="s">
        <v>2681</v>
      </c>
      <c r="BF89" t="str">
        <f>HYPERLINK("http://dx.doi.org/10.1007/s10750-018-3710-0","http://dx.doi.org/10.1007/s10750-018-3710-0")</f>
        <v>http://dx.doi.org/10.1007/s10750-018-3710-0</v>
      </c>
      <c r="BG89" t="s">
        <v>74</v>
      </c>
      <c r="BH89" t="s">
        <v>74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 t="s">
        <v>74</v>
      </c>
      <c r="BR89" t="s">
        <v>74</v>
      </c>
      <c r="BS89" t="s">
        <v>2682</v>
      </c>
      <c r="BT89" t="str">
        <f>HYPERLINK("https%3A%2F%2Fwww.webofscience.com%2Fwos%2Fwoscc%2Ffull-record%2FWOS:000458372800013","View Full Record in Web of Science")</f>
        <v>View Full Record in Web of Science</v>
      </c>
    </row>
    <row r="90" spans="1:72" x14ac:dyDescent="0.2">
      <c r="A90" t="s">
        <v>72</v>
      </c>
      <c r="B90" t="s">
        <v>2691</v>
      </c>
      <c r="C90" t="s">
        <v>74</v>
      </c>
      <c r="D90" t="s">
        <v>74</v>
      </c>
      <c r="E90" t="s">
        <v>74</v>
      </c>
      <c r="F90" t="s">
        <v>2692</v>
      </c>
      <c r="G90" t="s">
        <v>74</v>
      </c>
      <c r="H90" t="s">
        <v>74</v>
      </c>
      <c r="I90" t="s">
        <v>2693</v>
      </c>
      <c r="J90" t="s">
        <v>2694</v>
      </c>
      <c r="K90" t="s">
        <v>74</v>
      </c>
      <c r="L90" t="s">
        <v>74</v>
      </c>
      <c r="M90" t="s">
        <v>74</v>
      </c>
      <c r="N90" t="s">
        <v>74</v>
      </c>
      <c r="O90" t="s">
        <v>74</v>
      </c>
      <c r="P90" t="s">
        <v>74</v>
      </c>
      <c r="Q90" t="s">
        <v>74</v>
      </c>
      <c r="R90" t="s">
        <v>74</v>
      </c>
      <c r="S90" t="s">
        <v>74</v>
      </c>
      <c r="T90" t="s">
        <v>74</v>
      </c>
      <c r="U90" t="s">
        <v>74</v>
      </c>
      <c r="V90" t="s">
        <v>74</v>
      </c>
      <c r="W90" t="s">
        <v>74</v>
      </c>
      <c r="X90" t="s">
        <v>74</v>
      </c>
      <c r="Y90" t="s">
        <v>74</v>
      </c>
      <c r="Z90" t="s">
        <v>74</v>
      </c>
      <c r="AA90" t="s">
        <v>6976</v>
      </c>
      <c r="AB90" t="s">
        <v>6977</v>
      </c>
      <c r="AC90" t="s">
        <v>74</v>
      </c>
      <c r="AD90" t="s">
        <v>74</v>
      </c>
      <c r="AE90" t="s">
        <v>74</v>
      </c>
      <c r="AF90" t="s">
        <v>74</v>
      </c>
      <c r="AG90" t="s">
        <v>74</v>
      </c>
      <c r="AH90" t="s">
        <v>74</v>
      </c>
      <c r="AI90" t="s">
        <v>74</v>
      </c>
      <c r="AJ90" t="s">
        <v>74</v>
      </c>
      <c r="AK90" t="s">
        <v>74</v>
      </c>
      <c r="AL90" t="s">
        <v>74</v>
      </c>
      <c r="AM90" t="s">
        <v>74</v>
      </c>
      <c r="AN90" t="s">
        <v>74</v>
      </c>
      <c r="AO90" t="s">
        <v>2695</v>
      </c>
      <c r="AP90" t="s">
        <v>2696</v>
      </c>
      <c r="AQ90" t="s">
        <v>74</v>
      </c>
      <c r="AR90" t="s">
        <v>74</v>
      </c>
      <c r="AS90" t="s">
        <v>74</v>
      </c>
      <c r="AT90" t="s">
        <v>416</v>
      </c>
      <c r="AU90">
        <v>2019</v>
      </c>
      <c r="AV90">
        <v>125</v>
      </c>
      <c r="AW90">
        <v>2</v>
      </c>
      <c r="AX90" t="s">
        <v>74</v>
      </c>
      <c r="AY90" t="s">
        <v>74</v>
      </c>
      <c r="AZ90" t="s">
        <v>74</v>
      </c>
      <c r="BA90" t="s">
        <v>74</v>
      </c>
      <c r="BB90">
        <v>106</v>
      </c>
      <c r="BC90">
        <v>113</v>
      </c>
      <c r="BD90" t="s">
        <v>74</v>
      </c>
      <c r="BE90" t="s">
        <v>2697</v>
      </c>
      <c r="BF90" t="str">
        <f>HYPERLINK("http://dx.doi.org/10.1111/eth.12835","http://dx.doi.org/10.1111/eth.12835")</f>
        <v>http://dx.doi.org/10.1111/eth.12835</v>
      </c>
      <c r="BG90" t="s">
        <v>74</v>
      </c>
      <c r="BH90" t="s">
        <v>74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 t="s">
        <v>74</v>
      </c>
      <c r="BR90" t="s">
        <v>74</v>
      </c>
      <c r="BS90" t="s">
        <v>2698</v>
      </c>
      <c r="BT90" t="str">
        <f>HYPERLINK("https%3A%2F%2Fwww.webofscience.com%2Fwos%2Fwoscc%2Ffull-record%2FWOS:000455963400005","View Full Record in Web of Science")</f>
        <v>View Full Record in Web of Science</v>
      </c>
    </row>
    <row r="91" spans="1:72" x14ac:dyDescent="0.2">
      <c r="A91" t="s">
        <v>72</v>
      </c>
      <c r="B91" t="s">
        <v>2699</v>
      </c>
      <c r="C91" t="s">
        <v>74</v>
      </c>
      <c r="D91" t="s">
        <v>74</v>
      </c>
      <c r="E91" t="s">
        <v>74</v>
      </c>
      <c r="F91" t="s">
        <v>2700</v>
      </c>
      <c r="G91" t="s">
        <v>74</v>
      </c>
      <c r="H91" t="s">
        <v>74</v>
      </c>
      <c r="I91" t="s">
        <v>2701</v>
      </c>
      <c r="J91" t="s">
        <v>2702</v>
      </c>
      <c r="K91" t="s">
        <v>74</v>
      </c>
      <c r="L91" t="s">
        <v>74</v>
      </c>
      <c r="M91" t="s">
        <v>74</v>
      </c>
      <c r="N91" t="s">
        <v>74</v>
      </c>
      <c r="O91" t="s">
        <v>74</v>
      </c>
      <c r="P91" t="s">
        <v>74</v>
      </c>
      <c r="Q91" t="s">
        <v>74</v>
      </c>
      <c r="R91" t="s">
        <v>74</v>
      </c>
      <c r="S91" t="s">
        <v>74</v>
      </c>
      <c r="T91" t="s">
        <v>74</v>
      </c>
      <c r="U91" t="s">
        <v>74</v>
      </c>
      <c r="V91" t="s">
        <v>74</v>
      </c>
      <c r="W91" t="s">
        <v>74</v>
      </c>
      <c r="X91" t="s">
        <v>74</v>
      </c>
      <c r="Y91" t="s">
        <v>74</v>
      </c>
      <c r="Z91" t="s">
        <v>74</v>
      </c>
      <c r="AA91" t="s">
        <v>74</v>
      </c>
      <c r="AB91" t="s">
        <v>2703</v>
      </c>
      <c r="AC91" t="s">
        <v>74</v>
      </c>
      <c r="AD91" t="s">
        <v>74</v>
      </c>
      <c r="AE91" t="s">
        <v>74</v>
      </c>
      <c r="AF91" t="s">
        <v>74</v>
      </c>
      <c r="AG91" t="s">
        <v>74</v>
      </c>
      <c r="AH91" t="s">
        <v>74</v>
      </c>
      <c r="AI91" t="s">
        <v>74</v>
      </c>
      <c r="AJ91" t="s">
        <v>74</v>
      </c>
      <c r="AK91" t="s">
        <v>74</v>
      </c>
      <c r="AL91" t="s">
        <v>74</v>
      </c>
      <c r="AM91" t="s">
        <v>74</v>
      </c>
      <c r="AN91" t="s">
        <v>74</v>
      </c>
      <c r="AO91" t="s">
        <v>2704</v>
      </c>
      <c r="AP91" t="s">
        <v>2705</v>
      </c>
      <c r="AQ91" t="s">
        <v>74</v>
      </c>
      <c r="AR91" t="s">
        <v>74</v>
      </c>
      <c r="AS91" t="s">
        <v>74</v>
      </c>
      <c r="AT91" t="s">
        <v>416</v>
      </c>
      <c r="AU91">
        <v>2019</v>
      </c>
      <c r="AV91">
        <v>55</v>
      </c>
      <c r="AW91">
        <v>2</v>
      </c>
      <c r="AX91" t="s">
        <v>74</v>
      </c>
      <c r="AY91" t="s">
        <v>74</v>
      </c>
      <c r="AZ91" t="s">
        <v>74</v>
      </c>
      <c r="BA91" t="s">
        <v>74</v>
      </c>
      <c r="BB91">
        <v>954</v>
      </c>
      <c r="BC91">
        <v>972</v>
      </c>
      <c r="BD91" t="s">
        <v>74</v>
      </c>
      <c r="BE91" t="s">
        <v>2706</v>
      </c>
      <c r="BF91" t="str">
        <f>HYPERLINK("http://dx.doi.org/10.1029/2018WR024228","http://dx.doi.org/10.1029/2018WR024228")</f>
        <v>http://dx.doi.org/10.1029/2018WR024228</v>
      </c>
      <c r="BG91" t="s">
        <v>74</v>
      </c>
      <c r="BH91" t="s">
        <v>74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 t="s">
        <v>74</v>
      </c>
      <c r="BR91" t="s">
        <v>74</v>
      </c>
      <c r="BS91" t="s">
        <v>2707</v>
      </c>
      <c r="BT91" t="str">
        <f>HYPERLINK("https%3A%2F%2Fwww.webofscience.com%2Fwos%2Fwoscc%2Ffull-record%2FWOS:000461858900006","View Full Record in Web of Science")</f>
        <v>View Full Record in Web of Science</v>
      </c>
    </row>
    <row r="92" spans="1:72" x14ac:dyDescent="0.2">
      <c r="A92" t="s">
        <v>72</v>
      </c>
      <c r="B92" t="s">
        <v>2708</v>
      </c>
      <c r="C92" t="s">
        <v>74</v>
      </c>
      <c r="D92" t="s">
        <v>74</v>
      </c>
      <c r="E92" t="s">
        <v>74</v>
      </c>
      <c r="F92" t="s">
        <v>2709</v>
      </c>
      <c r="G92" t="s">
        <v>74</v>
      </c>
      <c r="H92" t="s">
        <v>74</v>
      </c>
      <c r="I92" t="s">
        <v>2710</v>
      </c>
      <c r="J92" t="s">
        <v>2711</v>
      </c>
      <c r="K92" t="s">
        <v>74</v>
      </c>
      <c r="L92" t="s">
        <v>74</v>
      </c>
      <c r="M92" t="s">
        <v>74</v>
      </c>
      <c r="N92" t="s">
        <v>74</v>
      </c>
      <c r="O92" t="s">
        <v>74</v>
      </c>
      <c r="P92" t="s">
        <v>74</v>
      </c>
      <c r="Q92" t="s">
        <v>74</v>
      </c>
      <c r="R92" t="s">
        <v>74</v>
      </c>
      <c r="S92" t="s">
        <v>74</v>
      </c>
      <c r="T92" t="s">
        <v>74</v>
      </c>
      <c r="U92" t="s">
        <v>74</v>
      </c>
      <c r="V92" t="s">
        <v>74</v>
      </c>
      <c r="W92" t="s">
        <v>74</v>
      </c>
      <c r="X92" t="s">
        <v>74</v>
      </c>
      <c r="Y92" t="s">
        <v>74</v>
      </c>
      <c r="Z92" t="s">
        <v>74</v>
      </c>
      <c r="AA92" t="s">
        <v>74</v>
      </c>
      <c r="AB92" t="s">
        <v>6978</v>
      </c>
      <c r="AC92" t="s">
        <v>74</v>
      </c>
      <c r="AD92" t="s">
        <v>74</v>
      </c>
      <c r="AE92" t="s">
        <v>74</v>
      </c>
      <c r="AF92" t="s">
        <v>74</v>
      </c>
      <c r="AG92" t="s">
        <v>74</v>
      </c>
      <c r="AH92" t="s">
        <v>74</v>
      </c>
      <c r="AI92" t="s">
        <v>74</v>
      </c>
      <c r="AJ92" t="s">
        <v>74</v>
      </c>
      <c r="AK92" t="s">
        <v>74</v>
      </c>
      <c r="AL92" t="s">
        <v>74</v>
      </c>
      <c r="AM92" t="s">
        <v>74</v>
      </c>
      <c r="AN92" t="s">
        <v>74</v>
      </c>
      <c r="AO92" t="s">
        <v>2712</v>
      </c>
      <c r="AP92" t="s">
        <v>2713</v>
      </c>
      <c r="AQ92" t="s">
        <v>74</v>
      </c>
      <c r="AR92" t="s">
        <v>74</v>
      </c>
      <c r="AS92" t="s">
        <v>74</v>
      </c>
      <c r="AT92" t="s">
        <v>74</v>
      </c>
      <c r="AU92">
        <v>2019</v>
      </c>
      <c r="AV92">
        <v>51</v>
      </c>
      <c r="AW92">
        <v>1</v>
      </c>
      <c r="AX92" t="s">
        <v>74</v>
      </c>
      <c r="AY92" t="s">
        <v>74</v>
      </c>
      <c r="AZ92" t="s">
        <v>74</v>
      </c>
      <c r="BA92" t="s">
        <v>74</v>
      </c>
      <c r="BB92">
        <v>327</v>
      </c>
      <c r="BC92">
        <v>345</v>
      </c>
      <c r="BD92" t="s">
        <v>74</v>
      </c>
      <c r="BE92" t="s">
        <v>2714</v>
      </c>
      <c r="BF92" t="str">
        <f>HYPERLINK("http://dx.doi.org/10.1080/15230430.2019.1643210","http://dx.doi.org/10.1080/15230430.2019.1643210")</f>
        <v>http://dx.doi.org/10.1080/15230430.2019.1643210</v>
      </c>
      <c r="BG92" t="s">
        <v>74</v>
      </c>
      <c r="BH92" t="s">
        <v>74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 t="s">
        <v>74</v>
      </c>
      <c r="BO92" t="s">
        <v>74</v>
      </c>
      <c r="BP92" t="s">
        <v>74</v>
      </c>
      <c r="BQ92" t="s">
        <v>74</v>
      </c>
      <c r="BR92" t="s">
        <v>74</v>
      </c>
      <c r="BS92" t="s">
        <v>2715</v>
      </c>
      <c r="BT92" t="str">
        <f>HYPERLINK("https%3A%2F%2Fwww.webofscience.com%2Fwos%2Fwoscc%2Ffull-record%2FWOS:000486105800024","View Full Record in Web of Science")</f>
        <v>View Full Record in Web of Science</v>
      </c>
    </row>
    <row r="93" spans="1:72" x14ac:dyDescent="0.2">
      <c r="A93" t="s">
        <v>72</v>
      </c>
      <c r="B93" t="s">
        <v>2734</v>
      </c>
      <c r="C93" t="s">
        <v>74</v>
      </c>
      <c r="D93" t="s">
        <v>74</v>
      </c>
      <c r="E93" t="s">
        <v>74</v>
      </c>
      <c r="F93" t="s">
        <v>2735</v>
      </c>
      <c r="G93" t="s">
        <v>74</v>
      </c>
      <c r="H93" t="s">
        <v>74</v>
      </c>
      <c r="I93" t="s">
        <v>2736</v>
      </c>
      <c r="J93" t="s">
        <v>2737</v>
      </c>
      <c r="K93" t="s">
        <v>74</v>
      </c>
      <c r="L93" t="s">
        <v>74</v>
      </c>
      <c r="M93" t="s">
        <v>74</v>
      </c>
      <c r="N93" t="s">
        <v>74</v>
      </c>
      <c r="O93" t="s">
        <v>74</v>
      </c>
      <c r="P93" t="s">
        <v>74</v>
      </c>
      <c r="Q93" t="s">
        <v>74</v>
      </c>
      <c r="R93" t="s">
        <v>74</v>
      </c>
      <c r="S93" t="s">
        <v>74</v>
      </c>
      <c r="T93" t="s">
        <v>74</v>
      </c>
      <c r="U93" t="s">
        <v>74</v>
      </c>
      <c r="V93" t="s">
        <v>74</v>
      </c>
      <c r="W93" t="s">
        <v>74</v>
      </c>
      <c r="X93" t="s">
        <v>74</v>
      </c>
      <c r="Y93" t="s">
        <v>74</v>
      </c>
      <c r="Z93" t="s">
        <v>74</v>
      </c>
      <c r="AA93" t="s">
        <v>2738</v>
      </c>
      <c r="AB93" t="s">
        <v>2739</v>
      </c>
      <c r="AC93" t="s">
        <v>74</v>
      </c>
      <c r="AD93" t="s">
        <v>74</v>
      </c>
      <c r="AE93" t="s">
        <v>74</v>
      </c>
      <c r="AF93" t="s">
        <v>74</v>
      </c>
      <c r="AG93" t="s">
        <v>74</v>
      </c>
      <c r="AH93" t="s">
        <v>74</v>
      </c>
      <c r="AI93" t="s">
        <v>74</v>
      </c>
      <c r="AJ93" t="s">
        <v>74</v>
      </c>
      <c r="AK93" t="s">
        <v>74</v>
      </c>
      <c r="AL93" t="s">
        <v>74</v>
      </c>
      <c r="AM93" t="s">
        <v>74</v>
      </c>
      <c r="AN93" t="s">
        <v>74</v>
      </c>
      <c r="AO93" t="s">
        <v>2740</v>
      </c>
      <c r="AP93" t="s">
        <v>2741</v>
      </c>
      <c r="AQ93" t="s">
        <v>74</v>
      </c>
      <c r="AR93" t="s">
        <v>74</v>
      </c>
      <c r="AS93" t="s">
        <v>74</v>
      </c>
      <c r="AT93" t="s">
        <v>315</v>
      </c>
      <c r="AU93">
        <v>2019</v>
      </c>
      <c r="AV93">
        <v>146</v>
      </c>
      <c r="AW93">
        <v>1</v>
      </c>
      <c r="AX93" t="s">
        <v>74</v>
      </c>
      <c r="AY93" t="s">
        <v>74</v>
      </c>
      <c r="AZ93" t="s">
        <v>74</v>
      </c>
      <c r="BA93" t="s">
        <v>74</v>
      </c>
      <c r="BB93">
        <v>105</v>
      </c>
      <c r="BC93">
        <v>111</v>
      </c>
      <c r="BD93" t="s">
        <v>74</v>
      </c>
      <c r="BE93" t="s">
        <v>2742</v>
      </c>
      <c r="BF93" t="str">
        <f>HYPERLINK("http://dx.doi.org/10.1017/S0031182018000963","http://dx.doi.org/10.1017/S0031182018000963")</f>
        <v>http://dx.doi.org/10.1017/S0031182018000963</v>
      </c>
      <c r="BG93" t="s">
        <v>74</v>
      </c>
      <c r="BH93" t="s">
        <v>74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>
        <v>29898802</v>
      </c>
      <c r="BO93" t="s">
        <v>74</v>
      </c>
      <c r="BP93" t="s">
        <v>74</v>
      </c>
      <c r="BQ93" t="s">
        <v>74</v>
      </c>
      <c r="BR93" t="s">
        <v>74</v>
      </c>
      <c r="BS93" t="s">
        <v>2743</v>
      </c>
      <c r="BT93" t="str">
        <f>HYPERLINK("https%3A%2F%2Fwww.webofscience.com%2Fwos%2Fwoscc%2Ffull-record%2FWOS:000455203800009","View Full Record in Web of Science")</f>
        <v>View Full Record in Web of Science</v>
      </c>
    </row>
    <row r="94" spans="1:72" x14ac:dyDescent="0.2">
      <c r="A94" t="s">
        <v>72</v>
      </c>
      <c r="B94" t="s">
        <v>2782</v>
      </c>
      <c r="C94" t="s">
        <v>74</v>
      </c>
      <c r="D94" t="s">
        <v>74</v>
      </c>
      <c r="E94" t="s">
        <v>74</v>
      </c>
      <c r="F94" t="s">
        <v>2783</v>
      </c>
      <c r="G94" t="s">
        <v>74</v>
      </c>
      <c r="H94" t="s">
        <v>74</v>
      </c>
      <c r="I94" t="s">
        <v>2784</v>
      </c>
      <c r="J94" t="s">
        <v>596</v>
      </c>
      <c r="K94" t="s">
        <v>74</v>
      </c>
      <c r="L94" t="s">
        <v>74</v>
      </c>
      <c r="M94" t="s">
        <v>74</v>
      </c>
      <c r="N94" t="s">
        <v>74</v>
      </c>
      <c r="O94" t="s">
        <v>74</v>
      </c>
      <c r="P94" t="s">
        <v>74</v>
      </c>
      <c r="Q94" t="s">
        <v>74</v>
      </c>
      <c r="R94" t="s">
        <v>74</v>
      </c>
      <c r="S94" t="s">
        <v>74</v>
      </c>
      <c r="T94" t="s">
        <v>74</v>
      </c>
      <c r="U94" t="s">
        <v>74</v>
      </c>
      <c r="V94" t="s">
        <v>74</v>
      </c>
      <c r="W94" t="s">
        <v>74</v>
      </c>
      <c r="X94" t="s">
        <v>74</v>
      </c>
      <c r="Y94" t="s">
        <v>74</v>
      </c>
      <c r="Z94" t="s">
        <v>74</v>
      </c>
      <c r="AA94" t="s">
        <v>74</v>
      </c>
      <c r="AB94" t="s">
        <v>2785</v>
      </c>
      <c r="AC94" t="s">
        <v>74</v>
      </c>
      <c r="AD94" t="s">
        <v>74</v>
      </c>
      <c r="AE94" t="s">
        <v>74</v>
      </c>
      <c r="AF94" t="s">
        <v>74</v>
      </c>
      <c r="AG94" t="s">
        <v>74</v>
      </c>
      <c r="AH94" t="s">
        <v>74</v>
      </c>
      <c r="AI94" t="s">
        <v>74</v>
      </c>
      <c r="AJ94" t="s">
        <v>74</v>
      </c>
      <c r="AK94" t="s">
        <v>74</v>
      </c>
      <c r="AL94" t="s">
        <v>74</v>
      </c>
      <c r="AM94" t="s">
        <v>74</v>
      </c>
      <c r="AN94" t="s">
        <v>74</v>
      </c>
      <c r="AO94" t="s">
        <v>597</v>
      </c>
      <c r="AP94" t="s">
        <v>74</v>
      </c>
      <c r="AQ94" t="s">
        <v>74</v>
      </c>
      <c r="AR94" t="s">
        <v>74</v>
      </c>
      <c r="AS94" t="s">
        <v>74</v>
      </c>
      <c r="AT94" t="s">
        <v>82</v>
      </c>
      <c r="AU94">
        <v>2018</v>
      </c>
      <c r="AV94">
        <v>9</v>
      </c>
      <c r="AW94">
        <v>12</v>
      </c>
      <c r="AX94" t="s">
        <v>74</v>
      </c>
      <c r="AY94" t="s">
        <v>74</v>
      </c>
      <c r="AZ94" t="s">
        <v>74</v>
      </c>
      <c r="BA94" t="s">
        <v>74</v>
      </c>
      <c r="BB94" t="s">
        <v>74</v>
      </c>
      <c r="BC94" t="s">
        <v>74</v>
      </c>
      <c r="BD94" t="s">
        <v>2786</v>
      </c>
      <c r="BE94" t="s">
        <v>2787</v>
      </c>
      <c r="BF94" t="str">
        <f>HYPERLINK("http://dx.doi.org/10.1002/ecs2.2537","http://dx.doi.org/10.1002/ecs2.2537")</f>
        <v>http://dx.doi.org/10.1002/ecs2.2537</v>
      </c>
      <c r="BG94" t="s">
        <v>74</v>
      </c>
      <c r="BH94" t="s">
        <v>74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 t="s">
        <v>74</v>
      </c>
      <c r="BR94" t="s">
        <v>74</v>
      </c>
      <c r="BS94" t="s">
        <v>2788</v>
      </c>
      <c r="BT94" t="str">
        <f>HYPERLINK("https%3A%2F%2Fwww.webofscience.com%2Fwos%2Fwoscc%2Ffull-record%2FWOS:000454308600014","View Full Record in Web of Science")</f>
        <v>View Full Record in Web of Science</v>
      </c>
    </row>
    <row r="95" spans="1:72" x14ac:dyDescent="0.2">
      <c r="A95" t="s">
        <v>72</v>
      </c>
      <c r="B95" t="s">
        <v>2965</v>
      </c>
      <c r="C95" t="s">
        <v>74</v>
      </c>
      <c r="D95" t="s">
        <v>74</v>
      </c>
      <c r="E95" t="s">
        <v>74</v>
      </c>
      <c r="F95" t="s">
        <v>2966</v>
      </c>
      <c r="G95" t="s">
        <v>74</v>
      </c>
      <c r="H95" t="s">
        <v>74</v>
      </c>
      <c r="I95" t="s">
        <v>2967</v>
      </c>
      <c r="J95" t="s">
        <v>124</v>
      </c>
      <c r="K95" t="s">
        <v>74</v>
      </c>
      <c r="L95" t="s">
        <v>74</v>
      </c>
      <c r="M95" t="s">
        <v>74</v>
      </c>
      <c r="N95" t="s">
        <v>74</v>
      </c>
      <c r="O95" t="s">
        <v>74</v>
      </c>
      <c r="P95" t="s">
        <v>74</v>
      </c>
      <c r="Q95" t="s">
        <v>74</v>
      </c>
      <c r="R95" t="s">
        <v>74</v>
      </c>
      <c r="S95" t="s">
        <v>74</v>
      </c>
      <c r="T95" t="s">
        <v>74</v>
      </c>
      <c r="U95" t="s">
        <v>74</v>
      </c>
      <c r="V95" t="s">
        <v>74</v>
      </c>
      <c r="W95" t="s">
        <v>74</v>
      </c>
      <c r="X95" t="s">
        <v>74</v>
      </c>
      <c r="Y95" t="s">
        <v>74</v>
      </c>
      <c r="Z95" t="s">
        <v>74</v>
      </c>
      <c r="AA95" t="s">
        <v>2968</v>
      </c>
      <c r="AB95" t="s">
        <v>6993</v>
      </c>
      <c r="AC95" t="s">
        <v>74</v>
      </c>
      <c r="AD95" t="s">
        <v>74</v>
      </c>
      <c r="AE95" t="s">
        <v>74</v>
      </c>
      <c r="AF95" t="s">
        <v>74</v>
      </c>
      <c r="AG95" t="s">
        <v>74</v>
      </c>
      <c r="AH95" t="s">
        <v>74</v>
      </c>
      <c r="AI95" t="s">
        <v>74</v>
      </c>
      <c r="AJ95" t="s">
        <v>74</v>
      </c>
      <c r="AK95" t="s">
        <v>74</v>
      </c>
      <c r="AL95" t="s">
        <v>74</v>
      </c>
      <c r="AM95" t="s">
        <v>74</v>
      </c>
      <c r="AN95" t="s">
        <v>74</v>
      </c>
      <c r="AO95" t="s">
        <v>127</v>
      </c>
      <c r="AP95" t="s">
        <v>128</v>
      </c>
      <c r="AQ95" t="s">
        <v>74</v>
      </c>
      <c r="AR95" t="s">
        <v>74</v>
      </c>
      <c r="AS95" t="s">
        <v>74</v>
      </c>
      <c r="AT95" t="s">
        <v>624</v>
      </c>
      <c r="AU95">
        <v>2018</v>
      </c>
      <c r="AV95">
        <v>816</v>
      </c>
      <c r="AW95">
        <v>1</v>
      </c>
      <c r="AX95" t="s">
        <v>74</v>
      </c>
      <c r="AY95" t="s">
        <v>74</v>
      </c>
      <c r="AZ95" t="s">
        <v>74</v>
      </c>
      <c r="BA95" t="s">
        <v>74</v>
      </c>
      <c r="BB95">
        <v>61</v>
      </c>
      <c r="BC95">
        <v>77</v>
      </c>
      <c r="BD95" t="s">
        <v>74</v>
      </c>
      <c r="BE95" t="s">
        <v>2969</v>
      </c>
      <c r="BF95" t="str">
        <f>HYPERLINK("http://dx.doi.org/10.1007/s10750-017-3272-6","http://dx.doi.org/10.1007/s10750-017-3272-6")</f>
        <v>http://dx.doi.org/10.1007/s10750-017-3272-6</v>
      </c>
      <c r="BG95" t="s">
        <v>74</v>
      </c>
      <c r="BH95" t="s">
        <v>74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 t="s">
        <v>74</v>
      </c>
      <c r="BO95" t="s">
        <v>74</v>
      </c>
      <c r="BP95" t="s">
        <v>74</v>
      </c>
      <c r="BQ95" t="s">
        <v>74</v>
      </c>
      <c r="BR95" t="s">
        <v>74</v>
      </c>
      <c r="BS95" t="s">
        <v>2970</v>
      </c>
      <c r="BT95" t="str">
        <f>HYPERLINK("https%3A%2F%2Fwww.webofscience.com%2Fwos%2Fwoscc%2Ffull-record%2FWOS:000431398300006","View Full Record in Web of Science")</f>
        <v>View Full Record in Web of Science</v>
      </c>
    </row>
    <row r="96" spans="1:72" x14ac:dyDescent="0.2">
      <c r="A96" t="s">
        <v>72</v>
      </c>
      <c r="B96" t="s">
        <v>2971</v>
      </c>
      <c r="C96" t="s">
        <v>74</v>
      </c>
      <c r="D96" t="s">
        <v>74</v>
      </c>
      <c r="E96" t="s">
        <v>74</v>
      </c>
      <c r="F96" t="s">
        <v>2972</v>
      </c>
      <c r="G96" t="s">
        <v>74</v>
      </c>
      <c r="H96" t="s">
        <v>74</v>
      </c>
      <c r="I96" t="s">
        <v>2973</v>
      </c>
      <c r="J96" t="s">
        <v>1523</v>
      </c>
      <c r="K96" t="s">
        <v>74</v>
      </c>
      <c r="L96" t="s">
        <v>74</v>
      </c>
      <c r="M96" t="s">
        <v>74</v>
      </c>
      <c r="N96" t="s">
        <v>74</v>
      </c>
      <c r="O96" t="s">
        <v>74</v>
      </c>
      <c r="P96" t="s">
        <v>74</v>
      </c>
      <c r="Q96" t="s">
        <v>74</v>
      </c>
      <c r="R96" t="s">
        <v>74</v>
      </c>
      <c r="S96" t="s">
        <v>74</v>
      </c>
      <c r="T96" t="s">
        <v>74</v>
      </c>
      <c r="U96" t="s">
        <v>74</v>
      </c>
      <c r="V96" t="s">
        <v>74</v>
      </c>
      <c r="W96" t="s">
        <v>74</v>
      </c>
      <c r="X96" t="s">
        <v>74</v>
      </c>
      <c r="Y96" t="s">
        <v>74</v>
      </c>
      <c r="Z96" t="s">
        <v>74</v>
      </c>
      <c r="AA96" t="s">
        <v>6994</v>
      </c>
      <c r="AB96" t="s">
        <v>2974</v>
      </c>
      <c r="AC96" t="s">
        <v>74</v>
      </c>
      <c r="AD96" t="s">
        <v>74</v>
      </c>
      <c r="AE96" t="s">
        <v>74</v>
      </c>
      <c r="AF96" t="s">
        <v>74</v>
      </c>
      <c r="AG96" t="s">
        <v>74</v>
      </c>
      <c r="AH96" t="s">
        <v>74</v>
      </c>
      <c r="AI96" t="s">
        <v>74</v>
      </c>
      <c r="AJ96" t="s">
        <v>74</v>
      </c>
      <c r="AK96" t="s">
        <v>74</v>
      </c>
      <c r="AL96" t="s">
        <v>74</v>
      </c>
      <c r="AM96" t="s">
        <v>74</v>
      </c>
      <c r="AN96" t="s">
        <v>74</v>
      </c>
      <c r="AO96" t="s">
        <v>1524</v>
      </c>
      <c r="AP96" t="s">
        <v>1525</v>
      </c>
      <c r="AQ96" t="s">
        <v>74</v>
      </c>
      <c r="AR96" t="s">
        <v>74</v>
      </c>
      <c r="AS96" t="s">
        <v>74</v>
      </c>
      <c r="AT96" t="s">
        <v>569</v>
      </c>
      <c r="AU96">
        <v>2018</v>
      </c>
      <c r="AV96">
        <v>99</v>
      </c>
      <c r="AW96">
        <v>6</v>
      </c>
      <c r="AX96" t="s">
        <v>74</v>
      </c>
      <c r="AY96" t="s">
        <v>74</v>
      </c>
      <c r="AZ96" t="s">
        <v>74</v>
      </c>
      <c r="BA96" t="s">
        <v>74</v>
      </c>
      <c r="BB96">
        <v>1463</v>
      </c>
      <c r="BC96">
        <v>1472</v>
      </c>
      <c r="BD96" t="s">
        <v>74</v>
      </c>
      <c r="BE96" t="s">
        <v>2975</v>
      </c>
      <c r="BF96" t="str">
        <f>HYPERLINK("http://dx.doi.org/10.1002/ecy.2347","http://dx.doi.org/10.1002/ecy.2347")</f>
        <v>http://dx.doi.org/10.1002/ecy.2347</v>
      </c>
      <c r="BG96" t="s">
        <v>74</v>
      </c>
      <c r="BH96" t="s">
        <v>74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>
        <v>29856494</v>
      </c>
      <c r="BO96" t="s">
        <v>74</v>
      </c>
      <c r="BP96" t="s">
        <v>74</v>
      </c>
      <c r="BQ96" t="s">
        <v>74</v>
      </c>
      <c r="BR96" t="s">
        <v>74</v>
      </c>
      <c r="BS96" t="s">
        <v>2976</v>
      </c>
      <c r="BT96" t="str">
        <f>HYPERLINK("https%3A%2F%2Fwww.webofscience.com%2Fwos%2Fwoscc%2Ffull-record%2FWOS:000434094400021","View Full Record in Web of Science")</f>
        <v>View Full Record in Web of Science</v>
      </c>
    </row>
    <row r="97" spans="1:72" x14ac:dyDescent="0.2">
      <c r="A97" t="s">
        <v>72</v>
      </c>
      <c r="B97" t="s">
        <v>2987</v>
      </c>
      <c r="C97" t="s">
        <v>74</v>
      </c>
      <c r="D97" t="s">
        <v>74</v>
      </c>
      <c r="E97" t="s">
        <v>74</v>
      </c>
      <c r="F97" t="s">
        <v>2988</v>
      </c>
      <c r="G97" t="s">
        <v>74</v>
      </c>
      <c r="H97" t="s">
        <v>74</v>
      </c>
      <c r="I97" t="s">
        <v>2989</v>
      </c>
      <c r="J97" t="s">
        <v>2990</v>
      </c>
      <c r="K97" t="s">
        <v>74</v>
      </c>
      <c r="L97" t="s">
        <v>74</v>
      </c>
      <c r="M97" t="s">
        <v>74</v>
      </c>
      <c r="N97" t="s">
        <v>74</v>
      </c>
      <c r="O97" t="s">
        <v>74</v>
      </c>
      <c r="P97" t="s">
        <v>74</v>
      </c>
      <c r="Q97" t="s">
        <v>74</v>
      </c>
      <c r="R97" t="s">
        <v>74</v>
      </c>
      <c r="S97" t="s">
        <v>74</v>
      </c>
      <c r="T97" t="s">
        <v>74</v>
      </c>
      <c r="U97" t="s">
        <v>74</v>
      </c>
      <c r="V97" t="s">
        <v>74</v>
      </c>
      <c r="W97" t="s">
        <v>74</v>
      </c>
      <c r="X97" t="s">
        <v>74</v>
      </c>
      <c r="Y97" t="s">
        <v>74</v>
      </c>
      <c r="Z97" t="s">
        <v>74</v>
      </c>
      <c r="AA97" t="s">
        <v>2991</v>
      </c>
      <c r="AB97" t="s">
        <v>2992</v>
      </c>
      <c r="AC97" t="s">
        <v>74</v>
      </c>
      <c r="AD97" t="s">
        <v>74</v>
      </c>
      <c r="AE97" t="s">
        <v>74</v>
      </c>
      <c r="AF97" t="s">
        <v>74</v>
      </c>
      <c r="AG97" t="s">
        <v>74</v>
      </c>
      <c r="AH97" t="s">
        <v>74</v>
      </c>
      <c r="AI97" t="s">
        <v>74</v>
      </c>
      <c r="AJ97" t="s">
        <v>74</v>
      </c>
      <c r="AK97" t="s">
        <v>74</v>
      </c>
      <c r="AL97" t="s">
        <v>74</v>
      </c>
      <c r="AM97" t="s">
        <v>74</v>
      </c>
      <c r="AN97" t="s">
        <v>74</v>
      </c>
      <c r="AO97" t="s">
        <v>2993</v>
      </c>
      <c r="AP97" t="s">
        <v>2994</v>
      </c>
      <c r="AQ97" t="s">
        <v>74</v>
      </c>
      <c r="AR97" t="s">
        <v>74</v>
      </c>
      <c r="AS97" t="s">
        <v>74</v>
      </c>
      <c r="AT97" t="s">
        <v>575</v>
      </c>
      <c r="AU97">
        <v>2018</v>
      </c>
      <c r="AV97">
        <v>21</v>
      </c>
      <c r="AW97">
        <v>5</v>
      </c>
      <c r="AX97" t="s">
        <v>74</v>
      </c>
      <c r="AY97" t="s">
        <v>74</v>
      </c>
      <c r="AZ97" t="s">
        <v>74</v>
      </c>
      <c r="BA97" t="s">
        <v>74</v>
      </c>
      <c r="BB97">
        <v>655</v>
      </c>
      <c r="BC97">
        <v>664</v>
      </c>
      <c r="BD97" t="s">
        <v>74</v>
      </c>
      <c r="BE97" t="s">
        <v>2995</v>
      </c>
      <c r="BF97" t="str">
        <f>HYPERLINK("http://dx.doi.org/10.1111/ele.12932","http://dx.doi.org/10.1111/ele.12932")</f>
        <v>http://dx.doi.org/10.1111/ele.12932</v>
      </c>
      <c r="BG97" t="s">
        <v>74</v>
      </c>
      <c r="BH97" t="s">
        <v>74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>
        <v>29575658</v>
      </c>
      <c r="BO97" t="s">
        <v>74</v>
      </c>
      <c r="BP97" t="s">
        <v>74</v>
      </c>
      <c r="BQ97" t="s">
        <v>74</v>
      </c>
      <c r="BR97" t="s">
        <v>74</v>
      </c>
      <c r="BS97" t="s">
        <v>2996</v>
      </c>
      <c r="BT97" t="str">
        <f>HYPERLINK("https%3A%2F%2Fwww.webofscience.com%2Fwos%2Fwoscc%2Ffull-record%2FWOS:000430120400006","View Full Record in Web of Science")</f>
        <v>View Full Record in Web of Science</v>
      </c>
    </row>
    <row r="98" spans="1:72" x14ac:dyDescent="0.2">
      <c r="A98" t="s">
        <v>72</v>
      </c>
      <c r="B98" t="s">
        <v>3020</v>
      </c>
      <c r="C98" t="s">
        <v>74</v>
      </c>
      <c r="D98" t="s">
        <v>74</v>
      </c>
      <c r="E98" t="s">
        <v>74</v>
      </c>
      <c r="F98" t="s">
        <v>3021</v>
      </c>
      <c r="G98" t="s">
        <v>74</v>
      </c>
      <c r="H98" t="s">
        <v>74</v>
      </c>
      <c r="I98" t="s">
        <v>3022</v>
      </c>
      <c r="J98" t="s">
        <v>958</v>
      </c>
      <c r="K98" t="s">
        <v>74</v>
      </c>
      <c r="L98" t="s">
        <v>74</v>
      </c>
      <c r="M98" t="s">
        <v>74</v>
      </c>
      <c r="N98" t="s">
        <v>74</v>
      </c>
      <c r="O98" t="s">
        <v>74</v>
      </c>
      <c r="P98" t="s">
        <v>74</v>
      </c>
      <c r="Q98" t="s">
        <v>74</v>
      </c>
      <c r="R98" t="s">
        <v>74</v>
      </c>
      <c r="S98" t="s">
        <v>74</v>
      </c>
      <c r="T98" t="s">
        <v>74</v>
      </c>
      <c r="U98" t="s">
        <v>74</v>
      </c>
      <c r="V98" t="s">
        <v>74</v>
      </c>
      <c r="W98" t="s">
        <v>74</v>
      </c>
      <c r="X98" t="s">
        <v>74</v>
      </c>
      <c r="Y98" t="s">
        <v>74</v>
      </c>
      <c r="Z98" t="s">
        <v>74</v>
      </c>
      <c r="AA98" t="s">
        <v>74</v>
      </c>
      <c r="AB98" t="s">
        <v>3023</v>
      </c>
      <c r="AC98" t="s">
        <v>74</v>
      </c>
      <c r="AD98" t="s">
        <v>74</v>
      </c>
      <c r="AE98" t="s">
        <v>74</v>
      </c>
      <c r="AF98" t="s">
        <v>74</v>
      </c>
      <c r="AG98" t="s">
        <v>74</v>
      </c>
      <c r="AH98" t="s">
        <v>74</v>
      </c>
      <c r="AI98" t="s">
        <v>74</v>
      </c>
      <c r="AJ98" t="s">
        <v>74</v>
      </c>
      <c r="AK98" t="s">
        <v>74</v>
      </c>
      <c r="AL98" t="s">
        <v>74</v>
      </c>
      <c r="AM98" t="s">
        <v>74</v>
      </c>
      <c r="AN98" t="s">
        <v>74</v>
      </c>
      <c r="AO98" t="s">
        <v>959</v>
      </c>
      <c r="AP98" t="s">
        <v>74</v>
      </c>
      <c r="AQ98" t="s">
        <v>74</v>
      </c>
      <c r="AR98" t="s">
        <v>74</v>
      </c>
      <c r="AS98" t="s">
        <v>74</v>
      </c>
      <c r="AT98" t="s">
        <v>3024</v>
      </c>
      <c r="AU98">
        <v>2018</v>
      </c>
      <c r="AV98">
        <v>6</v>
      </c>
      <c r="AW98" t="s">
        <v>74</v>
      </c>
      <c r="AX98" t="s">
        <v>74</v>
      </c>
      <c r="AY98" t="s">
        <v>74</v>
      </c>
      <c r="AZ98" t="s">
        <v>74</v>
      </c>
      <c r="BA98" t="s">
        <v>74</v>
      </c>
      <c r="BB98" t="s">
        <v>74</v>
      </c>
      <c r="BC98" t="s">
        <v>74</v>
      </c>
      <c r="BD98" t="s">
        <v>3025</v>
      </c>
      <c r="BE98" t="s">
        <v>3026</v>
      </c>
      <c r="BF98" t="str">
        <f>HYPERLINK("http://dx.doi.org/10.7717/peerj.4601","http://dx.doi.org/10.7717/peerj.4601")</f>
        <v>http://dx.doi.org/10.7717/peerj.4601</v>
      </c>
      <c r="BG98" t="s">
        <v>74</v>
      </c>
      <c r="BH98" t="s">
        <v>74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>
        <v>29686944</v>
      </c>
      <c r="BO98" t="s">
        <v>74</v>
      </c>
      <c r="BP98" t="s">
        <v>74</v>
      </c>
      <c r="BQ98" t="s">
        <v>74</v>
      </c>
      <c r="BR98" t="s">
        <v>74</v>
      </c>
      <c r="BS98" t="s">
        <v>3027</v>
      </c>
      <c r="BT98" t="str">
        <f>HYPERLINK("https%3A%2F%2Fwww.webofscience.com%2Fwos%2Fwoscc%2Ffull-record%2FWOS:000430409900003","View Full Record in Web of Science")</f>
        <v>View Full Record in Web of Science</v>
      </c>
    </row>
    <row r="99" spans="1:72" x14ac:dyDescent="0.2">
      <c r="A99" t="s">
        <v>72</v>
      </c>
      <c r="B99" t="s">
        <v>3040</v>
      </c>
      <c r="C99" t="s">
        <v>74</v>
      </c>
      <c r="D99" t="s">
        <v>74</v>
      </c>
      <c r="E99" t="s">
        <v>74</v>
      </c>
      <c r="F99" t="s">
        <v>3041</v>
      </c>
      <c r="G99" t="s">
        <v>74</v>
      </c>
      <c r="H99" t="s">
        <v>74</v>
      </c>
      <c r="I99" t="s">
        <v>3042</v>
      </c>
      <c r="J99" t="s">
        <v>180</v>
      </c>
      <c r="K99" t="s">
        <v>74</v>
      </c>
      <c r="L99" t="s">
        <v>74</v>
      </c>
      <c r="M99" t="s">
        <v>74</v>
      </c>
      <c r="N99" t="s">
        <v>74</v>
      </c>
      <c r="O99" t="s">
        <v>74</v>
      </c>
      <c r="P99" t="s">
        <v>74</v>
      </c>
      <c r="Q99" t="s">
        <v>74</v>
      </c>
      <c r="R99" t="s">
        <v>74</v>
      </c>
      <c r="S99" t="s">
        <v>74</v>
      </c>
      <c r="T99" t="s">
        <v>74</v>
      </c>
      <c r="U99" t="s">
        <v>74</v>
      </c>
      <c r="V99" t="s">
        <v>74</v>
      </c>
      <c r="W99" t="s">
        <v>74</v>
      </c>
      <c r="X99" t="s">
        <v>74</v>
      </c>
      <c r="Y99" t="s">
        <v>74</v>
      </c>
      <c r="Z99" t="s">
        <v>74</v>
      </c>
      <c r="AA99" t="s">
        <v>3043</v>
      </c>
      <c r="AB99" t="s">
        <v>3044</v>
      </c>
      <c r="AC99" t="s">
        <v>74</v>
      </c>
      <c r="AD99" t="s">
        <v>74</v>
      </c>
      <c r="AE99" t="s">
        <v>74</v>
      </c>
      <c r="AF99" t="s">
        <v>74</v>
      </c>
      <c r="AG99" t="s">
        <v>74</v>
      </c>
      <c r="AH99" t="s">
        <v>74</v>
      </c>
      <c r="AI99" t="s">
        <v>74</v>
      </c>
      <c r="AJ99" t="s">
        <v>74</v>
      </c>
      <c r="AK99" t="s">
        <v>74</v>
      </c>
      <c r="AL99" t="s">
        <v>74</v>
      </c>
      <c r="AM99" t="s">
        <v>74</v>
      </c>
      <c r="AN99" t="s">
        <v>74</v>
      </c>
      <c r="AO99" t="s">
        <v>182</v>
      </c>
      <c r="AP99" t="s">
        <v>183</v>
      </c>
      <c r="AQ99" t="s">
        <v>74</v>
      </c>
      <c r="AR99" t="s">
        <v>74</v>
      </c>
      <c r="AS99" t="s">
        <v>74</v>
      </c>
      <c r="AT99" t="s">
        <v>203</v>
      </c>
      <c r="AU99">
        <v>2018</v>
      </c>
      <c r="AV99">
        <v>127</v>
      </c>
      <c r="AW99">
        <v>4</v>
      </c>
      <c r="AX99" t="s">
        <v>74</v>
      </c>
      <c r="AY99" t="s">
        <v>74</v>
      </c>
      <c r="AZ99" t="s">
        <v>74</v>
      </c>
      <c r="BA99" t="s">
        <v>74</v>
      </c>
      <c r="BB99">
        <v>507</v>
      </c>
      <c r="BC99">
        <v>517</v>
      </c>
      <c r="BD99" t="s">
        <v>74</v>
      </c>
      <c r="BE99" t="s">
        <v>3045</v>
      </c>
      <c r="BF99" t="str">
        <f>HYPERLINK("http://dx.doi.org/10.1111/oik.04590","http://dx.doi.org/10.1111/oik.04590")</f>
        <v>http://dx.doi.org/10.1111/oik.04590</v>
      </c>
      <c r="BG99" t="s">
        <v>74</v>
      </c>
      <c r="BH99" t="s">
        <v>74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 t="s">
        <v>74</v>
      </c>
      <c r="BR99" t="s">
        <v>74</v>
      </c>
      <c r="BS99" t="s">
        <v>3046</v>
      </c>
      <c r="BT99" t="str">
        <f>HYPERLINK("https%3A%2F%2Fwww.webofscience.com%2Fwos%2Fwoscc%2Ffull-record%2FWOS:000429006200003","View Full Record in Web of Science")</f>
        <v>View Full Record in Web of Science</v>
      </c>
    </row>
    <row r="100" spans="1:72" x14ac:dyDescent="0.2">
      <c r="A100" t="s">
        <v>72</v>
      </c>
      <c r="B100" t="s">
        <v>3064</v>
      </c>
      <c r="C100" t="s">
        <v>74</v>
      </c>
      <c r="D100" t="s">
        <v>74</v>
      </c>
      <c r="E100" t="s">
        <v>74</v>
      </c>
      <c r="F100" t="s">
        <v>3065</v>
      </c>
      <c r="G100" t="s">
        <v>74</v>
      </c>
      <c r="H100" t="s">
        <v>74</v>
      </c>
      <c r="I100" t="s">
        <v>3066</v>
      </c>
      <c r="J100" t="s">
        <v>733</v>
      </c>
      <c r="K100" t="s">
        <v>74</v>
      </c>
      <c r="L100" t="s">
        <v>74</v>
      </c>
      <c r="M100" t="s">
        <v>74</v>
      </c>
      <c r="N100" t="s">
        <v>74</v>
      </c>
      <c r="O100" t="s">
        <v>74</v>
      </c>
      <c r="P100" t="s">
        <v>74</v>
      </c>
      <c r="Q100" t="s">
        <v>74</v>
      </c>
      <c r="R100" t="s">
        <v>74</v>
      </c>
      <c r="S100" t="s">
        <v>74</v>
      </c>
      <c r="T100" t="s">
        <v>74</v>
      </c>
      <c r="U100" t="s">
        <v>74</v>
      </c>
      <c r="V100" t="s">
        <v>74</v>
      </c>
      <c r="W100" t="s">
        <v>74</v>
      </c>
      <c r="X100" t="s">
        <v>74</v>
      </c>
      <c r="Y100" t="s">
        <v>74</v>
      </c>
      <c r="Z100" t="s">
        <v>74</v>
      </c>
      <c r="AA100" t="s">
        <v>3067</v>
      </c>
      <c r="AB100" t="s">
        <v>3068</v>
      </c>
      <c r="AC100" t="s">
        <v>74</v>
      </c>
      <c r="AD100" t="s">
        <v>74</v>
      </c>
      <c r="AE100" t="s">
        <v>74</v>
      </c>
      <c r="AF100" t="s">
        <v>74</v>
      </c>
      <c r="AG100" t="s">
        <v>74</v>
      </c>
      <c r="AH100" t="s">
        <v>74</v>
      </c>
      <c r="AI100" t="s">
        <v>74</v>
      </c>
      <c r="AJ100" t="s">
        <v>74</v>
      </c>
      <c r="AK100" t="s">
        <v>74</v>
      </c>
      <c r="AL100" t="s">
        <v>74</v>
      </c>
      <c r="AM100" t="s">
        <v>74</v>
      </c>
      <c r="AN100" t="s">
        <v>74</v>
      </c>
      <c r="AO100" t="s">
        <v>734</v>
      </c>
      <c r="AP100" t="s">
        <v>74</v>
      </c>
      <c r="AQ100" t="s">
        <v>74</v>
      </c>
      <c r="AR100" t="s">
        <v>74</v>
      </c>
      <c r="AS100" t="s">
        <v>74</v>
      </c>
      <c r="AT100" t="s">
        <v>3069</v>
      </c>
      <c r="AU100">
        <v>2018</v>
      </c>
      <c r="AV100">
        <v>6</v>
      </c>
      <c r="AW100" t="s">
        <v>74</v>
      </c>
      <c r="AX100" t="s">
        <v>74</v>
      </c>
      <c r="AY100" t="s">
        <v>74</v>
      </c>
      <c r="AZ100" t="s">
        <v>74</v>
      </c>
      <c r="BA100" t="s">
        <v>74</v>
      </c>
      <c r="BB100" t="s">
        <v>74</v>
      </c>
      <c r="BC100" t="s">
        <v>74</v>
      </c>
      <c r="BD100">
        <v>26</v>
      </c>
      <c r="BE100" t="s">
        <v>3070</v>
      </c>
      <c r="BF100" t="str">
        <f>HYPERLINK("http://dx.doi.org/10.3389/fevo.2018.00026","http://dx.doi.org/10.3389/fevo.2018.00026")</f>
        <v>http://dx.doi.org/10.3389/fevo.2018.00026</v>
      </c>
      <c r="BG100" t="s">
        <v>74</v>
      </c>
      <c r="BH100" t="s">
        <v>74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 t="s">
        <v>74</v>
      </c>
      <c r="BR100" t="s">
        <v>74</v>
      </c>
      <c r="BS100" t="s">
        <v>3071</v>
      </c>
      <c r="BT100" t="str">
        <f>HYPERLINK("https%3A%2F%2Fwww.webofscience.com%2Fwos%2Fwoscc%2Ffull-record%2FWOS:000451615900002","View Full Record in Web of Science")</f>
        <v>View Full Record in Web of Science</v>
      </c>
    </row>
    <row r="101" spans="1:72" x14ac:dyDescent="0.2">
      <c r="A101" t="s">
        <v>72</v>
      </c>
      <c r="B101" t="s">
        <v>3175</v>
      </c>
      <c r="C101" t="s">
        <v>74</v>
      </c>
      <c r="D101" t="s">
        <v>74</v>
      </c>
      <c r="E101" t="s">
        <v>74</v>
      </c>
      <c r="F101" t="s">
        <v>3176</v>
      </c>
      <c r="G101" t="s">
        <v>74</v>
      </c>
      <c r="H101" t="s">
        <v>74</v>
      </c>
      <c r="I101" t="s">
        <v>3177</v>
      </c>
      <c r="J101" t="s">
        <v>836</v>
      </c>
      <c r="K101" t="s">
        <v>74</v>
      </c>
      <c r="L101" t="s">
        <v>74</v>
      </c>
      <c r="M101" t="s">
        <v>74</v>
      </c>
      <c r="N101" t="s">
        <v>74</v>
      </c>
      <c r="O101" t="s">
        <v>74</v>
      </c>
      <c r="P101" t="s">
        <v>74</v>
      </c>
      <c r="Q101" t="s">
        <v>74</v>
      </c>
      <c r="R101" t="s">
        <v>74</v>
      </c>
      <c r="S101" t="s">
        <v>74</v>
      </c>
      <c r="T101" t="s">
        <v>74</v>
      </c>
      <c r="U101" t="s">
        <v>74</v>
      </c>
      <c r="V101" t="s">
        <v>74</v>
      </c>
      <c r="W101" t="s">
        <v>74</v>
      </c>
      <c r="X101" t="s">
        <v>74</v>
      </c>
      <c r="Y101" t="s">
        <v>74</v>
      </c>
      <c r="Z101" t="s">
        <v>74</v>
      </c>
      <c r="AA101" t="s">
        <v>3178</v>
      </c>
      <c r="AB101" t="s">
        <v>3179</v>
      </c>
      <c r="AC101" t="s">
        <v>74</v>
      </c>
      <c r="AD101" t="s">
        <v>74</v>
      </c>
      <c r="AE101" t="s">
        <v>74</v>
      </c>
      <c r="AF101" t="s">
        <v>74</v>
      </c>
      <c r="AG101" t="s">
        <v>74</v>
      </c>
      <c r="AH101" t="s">
        <v>74</v>
      </c>
      <c r="AI101" t="s">
        <v>74</v>
      </c>
      <c r="AJ101" t="s">
        <v>74</v>
      </c>
      <c r="AK101" t="s">
        <v>74</v>
      </c>
      <c r="AL101" t="s">
        <v>74</v>
      </c>
      <c r="AM101" t="s">
        <v>74</v>
      </c>
      <c r="AN101" t="s">
        <v>74</v>
      </c>
      <c r="AO101" t="s">
        <v>837</v>
      </c>
      <c r="AP101" t="s">
        <v>838</v>
      </c>
      <c r="AQ101" t="s">
        <v>74</v>
      </c>
      <c r="AR101" t="s">
        <v>74</v>
      </c>
      <c r="AS101" t="s">
        <v>74</v>
      </c>
      <c r="AT101" t="s">
        <v>82</v>
      </c>
      <c r="AU101">
        <v>2017</v>
      </c>
      <c r="AV101">
        <v>70</v>
      </c>
      <c r="AW101" t="s">
        <v>74</v>
      </c>
      <c r="AX101" t="s">
        <v>74</v>
      </c>
      <c r="AY101" t="s">
        <v>74</v>
      </c>
      <c r="AZ101" t="s">
        <v>74</v>
      </c>
      <c r="BA101" t="s">
        <v>74</v>
      </c>
      <c r="BB101">
        <v>23</v>
      </c>
      <c r="BC101">
        <v>36</v>
      </c>
      <c r="BD101" t="s">
        <v>74</v>
      </c>
      <c r="BE101" t="s">
        <v>3180</v>
      </c>
      <c r="BF101" t="str">
        <f>HYPERLINK("http://dx.doi.org/10.1016/j.hal.2017.10.004","http://dx.doi.org/10.1016/j.hal.2017.10.004")</f>
        <v>http://dx.doi.org/10.1016/j.hal.2017.10.004</v>
      </c>
      <c r="BG101" t="s">
        <v>74</v>
      </c>
      <c r="BH101" t="s">
        <v>74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>
        <v>29169566</v>
      </c>
      <c r="BO101" t="s">
        <v>74</v>
      </c>
      <c r="BP101" t="s">
        <v>74</v>
      </c>
      <c r="BQ101" t="s">
        <v>74</v>
      </c>
      <c r="BR101" t="s">
        <v>74</v>
      </c>
      <c r="BS101" t="s">
        <v>3181</v>
      </c>
      <c r="BT101" t="str">
        <f>HYPERLINK("https%3A%2F%2Fwww.webofscience.com%2Fwos%2Fwoscc%2Ffull-record%2FWOS:000418311500002","View Full Record in Web of Science")</f>
        <v>View Full Record in Web of Science</v>
      </c>
    </row>
    <row r="102" spans="1:72" x14ac:dyDescent="0.2">
      <c r="A102" t="s">
        <v>72</v>
      </c>
      <c r="B102" t="s">
        <v>3222</v>
      </c>
      <c r="C102" t="s">
        <v>74</v>
      </c>
      <c r="D102" t="s">
        <v>74</v>
      </c>
      <c r="E102" t="s">
        <v>74</v>
      </c>
      <c r="F102" t="s">
        <v>3223</v>
      </c>
      <c r="G102" t="s">
        <v>74</v>
      </c>
      <c r="H102" t="s">
        <v>74</v>
      </c>
      <c r="I102" t="s">
        <v>3224</v>
      </c>
      <c r="J102" t="s">
        <v>423</v>
      </c>
      <c r="K102" t="s">
        <v>74</v>
      </c>
      <c r="L102" t="s">
        <v>74</v>
      </c>
      <c r="M102" t="s">
        <v>74</v>
      </c>
      <c r="N102" t="s">
        <v>74</v>
      </c>
      <c r="O102" t="s">
        <v>74</v>
      </c>
      <c r="P102" t="s">
        <v>74</v>
      </c>
      <c r="Q102" t="s">
        <v>74</v>
      </c>
      <c r="R102" t="s">
        <v>74</v>
      </c>
      <c r="S102" t="s">
        <v>74</v>
      </c>
      <c r="T102" t="s">
        <v>74</v>
      </c>
      <c r="U102" t="s">
        <v>74</v>
      </c>
      <c r="V102" t="s">
        <v>74</v>
      </c>
      <c r="W102" t="s">
        <v>74</v>
      </c>
      <c r="X102" t="s">
        <v>74</v>
      </c>
      <c r="Y102" t="s">
        <v>74</v>
      </c>
      <c r="Z102" t="s">
        <v>74</v>
      </c>
      <c r="AA102" t="s">
        <v>7010</v>
      </c>
      <c r="AB102" t="s">
        <v>7011</v>
      </c>
      <c r="AC102" t="s">
        <v>74</v>
      </c>
      <c r="AD102" t="s">
        <v>74</v>
      </c>
      <c r="AE102" t="s">
        <v>74</v>
      </c>
      <c r="AF102" t="s">
        <v>74</v>
      </c>
      <c r="AG102" t="s">
        <v>74</v>
      </c>
      <c r="AH102" t="s">
        <v>74</v>
      </c>
      <c r="AI102" t="s">
        <v>74</v>
      </c>
      <c r="AJ102" t="s">
        <v>74</v>
      </c>
      <c r="AK102" t="s">
        <v>74</v>
      </c>
      <c r="AL102" t="s">
        <v>74</v>
      </c>
      <c r="AM102" t="s">
        <v>74</v>
      </c>
      <c r="AN102" t="s">
        <v>74</v>
      </c>
      <c r="AO102" t="s">
        <v>425</v>
      </c>
      <c r="AP102" t="s">
        <v>426</v>
      </c>
      <c r="AQ102" t="s">
        <v>74</v>
      </c>
      <c r="AR102" t="s">
        <v>74</v>
      </c>
      <c r="AS102" t="s">
        <v>74</v>
      </c>
      <c r="AT102" t="s">
        <v>406</v>
      </c>
      <c r="AU102">
        <v>2017</v>
      </c>
      <c r="AV102">
        <v>62</v>
      </c>
      <c r="AW102">
        <v>10</v>
      </c>
      <c r="AX102" t="s">
        <v>74</v>
      </c>
      <c r="AY102" t="s">
        <v>74</v>
      </c>
      <c r="AZ102" t="s">
        <v>74</v>
      </c>
      <c r="BA102" t="s">
        <v>74</v>
      </c>
      <c r="BB102">
        <v>1681</v>
      </c>
      <c r="BC102">
        <v>1692</v>
      </c>
      <c r="BD102" t="s">
        <v>74</v>
      </c>
      <c r="BE102" t="s">
        <v>3225</v>
      </c>
      <c r="BF102" t="str">
        <f>HYPERLINK("http://dx.doi.org/10.1111/fwb.12968","http://dx.doi.org/10.1111/fwb.12968")</f>
        <v>http://dx.doi.org/10.1111/fwb.12968</v>
      </c>
      <c r="BG102" t="s">
        <v>74</v>
      </c>
      <c r="BH102" t="s">
        <v>74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 t="s">
        <v>74</v>
      </c>
      <c r="BR102" t="s">
        <v>74</v>
      </c>
      <c r="BS102" t="s">
        <v>3226</v>
      </c>
      <c r="BT102" t="str">
        <f>HYPERLINK("https%3A%2F%2Fwww.webofscience.com%2Fwos%2Fwoscc%2Ffull-record%2FWOS:000410094000002","View Full Record in Web of Science")</f>
        <v>View Full Record in Web of Science</v>
      </c>
    </row>
    <row r="103" spans="1:72" x14ac:dyDescent="0.2">
      <c r="A103" t="s">
        <v>72</v>
      </c>
      <c r="B103" t="s">
        <v>3232</v>
      </c>
      <c r="C103" t="s">
        <v>74</v>
      </c>
      <c r="D103" t="s">
        <v>74</v>
      </c>
      <c r="E103" t="s">
        <v>74</v>
      </c>
      <c r="F103" t="s">
        <v>3233</v>
      </c>
      <c r="G103" t="s">
        <v>74</v>
      </c>
      <c r="H103" t="s">
        <v>74</v>
      </c>
      <c r="I103" t="s">
        <v>3234</v>
      </c>
      <c r="J103" t="s">
        <v>2526</v>
      </c>
      <c r="K103" t="s">
        <v>74</v>
      </c>
      <c r="L103" t="s">
        <v>74</v>
      </c>
      <c r="M103" t="s">
        <v>74</v>
      </c>
      <c r="N103" t="s">
        <v>74</v>
      </c>
      <c r="O103" t="s">
        <v>74</v>
      </c>
      <c r="P103" t="s">
        <v>74</v>
      </c>
      <c r="Q103" t="s">
        <v>74</v>
      </c>
      <c r="R103" t="s">
        <v>74</v>
      </c>
      <c r="S103" t="s">
        <v>74</v>
      </c>
      <c r="T103" t="s">
        <v>74</v>
      </c>
      <c r="U103" t="s">
        <v>74</v>
      </c>
      <c r="V103" t="s">
        <v>74</v>
      </c>
      <c r="W103" t="s">
        <v>74</v>
      </c>
      <c r="X103" t="s">
        <v>74</v>
      </c>
      <c r="Y103" t="s">
        <v>74</v>
      </c>
      <c r="Z103" t="s">
        <v>74</v>
      </c>
      <c r="AA103" t="s">
        <v>3235</v>
      </c>
      <c r="AB103" t="s">
        <v>3236</v>
      </c>
      <c r="AC103" t="s">
        <v>74</v>
      </c>
      <c r="AD103" t="s">
        <v>74</v>
      </c>
      <c r="AE103" t="s">
        <v>74</v>
      </c>
      <c r="AF103" t="s">
        <v>74</v>
      </c>
      <c r="AG103" t="s">
        <v>74</v>
      </c>
      <c r="AH103" t="s">
        <v>74</v>
      </c>
      <c r="AI103" t="s">
        <v>74</v>
      </c>
      <c r="AJ103" t="s">
        <v>74</v>
      </c>
      <c r="AK103" t="s">
        <v>74</v>
      </c>
      <c r="AL103" t="s">
        <v>74</v>
      </c>
      <c r="AM103" t="s">
        <v>74</v>
      </c>
      <c r="AN103" t="s">
        <v>74</v>
      </c>
      <c r="AO103" t="s">
        <v>2527</v>
      </c>
      <c r="AP103" t="s">
        <v>74</v>
      </c>
      <c r="AQ103" t="s">
        <v>74</v>
      </c>
      <c r="AR103" t="s">
        <v>74</v>
      </c>
      <c r="AS103" t="s">
        <v>74</v>
      </c>
      <c r="AT103" t="s">
        <v>3237</v>
      </c>
      <c r="AU103">
        <v>2017</v>
      </c>
      <c r="AV103">
        <v>114</v>
      </c>
      <c r="AW103">
        <v>37</v>
      </c>
      <c r="AX103" t="s">
        <v>74</v>
      </c>
      <c r="AY103" t="s">
        <v>74</v>
      </c>
      <c r="AZ103" t="s">
        <v>74</v>
      </c>
      <c r="BA103" t="s">
        <v>74</v>
      </c>
      <c r="BB103">
        <v>9930</v>
      </c>
      <c r="BC103">
        <v>9935</v>
      </c>
      <c r="BD103" t="s">
        <v>74</v>
      </c>
      <c r="BE103" t="s">
        <v>3238</v>
      </c>
      <c r="BF103" t="str">
        <f>HYPERLINK("http://dx.doi.org/10.1073/pnas.1703375114","http://dx.doi.org/10.1073/pnas.1703375114")</f>
        <v>http://dx.doi.org/10.1073/pnas.1703375114</v>
      </c>
      <c r="BG103" t="s">
        <v>74</v>
      </c>
      <c r="BH103" t="s">
        <v>74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>
        <v>28847969</v>
      </c>
      <c r="BO103" t="s">
        <v>74</v>
      </c>
      <c r="BP103" t="s">
        <v>74</v>
      </c>
      <c r="BQ103" t="s">
        <v>74</v>
      </c>
      <c r="BR103" t="s">
        <v>74</v>
      </c>
      <c r="BS103" t="s">
        <v>3239</v>
      </c>
      <c r="BT103" t="str">
        <f>HYPERLINK("https%3A%2F%2Fwww.webofscience.com%2Fwos%2Fwoscc%2Ffull-record%2FWOS:000410293400059","View Full Record in Web of Science")</f>
        <v>View Full Record in Web of Science</v>
      </c>
    </row>
    <row r="104" spans="1:72" x14ac:dyDescent="0.2">
      <c r="A104" t="s">
        <v>72</v>
      </c>
      <c r="B104" t="s">
        <v>3268</v>
      </c>
      <c r="C104" t="s">
        <v>74</v>
      </c>
      <c r="D104" t="s">
        <v>74</v>
      </c>
      <c r="E104" t="s">
        <v>74</v>
      </c>
      <c r="F104" t="s">
        <v>3269</v>
      </c>
      <c r="G104" t="s">
        <v>74</v>
      </c>
      <c r="H104" t="s">
        <v>74</v>
      </c>
      <c r="I104" t="s">
        <v>3270</v>
      </c>
      <c r="J104" t="s">
        <v>3271</v>
      </c>
      <c r="K104" t="s">
        <v>74</v>
      </c>
      <c r="L104" t="s">
        <v>74</v>
      </c>
      <c r="M104" t="s">
        <v>74</v>
      </c>
      <c r="N104" t="s">
        <v>74</v>
      </c>
      <c r="O104" t="s">
        <v>74</v>
      </c>
      <c r="P104" t="s">
        <v>74</v>
      </c>
      <c r="Q104" t="s">
        <v>74</v>
      </c>
      <c r="R104" t="s">
        <v>74</v>
      </c>
      <c r="S104" t="s">
        <v>74</v>
      </c>
      <c r="T104" t="s">
        <v>74</v>
      </c>
      <c r="U104" t="s">
        <v>74</v>
      </c>
      <c r="V104" t="s">
        <v>74</v>
      </c>
      <c r="W104" t="s">
        <v>74</v>
      </c>
      <c r="X104" t="s">
        <v>74</v>
      </c>
      <c r="Y104" t="s">
        <v>74</v>
      </c>
      <c r="Z104" t="s">
        <v>74</v>
      </c>
      <c r="AA104" t="s">
        <v>3272</v>
      </c>
      <c r="AB104" t="s">
        <v>3273</v>
      </c>
      <c r="AC104" t="s">
        <v>74</v>
      </c>
      <c r="AD104" t="s">
        <v>74</v>
      </c>
      <c r="AE104" t="s">
        <v>74</v>
      </c>
      <c r="AF104" t="s">
        <v>74</v>
      </c>
      <c r="AG104" t="s">
        <v>74</v>
      </c>
      <c r="AH104" t="s">
        <v>74</v>
      </c>
      <c r="AI104" t="s">
        <v>74</v>
      </c>
      <c r="AJ104" t="s">
        <v>74</v>
      </c>
      <c r="AK104" t="s">
        <v>74</v>
      </c>
      <c r="AL104" t="s">
        <v>74</v>
      </c>
      <c r="AM104" t="s">
        <v>74</v>
      </c>
      <c r="AN104" t="s">
        <v>74</v>
      </c>
      <c r="AO104" t="s">
        <v>3274</v>
      </c>
      <c r="AP104" t="s">
        <v>3275</v>
      </c>
      <c r="AQ104" t="s">
        <v>74</v>
      </c>
      <c r="AR104" t="s">
        <v>74</v>
      </c>
      <c r="AS104" t="s">
        <v>74</v>
      </c>
      <c r="AT104" t="s">
        <v>451</v>
      </c>
      <c r="AU104">
        <v>2017</v>
      </c>
      <c r="AV104">
        <v>67</v>
      </c>
      <c r="AW104">
        <v>9</v>
      </c>
      <c r="AX104" t="s">
        <v>74</v>
      </c>
      <c r="AY104" t="s">
        <v>74</v>
      </c>
      <c r="AZ104" t="s">
        <v>74</v>
      </c>
      <c r="BA104" t="s">
        <v>74</v>
      </c>
      <c r="BB104">
        <v>3261</v>
      </c>
      <c r="BC104">
        <v>3267</v>
      </c>
      <c r="BD104" t="s">
        <v>74</v>
      </c>
      <c r="BE104" t="s">
        <v>3276</v>
      </c>
      <c r="BF104" t="str">
        <f>HYPERLINK("http://dx.doi.org/10.1099/ijsem.0.002096","http://dx.doi.org/10.1099/ijsem.0.002096")</f>
        <v>http://dx.doi.org/10.1099/ijsem.0.002096</v>
      </c>
      <c r="BG104" t="s">
        <v>74</v>
      </c>
      <c r="BH104" t="s">
        <v>74</v>
      </c>
      <c r="BI104" t="s">
        <v>74</v>
      </c>
      <c r="BJ104" t="s">
        <v>74</v>
      </c>
      <c r="BK104" t="s">
        <v>74</v>
      </c>
      <c r="BL104" t="s">
        <v>74</v>
      </c>
      <c r="BM104" t="s">
        <v>74</v>
      </c>
      <c r="BN104">
        <v>28829016</v>
      </c>
      <c r="BO104" t="s">
        <v>74</v>
      </c>
      <c r="BP104" t="s">
        <v>74</v>
      </c>
      <c r="BQ104" t="s">
        <v>74</v>
      </c>
      <c r="BR104" t="s">
        <v>74</v>
      </c>
      <c r="BS104" t="s">
        <v>3277</v>
      </c>
      <c r="BT104" t="str">
        <f>HYPERLINK("https%3A%2F%2Fwww.webofscience.com%2Fwos%2Fwoscc%2Ffull-record%2FWOS:000417836100021","View Full Record in Web of Science")</f>
        <v>View Full Record in Web of Science</v>
      </c>
    </row>
    <row r="105" spans="1:72" x14ac:dyDescent="0.2">
      <c r="A105" t="s">
        <v>72</v>
      </c>
      <c r="B105" t="s">
        <v>3283</v>
      </c>
      <c r="C105" t="s">
        <v>74</v>
      </c>
      <c r="D105" t="s">
        <v>74</v>
      </c>
      <c r="E105" t="s">
        <v>74</v>
      </c>
      <c r="F105" t="s">
        <v>3284</v>
      </c>
      <c r="G105" t="s">
        <v>74</v>
      </c>
      <c r="H105" t="s">
        <v>74</v>
      </c>
      <c r="I105" t="s">
        <v>3285</v>
      </c>
      <c r="J105" t="s">
        <v>3286</v>
      </c>
      <c r="K105" t="s">
        <v>74</v>
      </c>
      <c r="L105" t="s">
        <v>74</v>
      </c>
      <c r="M105" t="s">
        <v>74</v>
      </c>
      <c r="N105" t="s">
        <v>74</v>
      </c>
      <c r="O105" t="s">
        <v>74</v>
      </c>
      <c r="P105" t="s">
        <v>74</v>
      </c>
      <c r="Q105" t="s">
        <v>74</v>
      </c>
      <c r="R105" t="s">
        <v>74</v>
      </c>
      <c r="S105" t="s">
        <v>74</v>
      </c>
      <c r="T105" t="s">
        <v>74</v>
      </c>
      <c r="U105" t="s">
        <v>74</v>
      </c>
      <c r="V105" t="s">
        <v>74</v>
      </c>
      <c r="W105" t="s">
        <v>74</v>
      </c>
      <c r="X105" t="s">
        <v>74</v>
      </c>
      <c r="Y105" t="s">
        <v>74</v>
      </c>
      <c r="Z105" t="s">
        <v>74</v>
      </c>
      <c r="AA105" t="s">
        <v>3287</v>
      </c>
      <c r="AB105" t="s">
        <v>3288</v>
      </c>
      <c r="AC105" t="s">
        <v>74</v>
      </c>
      <c r="AD105" t="s">
        <v>74</v>
      </c>
      <c r="AE105" t="s">
        <v>74</v>
      </c>
      <c r="AF105" t="s">
        <v>74</v>
      </c>
      <c r="AG105" t="s">
        <v>74</v>
      </c>
      <c r="AH105" t="s">
        <v>74</v>
      </c>
      <c r="AI105" t="s">
        <v>74</v>
      </c>
      <c r="AJ105" t="s">
        <v>74</v>
      </c>
      <c r="AK105" t="s">
        <v>74</v>
      </c>
      <c r="AL105" t="s">
        <v>74</v>
      </c>
      <c r="AM105" t="s">
        <v>74</v>
      </c>
      <c r="AN105" t="s">
        <v>74</v>
      </c>
      <c r="AO105" t="s">
        <v>3289</v>
      </c>
      <c r="AP105" t="s">
        <v>3290</v>
      </c>
      <c r="AQ105" t="s">
        <v>74</v>
      </c>
      <c r="AR105" t="s">
        <v>74</v>
      </c>
      <c r="AS105" t="s">
        <v>74</v>
      </c>
      <c r="AT105" t="s">
        <v>451</v>
      </c>
      <c r="AU105">
        <v>2017</v>
      </c>
      <c r="AV105">
        <v>12</v>
      </c>
      <c r="AW105">
        <v>3</v>
      </c>
      <c r="AX105" t="s">
        <v>74</v>
      </c>
      <c r="AY105" t="s">
        <v>74</v>
      </c>
      <c r="AZ105" t="s">
        <v>632</v>
      </c>
      <c r="BA105" t="s">
        <v>74</v>
      </c>
      <c r="BB105">
        <v>385</v>
      </c>
      <c r="BC105">
        <v>395</v>
      </c>
      <c r="BD105" t="s">
        <v>74</v>
      </c>
      <c r="BE105" t="s">
        <v>3291</v>
      </c>
      <c r="BF105" t="str">
        <f>HYPERLINK("http://dx.doi.org/10.3391/ai.2017.12.3.11","http://dx.doi.org/10.3391/ai.2017.12.3.11")</f>
        <v>http://dx.doi.org/10.3391/ai.2017.12.3.11</v>
      </c>
      <c r="BG105" t="s">
        <v>74</v>
      </c>
      <c r="BH105" t="s">
        <v>74</v>
      </c>
      <c r="BI105" t="s">
        <v>74</v>
      </c>
      <c r="BJ105" t="s">
        <v>74</v>
      </c>
      <c r="BK105" t="s">
        <v>74</v>
      </c>
      <c r="BL105" t="s">
        <v>74</v>
      </c>
      <c r="BM105" t="s">
        <v>74</v>
      </c>
      <c r="BN105" t="s">
        <v>74</v>
      </c>
      <c r="BO105" t="s">
        <v>74</v>
      </c>
      <c r="BP105" t="s">
        <v>74</v>
      </c>
      <c r="BQ105" t="s">
        <v>74</v>
      </c>
      <c r="BR105" t="s">
        <v>74</v>
      </c>
      <c r="BS105" t="s">
        <v>3292</v>
      </c>
      <c r="BT105" t="str">
        <f>HYPERLINK("https%3A%2F%2Fwww.webofscience.com%2Fwos%2Fwoscc%2Ffull-record%2FWOS:000413823900011","View Full Record in Web of Science")</f>
        <v>View Full Record in Web of Science</v>
      </c>
    </row>
    <row r="106" spans="1:72" x14ac:dyDescent="0.2">
      <c r="A106" t="s">
        <v>72</v>
      </c>
      <c r="B106" t="s">
        <v>3293</v>
      </c>
      <c r="C106" t="s">
        <v>74</v>
      </c>
      <c r="D106" t="s">
        <v>74</v>
      </c>
      <c r="E106" t="s">
        <v>74</v>
      </c>
      <c r="F106" t="s">
        <v>3294</v>
      </c>
      <c r="G106" t="s">
        <v>74</v>
      </c>
      <c r="H106" t="s">
        <v>74</v>
      </c>
      <c r="I106" t="s">
        <v>3295</v>
      </c>
      <c r="J106" t="s">
        <v>97</v>
      </c>
      <c r="K106" t="s">
        <v>74</v>
      </c>
      <c r="L106" t="s">
        <v>74</v>
      </c>
      <c r="M106" t="s">
        <v>74</v>
      </c>
      <c r="N106" t="s">
        <v>74</v>
      </c>
      <c r="O106" t="s">
        <v>74</v>
      </c>
      <c r="P106" t="s">
        <v>74</v>
      </c>
      <c r="Q106" t="s">
        <v>74</v>
      </c>
      <c r="R106" t="s">
        <v>74</v>
      </c>
      <c r="S106" t="s">
        <v>74</v>
      </c>
      <c r="T106" t="s">
        <v>74</v>
      </c>
      <c r="U106" t="s">
        <v>74</v>
      </c>
      <c r="V106" t="s">
        <v>74</v>
      </c>
      <c r="W106" t="s">
        <v>74</v>
      </c>
      <c r="X106" t="s">
        <v>74</v>
      </c>
      <c r="Y106" t="s">
        <v>74</v>
      </c>
      <c r="Z106" t="s">
        <v>74</v>
      </c>
      <c r="AA106" t="s">
        <v>74</v>
      </c>
      <c r="AB106" t="s">
        <v>3296</v>
      </c>
      <c r="AC106" t="s">
        <v>74</v>
      </c>
      <c r="AD106" t="s">
        <v>74</v>
      </c>
      <c r="AE106" t="s">
        <v>74</v>
      </c>
      <c r="AF106" t="s">
        <v>74</v>
      </c>
      <c r="AG106" t="s">
        <v>74</v>
      </c>
      <c r="AH106" t="s">
        <v>74</v>
      </c>
      <c r="AI106" t="s">
        <v>74</v>
      </c>
      <c r="AJ106" t="s">
        <v>74</v>
      </c>
      <c r="AK106" t="s">
        <v>74</v>
      </c>
      <c r="AL106" t="s">
        <v>74</v>
      </c>
      <c r="AM106" t="s">
        <v>74</v>
      </c>
      <c r="AN106" t="s">
        <v>74</v>
      </c>
      <c r="AO106" t="s">
        <v>98</v>
      </c>
      <c r="AP106" t="s">
        <v>99</v>
      </c>
      <c r="AQ106" t="s">
        <v>74</v>
      </c>
      <c r="AR106" t="s">
        <v>74</v>
      </c>
      <c r="AS106" t="s">
        <v>74</v>
      </c>
      <c r="AT106" t="s">
        <v>451</v>
      </c>
      <c r="AU106">
        <v>2017</v>
      </c>
      <c r="AV106">
        <v>51</v>
      </c>
      <c r="AW106">
        <v>3</v>
      </c>
      <c r="AX106" t="s">
        <v>74</v>
      </c>
      <c r="AY106" t="s">
        <v>74</v>
      </c>
      <c r="AZ106" t="s">
        <v>74</v>
      </c>
      <c r="BA106" t="s">
        <v>74</v>
      </c>
      <c r="BB106">
        <v>449</v>
      </c>
      <c r="BC106">
        <v>461</v>
      </c>
      <c r="BD106" t="s">
        <v>74</v>
      </c>
      <c r="BE106" t="s">
        <v>3297</v>
      </c>
      <c r="BF106" t="str">
        <f>HYPERLINK("http://dx.doi.org/10.1007/s10452-017-9628-1","http://dx.doi.org/10.1007/s10452-017-9628-1")</f>
        <v>http://dx.doi.org/10.1007/s10452-017-9628-1</v>
      </c>
      <c r="BG106" t="s">
        <v>74</v>
      </c>
      <c r="BH106" t="s">
        <v>74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 t="s">
        <v>74</v>
      </c>
      <c r="BR106" t="s">
        <v>74</v>
      </c>
      <c r="BS106" t="s">
        <v>3298</v>
      </c>
      <c r="BT106" t="str">
        <f>HYPERLINK("https%3A%2F%2Fwww.webofscience.com%2Fwos%2Fwoscc%2Ffull-record%2FWOS:000408340600009","View Full Record in Web of Science")</f>
        <v>View Full Record in Web of Science</v>
      </c>
    </row>
    <row r="107" spans="1:72" x14ac:dyDescent="0.2">
      <c r="A107" t="s">
        <v>72</v>
      </c>
      <c r="B107" t="s">
        <v>3335</v>
      </c>
      <c r="C107" t="s">
        <v>74</v>
      </c>
      <c r="D107" t="s">
        <v>74</v>
      </c>
      <c r="E107" t="s">
        <v>74</v>
      </c>
      <c r="F107" t="s">
        <v>3336</v>
      </c>
      <c r="G107" t="s">
        <v>74</v>
      </c>
      <c r="H107" t="s">
        <v>74</v>
      </c>
      <c r="I107" t="s">
        <v>3337</v>
      </c>
      <c r="J107" t="s">
        <v>124</v>
      </c>
      <c r="K107" t="s">
        <v>74</v>
      </c>
      <c r="L107" t="s">
        <v>74</v>
      </c>
      <c r="M107" t="s">
        <v>74</v>
      </c>
      <c r="N107" t="s">
        <v>74</v>
      </c>
      <c r="O107" t="s">
        <v>74</v>
      </c>
      <c r="P107" t="s">
        <v>74</v>
      </c>
      <c r="Q107" t="s">
        <v>74</v>
      </c>
      <c r="R107" t="s">
        <v>74</v>
      </c>
      <c r="S107" t="s">
        <v>74</v>
      </c>
      <c r="T107" t="s">
        <v>74</v>
      </c>
      <c r="U107" t="s">
        <v>74</v>
      </c>
      <c r="V107" t="s">
        <v>74</v>
      </c>
      <c r="W107" t="s">
        <v>74</v>
      </c>
      <c r="X107" t="s">
        <v>74</v>
      </c>
      <c r="Y107" t="s">
        <v>74</v>
      </c>
      <c r="Z107" t="s">
        <v>74</v>
      </c>
      <c r="AA107" t="s">
        <v>7017</v>
      </c>
      <c r="AB107" t="s">
        <v>7018</v>
      </c>
      <c r="AC107" t="s">
        <v>74</v>
      </c>
      <c r="AD107" t="s">
        <v>74</v>
      </c>
      <c r="AE107" t="s">
        <v>74</v>
      </c>
      <c r="AF107" t="s">
        <v>74</v>
      </c>
      <c r="AG107" t="s">
        <v>74</v>
      </c>
      <c r="AH107" t="s">
        <v>74</v>
      </c>
      <c r="AI107" t="s">
        <v>74</v>
      </c>
      <c r="AJ107" t="s">
        <v>74</v>
      </c>
      <c r="AK107" t="s">
        <v>74</v>
      </c>
      <c r="AL107" t="s">
        <v>74</v>
      </c>
      <c r="AM107" t="s">
        <v>74</v>
      </c>
      <c r="AN107" t="s">
        <v>74</v>
      </c>
      <c r="AO107" t="s">
        <v>127</v>
      </c>
      <c r="AP107" t="s">
        <v>128</v>
      </c>
      <c r="AQ107" t="s">
        <v>74</v>
      </c>
      <c r="AR107" t="s">
        <v>74</v>
      </c>
      <c r="AS107" t="s">
        <v>74</v>
      </c>
      <c r="AT107" t="s">
        <v>624</v>
      </c>
      <c r="AU107">
        <v>2017</v>
      </c>
      <c r="AV107">
        <v>796</v>
      </c>
      <c r="AW107">
        <v>1</v>
      </c>
      <c r="AX107" t="s">
        <v>74</v>
      </c>
      <c r="AY107" t="s">
        <v>74</v>
      </c>
      <c r="AZ107" t="s">
        <v>74</v>
      </c>
      <c r="BA107" t="s">
        <v>74</v>
      </c>
      <c r="BB107">
        <v>169</v>
      </c>
      <c r="BC107">
        <v>179</v>
      </c>
      <c r="BD107" t="s">
        <v>74</v>
      </c>
      <c r="BE107" t="s">
        <v>3338</v>
      </c>
      <c r="BF107" t="str">
        <f>HYPERLINK("http://dx.doi.org/10.1007/s10750-016-3069-z","http://dx.doi.org/10.1007/s10750-016-3069-z")</f>
        <v>http://dx.doi.org/10.1007/s10750-016-3069-z</v>
      </c>
      <c r="BG107" t="s">
        <v>74</v>
      </c>
      <c r="BH107" t="s">
        <v>74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 t="s">
        <v>74</v>
      </c>
      <c r="BR107" t="s">
        <v>74</v>
      </c>
      <c r="BS107" t="s">
        <v>3339</v>
      </c>
      <c r="BT107" t="str">
        <f>HYPERLINK("https%3A%2F%2Fwww.webofscience.com%2Fwos%2Fwoscc%2Ffull-record%2FWOS:000403357600014","View Full Record in Web of Science")</f>
        <v>View Full Record in Web of Science</v>
      </c>
    </row>
    <row r="108" spans="1:72" x14ac:dyDescent="0.2">
      <c r="A108" t="s">
        <v>72</v>
      </c>
      <c r="B108" t="s">
        <v>3381</v>
      </c>
      <c r="C108" t="s">
        <v>74</v>
      </c>
      <c r="D108" t="s">
        <v>74</v>
      </c>
      <c r="E108" t="s">
        <v>74</v>
      </c>
      <c r="F108" t="s">
        <v>3382</v>
      </c>
      <c r="G108" t="s">
        <v>74</v>
      </c>
      <c r="H108" t="s">
        <v>74</v>
      </c>
      <c r="I108" t="s">
        <v>3383</v>
      </c>
      <c r="J108" t="s">
        <v>423</v>
      </c>
      <c r="K108" t="s">
        <v>74</v>
      </c>
      <c r="L108" t="s">
        <v>74</v>
      </c>
      <c r="M108" t="s">
        <v>74</v>
      </c>
      <c r="N108" t="s">
        <v>74</v>
      </c>
      <c r="O108" t="s">
        <v>74</v>
      </c>
      <c r="P108" t="s">
        <v>74</v>
      </c>
      <c r="Q108" t="s">
        <v>74</v>
      </c>
      <c r="R108" t="s">
        <v>74</v>
      </c>
      <c r="S108" t="s">
        <v>74</v>
      </c>
      <c r="T108" t="s">
        <v>74</v>
      </c>
      <c r="U108" t="s">
        <v>74</v>
      </c>
      <c r="V108" t="s">
        <v>74</v>
      </c>
      <c r="W108" t="s">
        <v>74</v>
      </c>
      <c r="X108" t="s">
        <v>74</v>
      </c>
      <c r="Y108" t="s">
        <v>74</v>
      </c>
      <c r="Z108" t="s">
        <v>74</v>
      </c>
      <c r="AA108" t="s">
        <v>3384</v>
      </c>
      <c r="AB108" t="s">
        <v>7026</v>
      </c>
      <c r="AC108" t="s">
        <v>74</v>
      </c>
      <c r="AD108" t="s">
        <v>74</v>
      </c>
      <c r="AE108" t="s">
        <v>74</v>
      </c>
      <c r="AF108" t="s">
        <v>74</v>
      </c>
      <c r="AG108" t="s">
        <v>74</v>
      </c>
      <c r="AH108" t="s">
        <v>74</v>
      </c>
      <c r="AI108" t="s">
        <v>74</v>
      </c>
      <c r="AJ108" t="s">
        <v>74</v>
      </c>
      <c r="AK108" t="s">
        <v>74</v>
      </c>
      <c r="AL108" t="s">
        <v>74</v>
      </c>
      <c r="AM108" t="s">
        <v>74</v>
      </c>
      <c r="AN108" t="s">
        <v>74</v>
      </c>
      <c r="AO108" t="s">
        <v>425</v>
      </c>
      <c r="AP108" t="s">
        <v>426</v>
      </c>
      <c r="AQ108" t="s">
        <v>74</v>
      </c>
      <c r="AR108" t="s">
        <v>74</v>
      </c>
      <c r="AS108" t="s">
        <v>74</v>
      </c>
      <c r="AT108" t="s">
        <v>569</v>
      </c>
      <c r="AU108">
        <v>2017</v>
      </c>
      <c r="AV108">
        <v>62</v>
      </c>
      <c r="AW108">
        <v>6</v>
      </c>
      <c r="AX108" t="s">
        <v>74</v>
      </c>
      <c r="AY108" t="s">
        <v>74</v>
      </c>
      <c r="AZ108" t="s">
        <v>74</v>
      </c>
      <c r="BA108" t="s">
        <v>74</v>
      </c>
      <c r="BB108">
        <v>990</v>
      </c>
      <c r="BC108">
        <v>1003</v>
      </c>
      <c r="BD108" t="s">
        <v>74</v>
      </c>
      <c r="BE108" t="s">
        <v>3385</v>
      </c>
      <c r="BF108" t="str">
        <f>HYPERLINK("http://dx.doi.org/10.1111/fwb.12919","http://dx.doi.org/10.1111/fwb.12919")</f>
        <v>http://dx.doi.org/10.1111/fwb.12919</v>
      </c>
      <c r="BG108" t="s">
        <v>74</v>
      </c>
      <c r="BH108" t="s">
        <v>74</v>
      </c>
      <c r="BI108" t="s">
        <v>74</v>
      </c>
      <c r="BJ108" t="s">
        <v>74</v>
      </c>
      <c r="BK108" t="s">
        <v>74</v>
      </c>
      <c r="BL108" t="s">
        <v>74</v>
      </c>
      <c r="BM108" t="s">
        <v>74</v>
      </c>
      <c r="BN108" t="s">
        <v>74</v>
      </c>
      <c r="BO108" t="s">
        <v>74</v>
      </c>
      <c r="BP108" t="s">
        <v>74</v>
      </c>
      <c r="BQ108" t="s">
        <v>74</v>
      </c>
      <c r="BR108" t="s">
        <v>74</v>
      </c>
      <c r="BS108" t="s">
        <v>3386</v>
      </c>
      <c r="BT108" t="str">
        <f>HYPERLINK("https%3A%2F%2Fwww.webofscience.com%2Fwos%2Fwoscc%2Ffull-record%2FWOS:000400571200003","View Full Record in Web of Science")</f>
        <v>View Full Record in Web of Science</v>
      </c>
    </row>
    <row r="109" spans="1:72" x14ac:dyDescent="0.2">
      <c r="A109" t="s">
        <v>72</v>
      </c>
      <c r="B109" t="s">
        <v>3450</v>
      </c>
      <c r="C109" t="s">
        <v>74</v>
      </c>
      <c r="D109" t="s">
        <v>74</v>
      </c>
      <c r="E109" t="s">
        <v>74</v>
      </c>
      <c r="F109" t="s">
        <v>3451</v>
      </c>
      <c r="G109" t="s">
        <v>74</v>
      </c>
      <c r="H109" t="s">
        <v>74</v>
      </c>
      <c r="I109" t="s">
        <v>3452</v>
      </c>
      <c r="J109" t="s">
        <v>106</v>
      </c>
      <c r="K109" t="s">
        <v>74</v>
      </c>
      <c r="L109" t="s">
        <v>74</v>
      </c>
      <c r="M109" t="s">
        <v>74</v>
      </c>
      <c r="N109" t="s">
        <v>74</v>
      </c>
      <c r="O109" t="s">
        <v>74</v>
      </c>
      <c r="P109" t="s">
        <v>74</v>
      </c>
      <c r="Q109" t="s">
        <v>74</v>
      </c>
      <c r="R109" t="s">
        <v>74</v>
      </c>
      <c r="S109" t="s">
        <v>74</v>
      </c>
      <c r="T109" t="s">
        <v>74</v>
      </c>
      <c r="U109" t="s">
        <v>74</v>
      </c>
      <c r="V109" t="s">
        <v>74</v>
      </c>
      <c r="W109" t="s">
        <v>74</v>
      </c>
      <c r="X109" t="s">
        <v>74</v>
      </c>
      <c r="Y109" t="s">
        <v>74</v>
      </c>
      <c r="Z109" t="s">
        <v>74</v>
      </c>
      <c r="AA109" t="s">
        <v>74</v>
      </c>
      <c r="AB109" t="s">
        <v>3453</v>
      </c>
      <c r="AC109" t="s">
        <v>74</v>
      </c>
      <c r="AD109" t="s">
        <v>74</v>
      </c>
      <c r="AE109" t="s">
        <v>74</v>
      </c>
      <c r="AF109" t="s">
        <v>74</v>
      </c>
      <c r="AG109" t="s">
        <v>74</v>
      </c>
      <c r="AH109" t="s">
        <v>74</v>
      </c>
      <c r="AI109" t="s">
        <v>74</v>
      </c>
      <c r="AJ109" t="s">
        <v>74</v>
      </c>
      <c r="AK109" t="s">
        <v>74</v>
      </c>
      <c r="AL109" t="s">
        <v>74</v>
      </c>
      <c r="AM109" t="s">
        <v>74</v>
      </c>
      <c r="AN109" t="s">
        <v>74</v>
      </c>
      <c r="AO109" t="s">
        <v>107</v>
      </c>
      <c r="AP109" t="s">
        <v>108</v>
      </c>
      <c r="AQ109" t="s">
        <v>74</v>
      </c>
      <c r="AR109" t="s">
        <v>74</v>
      </c>
      <c r="AS109" t="s">
        <v>74</v>
      </c>
      <c r="AT109" t="s">
        <v>3094</v>
      </c>
      <c r="AU109">
        <v>2017</v>
      </c>
      <c r="AV109">
        <v>39</v>
      </c>
      <c r="AW109">
        <v>2</v>
      </c>
      <c r="AX109" t="s">
        <v>74</v>
      </c>
      <c r="AY109" t="s">
        <v>74</v>
      </c>
      <c r="AZ109" t="s">
        <v>74</v>
      </c>
      <c r="BA109" t="s">
        <v>74</v>
      </c>
      <c r="BB109">
        <v>199</v>
      </c>
      <c r="BC109">
        <v>210</v>
      </c>
      <c r="BD109" t="s">
        <v>74</v>
      </c>
      <c r="BE109" t="s">
        <v>3454</v>
      </c>
      <c r="BF109" t="str">
        <f>HYPERLINK("http://dx.doi.org/10.1093/plankt/fbx009","http://dx.doi.org/10.1093/plankt/fbx009")</f>
        <v>http://dx.doi.org/10.1093/plankt/fbx009</v>
      </c>
      <c r="BG109" t="s">
        <v>74</v>
      </c>
      <c r="BH109" t="s">
        <v>74</v>
      </c>
      <c r="BI109" t="s">
        <v>74</v>
      </c>
      <c r="BJ109" t="s">
        <v>74</v>
      </c>
      <c r="BK109" t="s">
        <v>74</v>
      </c>
      <c r="BL109" t="s">
        <v>74</v>
      </c>
      <c r="BM109" t="s">
        <v>74</v>
      </c>
      <c r="BN109" t="s">
        <v>74</v>
      </c>
      <c r="BO109" t="s">
        <v>74</v>
      </c>
      <c r="BP109" t="s">
        <v>74</v>
      </c>
      <c r="BQ109" t="s">
        <v>74</v>
      </c>
      <c r="BR109" t="s">
        <v>74</v>
      </c>
      <c r="BS109" t="s">
        <v>3455</v>
      </c>
      <c r="BT109" t="str">
        <f>HYPERLINK("https%3A%2F%2Fwww.webofscience.com%2Fwos%2Fwoscc%2Ffull-record%2FWOS:000397979400004","View Full Record in Web of Science")</f>
        <v>View Full Record in Web of Science</v>
      </c>
    </row>
    <row r="110" spans="1:72" x14ac:dyDescent="0.2">
      <c r="A110" t="s">
        <v>72</v>
      </c>
      <c r="B110" t="s">
        <v>3539</v>
      </c>
      <c r="C110" t="s">
        <v>74</v>
      </c>
      <c r="D110" t="s">
        <v>74</v>
      </c>
      <c r="E110" t="s">
        <v>74</v>
      </c>
      <c r="F110" t="s">
        <v>3540</v>
      </c>
      <c r="G110" t="s">
        <v>74</v>
      </c>
      <c r="H110" t="s">
        <v>74</v>
      </c>
      <c r="I110" t="s">
        <v>3541</v>
      </c>
      <c r="J110" t="s">
        <v>673</v>
      </c>
      <c r="K110" t="s">
        <v>74</v>
      </c>
      <c r="L110" t="s">
        <v>74</v>
      </c>
      <c r="M110" t="s">
        <v>74</v>
      </c>
      <c r="N110" t="s">
        <v>74</v>
      </c>
      <c r="O110" t="s">
        <v>74</v>
      </c>
      <c r="P110" t="s">
        <v>74</v>
      </c>
      <c r="Q110" t="s">
        <v>74</v>
      </c>
      <c r="R110" t="s">
        <v>74</v>
      </c>
      <c r="S110" t="s">
        <v>74</v>
      </c>
      <c r="T110" t="s">
        <v>74</v>
      </c>
      <c r="U110" t="s">
        <v>74</v>
      </c>
      <c r="V110" t="s">
        <v>74</v>
      </c>
      <c r="W110" t="s">
        <v>74</v>
      </c>
      <c r="X110" t="s">
        <v>74</v>
      </c>
      <c r="Y110" t="s">
        <v>74</v>
      </c>
      <c r="Z110" t="s">
        <v>74</v>
      </c>
      <c r="AA110" t="s">
        <v>3542</v>
      </c>
      <c r="AB110" t="s">
        <v>3543</v>
      </c>
      <c r="AC110" t="s">
        <v>74</v>
      </c>
      <c r="AD110" t="s">
        <v>74</v>
      </c>
      <c r="AE110" t="s">
        <v>74</v>
      </c>
      <c r="AF110" t="s">
        <v>74</v>
      </c>
      <c r="AG110" t="s">
        <v>74</v>
      </c>
      <c r="AH110" t="s">
        <v>74</v>
      </c>
      <c r="AI110" t="s">
        <v>74</v>
      </c>
      <c r="AJ110" t="s">
        <v>74</v>
      </c>
      <c r="AK110" t="s">
        <v>74</v>
      </c>
      <c r="AL110" t="s">
        <v>74</v>
      </c>
      <c r="AM110" t="s">
        <v>74</v>
      </c>
      <c r="AN110" t="s">
        <v>74</v>
      </c>
      <c r="AO110" t="s">
        <v>674</v>
      </c>
      <c r="AP110" t="s">
        <v>675</v>
      </c>
      <c r="AQ110" t="s">
        <v>74</v>
      </c>
      <c r="AR110" t="s">
        <v>74</v>
      </c>
      <c r="AS110" t="s">
        <v>74</v>
      </c>
      <c r="AT110" t="s">
        <v>335</v>
      </c>
      <c r="AU110">
        <v>2016</v>
      </c>
      <c r="AV110">
        <v>133</v>
      </c>
      <c r="AW110" t="s">
        <v>74</v>
      </c>
      <c r="AX110" t="s">
        <v>74</v>
      </c>
      <c r="AY110" t="s">
        <v>74</v>
      </c>
      <c r="AZ110" t="s">
        <v>74</v>
      </c>
      <c r="BA110" t="s">
        <v>74</v>
      </c>
      <c r="BB110">
        <v>235</v>
      </c>
      <c r="BC110">
        <v>242</v>
      </c>
      <c r="BD110" t="s">
        <v>74</v>
      </c>
      <c r="BE110" t="s">
        <v>3544</v>
      </c>
      <c r="BF110" t="str">
        <f>HYPERLINK("http://dx.doi.org/10.1016/j.ecoenv.2016.07.011","http://dx.doi.org/10.1016/j.ecoenv.2016.07.011")</f>
        <v>http://dx.doi.org/10.1016/j.ecoenv.2016.07.011</v>
      </c>
      <c r="BG110" t="s">
        <v>74</v>
      </c>
      <c r="BH110" t="s">
        <v>74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>
        <v>27472028</v>
      </c>
      <c r="BO110" t="s">
        <v>74</v>
      </c>
      <c r="BP110" t="s">
        <v>74</v>
      </c>
      <c r="BQ110" t="s">
        <v>74</v>
      </c>
      <c r="BR110" t="s">
        <v>74</v>
      </c>
      <c r="BS110" t="s">
        <v>3545</v>
      </c>
      <c r="BT110" t="str">
        <f>HYPERLINK("https%3A%2F%2Fwww.webofscience.com%2Fwos%2Fwoscc%2Ffull-record%2FWOS:000384398800027","View Full Record in Web of Science")</f>
        <v>View Full Record in Web of Science</v>
      </c>
    </row>
    <row r="111" spans="1:72" x14ac:dyDescent="0.2">
      <c r="A111" t="s">
        <v>72</v>
      </c>
      <c r="B111" t="s">
        <v>3577</v>
      </c>
      <c r="C111" t="s">
        <v>74</v>
      </c>
      <c r="D111" t="s">
        <v>74</v>
      </c>
      <c r="E111" t="s">
        <v>74</v>
      </c>
      <c r="F111" t="s">
        <v>3578</v>
      </c>
      <c r="G111" t="s">
        <v>74</v>
      </c>
      <c r="H111" t="s">
        <v>74</v>
      </c>
      <c r="I111" t="s">
        <v>3579</v>
      </c>
      <c r="J111" t="s">
        <v>3443</v>
      </c>
      <c r="K111" t="s">
        <v>74</v>
      </c>
      <c r="L111" t="s">
        <v>74</v>
      </c>
      <c r="M111" t="s">
        <v>74</v>
      </c>
      <c r="N111" t="s">
        <v>74</v>
      </c>
      <c r="O111" t="s">
        <v>74</v>
      </c>
      <c r="P111" t="s">
        <v>74</v>
      </c>
      <c r="Q111" t="s">
        <v>74</v>
      </c>
      <c r="R111" t="s">
        <v>74</v>
      </c>
      <c r="S111" t="s">
        <v>74</v>
      </c>
      <c r="T111" t="s">
        <v>74</v>
      </c>
      <c r="U111" t="s">
        <v>74</v>
      </c>
      <c r="V111" t="s">
        <v>74</v>
      </c>
      <c r="W111" t="s">
        <v>74</v>
      </c>
      <c r="X111" t="s">
        <v>74</v>
      </c>
      <c r="Y111" t="s">
        <v>74</v>
      </c>
      <c r="Z111" t="s">
        <v>74</v>
      </c>
      <c r="AA111" t="s">
        <v>74</v>
      </c>
      <c r="AB111" t="s">
        <v>3580</v>
      </c>
      <c r="AC111" t="s">
        <v>74</v>
      </c>
      <c r="AD111" t="s">
        <v>74</v>
      </c>
      <c r="AE111" t="s">
        <v>74</v>
      </c>
      <c r="AF111" t="s">
        <v>74</v>
      </c>
      <c r="AG111" t="s">
        <v>74</v>
      </c>
      <c r="AH111" t="s">
        <v>74</v>
      </c>
      <c r="AI111" t="s">
        <v>74</v>
      </c>
      <c r="AJ111" t="s">
        <v>74</v>
      </c>
      <c r="AK111" t="s">
        <v>74</v>
      </c>
      <c r="AL111" t="s">
        <v>74</v>
      </c>
      <c r="AM111" t="s">
        <v>74</v>
      </c>
      <c r="AN111" t="s">
        <v>74</v>
      </c>
      <c r="AO111" t="s">
        <v>3445</v>
      </c>
      <c r="AP111" t="s">
        <v>74</v>
      </c>
      <c r="AQ111" t="s">
        <v>74</v>
      </c>
      <c r="AR111" t="s">
        <v>74</v>
      </c>
      <c r="AS111" t="s">
        <v>74</v>
      </c>
      <c r="AT111" t="s">
        <v>538</v>
      </c>
      <c r="AU111">
        <v>2016</v>
      </c>
      <c r="AV111">
        <v>11</v>
      </c>
      <c r="AW111">
        <v>9</v>
      </c>
      <c r="AX111" t="s">
        <v>74</v>
      </c>
      <c r="AY111" t="s">
        <v>74</v>
      </c>
      <c r="AZ111" t="s">
        <v>74</v>
      </c>
      <c r="BA111" t="s">
        <v>74</v>
      </c>
      <c r="BB111" t="s">
        <v>74</v>
      </c>
      <c r="BC111" t="s">
        <v>74</v>
      </c>
      <c r="BD111" t="s">
        <v>3581</v>
      </c>
      <c r="BE111" t="s">
        <v>3582</v>
      </c>
      <c r="BF111" t="str">
        <f>HYPERLINK("http://dx.doi.org/10.1371/journal.pone.0162539","http://dx.doi.org/10.1371/journal.pone.0162539")</f>
        <v>http://dx.doi.org/10.1371/journal.pone.0162539</v>
      </c>
      <c r="BG111" t="s">
        <v>74</v>
      </c>
      <c r="BH111" t="s">
        <v>74</v>
      </c>
      <c r="BI111" t="s">
        <v>74</v>
      </c>
      <c r="BJ111" t="s">
        <v>74</v>
      </c>
      <c r="BK111" t="s">
        <v>74</v>
      </c>
      <c r="BL111" t="s">
        <v>74</v>
      </c>
      <c r="BM111" t="s">
        <v>74</v>
      </c>
      <c r="BN111">
        <v>27649395</v>
      </c>
      <c r="BO111" t="s">
        <v>74</v>
      </c>
      <c r="BP111" t="s">
        <v>74</v>
      </c>
      <c r="BQ111" t="s">
        <v>74</v>
      </c>
      <c r="BR111" t="s">
        <v>74</v>
      </c>
      <c r="BS111" t="s">
        <v>3583</v>
      </c>
      <c r="BT111" t="str">
        <f>HYPERLINK("https%3A%2F%2Fwww.webofscience.com%2Fwos%2Fwoscc%2Ffull-record%2FWOS:000383892100021","View Full Record in Web of Science")</f>
        <v>View Full Record in Web of Science</v>
      </c>
    </row>
    <row r="112" spans="1:72" x14ac:dyDescent="0.2">
      <c r="A112" t="s">
        <v>72</v>
      </c>
      <c r="B112" t="s">
        <v>3708</v>
      </c>
      <c r="C112" t="s">
        <v>74</v>
      </c>
      <c r="D112" t="s">
        <v>74</v>
      </c>
      <c r="E112" t="s">
        <v>74</v>
      </c>
      <c r="F112" t="s">
        <v>3709</v>
      </c>
      <c r="G112" t="s">
        <v>74</v>
      </c>
      <c r="H112" t="s">
        <v>74</v>
      </c>
      <c r="I112" t="s">
        <v>3710</v>
      </c>
      <c r="J112" t="s">
        <v>457</v>
      </c>
      <c r="K112" t="s">
        <v>74</v>
      </c>
      <c r="L112" t="s">
        <v>74</v>
      </c>
      <c r="M112" t="s">
        <v>74</v>
      </c>
      <c r="N112" t="s">
        <v>74</v>
      </c>
      <c r="O112" t="s">
        <v>74</v>
      </c>
      <c r="P112" t="s">
        <v>74</v>
      </c>
      <c r="Q112" t="s">
        <v>74</v>
      </c>
      <c r="R112" t="s">
        <v>74</v>
      </c>
      <c r="S112" t="s">
        <v>74</v>
      </c>
      <c r="T112" t="s">
        <v>74</v>
      </c>
      <c r="U112" t="s">
        <v>74</v>
      </c>
      <c r="V112" t="s">
        <v>74</v>
      </c>
      <c r="W112" t="s">
        <v>74</v>
      </c>
      <c r="X112" t="s">
        <v>74</v>
      </c>
      <c r="Y112" t="s">
        <v>74</v>
      </c>
      <c r="Z112" t="s">
        <v>74</v>
      </c>
      <c r="AA112" t="s">
        <v>3711</v>
      </c>
      <c r="AB112" t="s">
        <v>7050</v>
      </c>
      <c r="AC112" t="s">
        <v>74</v>
      </c>
      <c r="AD112" t="s">
        <v>74</v>
      </c>
      <c r="AE112" t="s">
        <v>74</v>
      </c>
      <c r="AF112" t="s">
        <v>74</v>
      </c>
      <c r="AG112" t="s">
        <v>74</v>
      </c>
      <c r="AH112" t="s">
        <v>74</v>
      </c>
      <c r="AI112" t="s">
        <v>74</v>
      </c>
      <c r="AJ112" t="s">
        <v>74</v>
      </c>
      <c r="AK112" t="s">
        <v>74</v>
      </c>
      <c r="AL112" t="s">
        <v>74</v>
      </c>
      <c r="AM112" t="s">
        <v>74</v>
      </c>
      <c r="AN112" t="s">
        <v>74</v>
      </c>
      <c r="AO112" t="s">
        <v>458</v>
      </c>
      <c r="AP112" t="s">
        <v>74</v>
      </c>
      <c r="AQ112" t="s">
        <v>74</v>
      </c>
      <c r="AR112" t="s">
        <v>74</v>
      </c>
      <c r="AS112" t="s">
        <v>74</v>
      </c>
      <c r="AT112" t="s">
        <v>575</v>
      </c>
      <c r="AU112">
        <v>2016</v>
      </c>
      <c r="AV112">
        <v>6</v>
      </c>
      <c r="AW112">
        <v>9</v>
      </c>
      <c r="AX112" t="s">
        <v>74</v>
      </c>
      <c r="AY112" t="s">
        <v>74</v>
      </c>
      <c r="AZ112" t="s">
        <v>74</v>
      </c>
      <c r="BA112" t="s">
        <v>74</v>
      </c>
      <c r="BB112">
        <v>2817</v>
      </c>
      <c r="BC112">
        <v>2832</v>
      </c>
      <c r="BD112" t="s">
        <v>74</v>
      </c>
      <c r="BE112" t="s">
        <v>3712</v>
      </c>
      <c r="BF112" t="str">
        <f>HYPERLINK("http://dx.doi.org/10.1002/ece3.2058","http://dx.doi.org/10.1002/ece3.2058")</f>
        <v>http://dx.doi.org/10.1002/ece3.2058</v>
      </c>
      <c r="BG112" t="s">
        <v>74</v>
      </c>
      <c r="BH112" t="s">
        <v>74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>
        <v>27217941</v>
      </c>
      <c r="BO112" t="s">
        <v>74</v>
      </c>
      <c r="BP112" t="s">
        <v>74</v>
      </c>
      <c r="BQ112" t="s">
        <v>74</v>
      </c>
      <c r="BR112" t="s">
        <v>74</v>
      </c>
      <c r="BS112" t="s">
        <v>3713</v>
      </c>
      <c r="BT112" t="str">
        <f>HYPERLINK("https%3A%2F%2Fwww.webofscience.com%2Fwos%2Fwoscc%2Ffull-record%2FWOS:000376149400016","View Full Record in Web of Science")</f>
        <v>View Full Record in Web of Science</v>
      </c>
    </row>
    <row r="113" spans="1:72" x14ac:dyDescent="0.2">
      <c r="A113" t="s">
        <v>72</v>
      </c>
      <c r="B113" t="s">
        <v>3749</v>
      </c>
      <c r="C113" t="s">
        <v>74</v>
      </c>
      <c r="D113" t="s">
        <v>74</v>
      </c>
      <c r="E113" t="s">
        <v>74</v>
      </c>
      <c r="F113" t="s">
        <v>3750</v>
      </c>
      <c r="G113" t="s">
        <v>74</v>
      </c>
      <c r="H113" t="s">
        <v>74</v>
      </c>
      <c r="I113" t="s">
        <v>3751</v>
      </c>
      <c r="J113" t="s">
        <v>2849</v>
      </c>
      <c r="K113" t="s">
        <v>74</v>
      </c>
      <c r="L113" t="s">
        <v>74</v>
      </c>
      <c r="M113" t="s">
        <v>74</v>
      </c>
      <c r="N113" t="s">
        <v>74</v>
      </c>
      <c r="O113" t="s">
        <v>74</v>
      </c>
      <c r="P113" t="s">
        <v>74</v>
      </c>
      <c r="Q113" t="s">
        <v>74</v>
      </c>
      <c r="R113" t="s">
        <v>74</v>
      </c>
      <c r="S113" t="s">
        <v>74</v>
      </c>
      <c r="T113" t="s">
        <v>74</v>
      </c>
      <c r="U113" t="s">
        <v>74</v>
      </c>
      <c r="V113" t="s">
        <v>74</v>
      </c>
      <c r="W113" t="s">
        <v>74</v>
      </c>
      <c r="X113" t="s">
        <v>74</v>
      </c>
      <c r="Y113" t="s">
        <v>74</v>
      </c>
      <c r="Z113" t="s">
        <v>74</v>
      </c>
      <c r="AA113" t="s">
        <v>3752</v>
      </c>
      <c r="AB113" t="s">
        <v>74</v>
      </c>
      <c r="AC113" t="s">
        <v>74</v>
      </c>
      <c r="AD113" t="s">
        <v>74</v>
      </c>
      <c r="AE113" t="s">
        <v>74</v>
      </c>
      <c r="AF113" t="s">
        <v>74</v>
      </c>
      <c r="AG113" t="s">
        <v>74</v>
      </c>
      <c r="AH113" t="s">
        <v>74</v>
      </c>
      <c r="AI113" t="s">
        <v>74</v>
      </c>
      <c r="AJ113" t="s">
        <v>74</v>
      </c>
      <c r="AK113" t="s">
        <v>74</v>
      </c>
      <c r="AL113" t="s">
        <v>74</v>
      </c>
      <c r="AM113" t="s">
        <v>74</v>
      </c>
      <c r="AN113" t="s">
        <v>74</v>
      </c>
      <c r="AO113" t="s">
        <v>2852</v>
      </c>
      <c r="AP113" t="s">
        <v>74</v>
      </c>
      <c r="AQ113" t="s">
        <v>74</v>
      </c>
      <c r="AR113" t="s">
        <v>74</v>
      </c>
      <c r="AS113" t="s">
        <v>74</v>
      </c>
      <c r="AT113" t="s">
        <v>203</v>
      </c>
      <c r="AU113">
        <v>2016</v>
      </c>
      <c r="AV113">
        <v>14</v>
      </c>
      <c r="AW113">
        <v>4</v>
      </c>
      <c r="AX113" t="s">
        <v>74</v>
      </c>
      <c r="AY113" t="s">
        <v>74</v>
      </c>
      <c r="AZ113" t="s">
        <v>74</v>
      </c>
      <c r="BA113" t="s">
        <v>74</v>
      </c>
      <c r="BB113">
        <v>231</v>
      </c>
      <c r="BC113">
        <v>244</v>
      </c>
      <c r="BD113" t="s">
        <v>74</v>
      </c>
      <c r="BE113" t="s">
        <v>3753</v>
      </c>
      <c r="BF113" t="str">
        <f>HYPERLINK("http://dx.doi.org/10.1002/lom3.10084","http://dx.doi.org/10.1002/lom3.10084")</f>
        <v>http://dx.doi.org/10.1002/lom3.10084</v>
      </c>
      <c r="BG113" t="s">
        <v>74</v>
      </c>
      <c r="BH113" t="s">
        <v>74</v>
      </c>
      <c r="BI113" t="s">
        <v>74</v>
      </c>
      <c r="BJ113" t="s">
        <v>74</v>
      </c>
      <c r="BK113" t="s">
        <v>74</v>
      </c>
      <c r="BL113" t="s">
        <v>74</v>
      </c>
      <c r="BM113" t="s">
        <v>74</v>
      </c>
      <c r="BN113" t="s">
        <v>74</v>
      </c>
      <c r="BO113" t="s">
        <v>74</v>
      </c>
      <c r="BP113" t="s">
        <v>74</v>
      </c>
      <c r="BQ113" t="s">
        <v>74</v>
      </c>
      <c r="BR113" t="s">
        <v>74</v>
      </c>
      <c r="BS113" t="s">
        <v>3754</v>
      </c>
      <c r="BT113" t="str">
        <f>HYPERLINK("https%3A%2F%2Fwww.webofscience.com%2Fwos%2Fwoscc%2Ffull-record%2FWOS:000374774300001","View Full Record in Web of Science")</f>
        <v>View Full Record in Web of Science</v>
      </c>
    </row>
    <row r="114" spans="1:72" x14ac:dyDescent="0.2">
      <c r="A114" t="s">
        <v>72</v>
      </c>
      <c r="B114" t="s">
        <v>3802</v>
      </c>
      <c r="C114" t="s">
        <v>74</v>
      </c>
      <c r="D114" t="s">
        <v>74</v>
      </c>
      <c r="E114" t="s">
        <v>74</v>
      </c>
      <c r="F114" t="s">
        <v>3803</v>
      </c>
      <c r="G114" t="s">
        <v>74</v>
      </c>
      <c r="H114" t="s">
        <v>74</v>
      </c>
      <c r="I114" t="s">
        <v>3804</v>
      </c>
      <c r="J114" t="s">
        <v>3805</v>
      </c>
      <c r="K114" t="s">
        <v>74</v>
      </c>
      <c r="L114" t="s">
        <v>74</v>
      </c>
      <c r="M114" t="s">
        <v>74</v>
      </c>
      <c r="N114" t="s">
        <v>74</v>
      </c>
      <c r="O114" t="s">
        <v>74</v>
      </c>
      <c r="P114" t="s">
        <v>74</v>
      </c>
      <c r="Q114" t="s">
        <v>74</v>
      </c>
      <c r="R114" t="s">
        <v>74</v>
      </c>
      <c r="S114" t="s">
        <v>74</v>
      </c>
      <c r="T114" t="s">
        <v>74</v>
      </c>
      <c r="U114" t="s">
        <v>74</v>
      </c>
      <c r="V114" t="s">
        <v>74</v>
      </c>
      <c r="W114" t="s">
        <v>74</v>
      </c>
      <c r="X114" t="s">
        <v>74</v>
      </c>
      <c r="Y114" t="s">
        <v>74</v>
      </c>
      <c r="Z114" t="s">
        <v>74</v>
      </c>
      <c r="AA114" t="s">
        <v>3806</v>
      </c>
      <c r="AB114" t="s">
        <v>3807</v>
      </c>
      <c r="AC114" t="s">
        <v>74</v>
      </c>
      <c r="AD114" t="s">
        <v>74</v>
      </c>
      <c r="AE114" t="s">
        <v>74</v>
      </c>
      <c r="AF114" t="s">
        <v>74</v>
      </c>
      <c r="AG114" t="s">
        <v>74</v>
      </c>
      <c r="AH114" t="s">
        <v>74</v>
      </c>
      <c r="AI114" t="s">
        <v>74</v>
      </c>
      <c r="AJ114" t="s">
        <v>74</v>
      </c>
      <c r="AK114" t="s">
        <v>74</v>
      </c>
      <c r="AL114" t="s">
        <v>74</v>
      </c>
      <c r="AM114" t="s">
        <v>74</v>
      </c>
      <c r="AN114" t="s">
        <v>74</v>
      </c>
      <c r="AO114" t="s">
        <v>3808</v>
      </c>
      <c r="AP114" t="s">
        <v>3809</v>
      </c>
      <c r="AQ114" t="s">
        <v>74</v>
      </c>
      <c r="AR114" t="s">
        <v>74</v>
      </c>
      <c r="AS114" t="s">
        <v>74</v>
      </c>
      <c r="AT114" t="s">
        <v>790</v>
      </c>
      <c r="AU114">
        <v>2016</v>
      </c>
      <c r="AV114">
        <v>320</v>
      </c>
      <c r="AW114" t="s">
        <v>74</v>
      </c>
      <c r="AX114" t="s">
        <v>74</v>
      </c>
      <c r="AY114" t="s">
        <v>74</v>
      </c>
      <c r="AZ114" t="s">
        <v>74</v>
      </c>
      <c r="BA114" t="s">
        <v>74</v>
      </c>
      <c r="BB114">
        <v>393</v>
      </c>
      <c r="BC114">
        <v>406</v>
      </c>
      <c r="BD114" t="s">
        <v>74</v>
      </c>
      <c r="BE114" t="s">
        <v>3810</v>
      </c>
      <c r="BF114" t="str">
        <f>HYPERLINK("http://dx.doi.org/10.1016/j.ecolmodel.2015.10.028","http://dx.doi.org/10.1016/j.ecolmodel.2015.10.028")</f>
        <v>http://dx.doi.org/10.1016/j.ecolmodel.2015.10.028</v>
      </c>
      <c r="BG114" t="s">
        <v>74</v>
      </c>
      <c r="BH114" t="s">
        <v>74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 t="s">
        <v>74</v>
      </c>
      <c r="BO114" t="s">
        <v>74</v>
      </c>
      <c r="BP114" t="s">
        <v>74</v>
      </c>
      <c r="BQ114" t="s">
        <v>74</v>
      </c>
      <c r="BR114" t="s">
        <v>74</v>
      </c>
      <c r="BS114" t="s">
        <v>3811</v>
      </c>
      <c r="BT114" t="str">
        <f>HYPERLINK("https%3A%2F%2Fwww.webofscience.com%2Fwos%2Fwoscc%2Ffull-record%2FWOS:000368313300035","View Full Record in Web of Science")</f>
        <v>View Full Record in Web of Science</v>
      </c>
    </row>
    <row r="115" spans="1:72" x14ac:dyDescent="0.2">
      <c r="A115" t="s">
        <v>72</v>
      </c>
      <c r="B115" t="s">
        <v>3891</v>
      </c>
      <c r="C115" t="s">
        <v>74</v>
      </c>
      <c r="D115" t="s">
        <v>74</v>
      </c>
      <c r="E115" t="s">
        <v>74</v>
      </c>
      <c r="F115" t="s">
        <v>3892</v>
      </c>
      <c r="G115" t="s">
        <v>74</v>
      </c>
      <c r="H115" t="s">
        <v>74</v>
      </c>
      <c r="I115" t="s">
        <v>3893</v>
      </c>
      <c r="J115" t="s">
        <v>423</v>
      </c>
      <c r="K115" t="s">
        <v>74</v>
      </c>
      <c r="L115" t="s">
        <v>74</v>
      </c>
      <c r="M115" t="s">
        <v>74</v>
      </c>
      <c r="N115" t="s">
        <v>74</v>
      </c>
      <c r="O115" t="s">
        <v>74</v>
      </c>
      <c r="P115" t="s">
        <v>74</v>
      </c>
      <c r="Q115" t="s">
        <v>74</v>
      </c>
      <c r="R115" t="s">
        <v>74</v>
      </c>
      <c r="S115" t="s">
        <v>74</v>
      </c>
      <c r="T115" t="s">
        <v>74</v>
      </c>
      <c r="U115" t="s">
        <v>74</v>
      </c>
      <c r="V115" t="s">
        <v>74</v>
      </c>
      <c r="W115" t="s">
        <v>74</v>
      </c>
      <c r="X115" t="s">
        <v>74</v>
      </c>
      <c r="Y115" t="s">
        <v>74</v>
      </c>
      <c r="Z115" t="s">
        <v>74</v>
      </c>
      <c r="AA115" t="s">
        <v>3894</v>
      </c>
      <c r="AB115" t="s">
        <v>3895</v>
      </c>
      <c r="AC115" t="s">
        <v>74</v>
      </c>
      <c r="AD115" t="s">
        <v>74</v>
      </c>
      <c r="AE115" t="s">
        <v>74</v>
      </c>
      <c r="AF115" t="s">
        <v>74</v>
      </c>
      <c r="AG115" t="s">
        <v>74</v>
      </c>
      <c r="AH115" t="s">
        <v>74</v>
      </c>
      <c r="AI115" t="s">
        <v>74</v>
      </c>
      <c r="AJ115" t="s">
        <v>74</v>
      </c>
      <c r="AK115" t="s">
        <v>74</v>
      </c>
      <c r="AL115" t="s">
        <v>74</v>
      </c>
      <c r="AM115" t="s">
        <v>74</v>
      </c>
      <c r="AN115" t="s">
        <v>74</v>
      </c>
      <c r="AO115" t="s">
        <v>425</v>
      </c>
      <c r="AP115" t="s">
        <v>426</v>
      </c>
      <c r="AQ115" t="s">
        <v>74</v>
      </c>
      <c r="AR115" t="s">
        <v>74</v>
      </c>
      <c r="AS115" t="s">
        <v>74</v>
      </c>
      <c r="AT115" t="s">
        <v>406</v>
      </c>
      <c r="AU115">
        <v>2015</v>
      </c>
      <c r="AV115">
        <v>60</v>
      </c>
      <c r="AW115">
        <v>10</v>
      </c>
      <c r="AX115" t="s">
        <v>74</v>
      </c>
      <c r="AY115" t="s">
        <v>74</v>
      </c>
      <c r="AZ115" t="s">
        <v>74</v>
      </c>
      <c r="BA115" t="s">
        <v>74</v>
      </c>
      <c r="BB115">
        <v>2003</v>
      </c>
      <c r="BC115">
        <v>2018</v>
      </c>
      <c r="BD115" t="s">
        <v>74</v>
      </c>
      <c r="BE115" t="s">
        <v>3896</v>
      </c>
      <c r="BF115" t="str">
        <f>HYPERLINK("http://dx.doi.org/10.1111/fwb.12626","http://dx.doi.org/10.1111/fwb.12626")</f>
        <v>http://dx.doi.org/10.1111/fwb.12626</v>
      </c>
      <c r="BG115" t="s">
        <v>74</v>
      </c>
      <c r="BH115" t="s">
        <v>74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 t="s">
        <v>74</v>
      </c>
      <c r="BO115" t="s">
        <v>74</v>
      </c>
      <c r="BP115" t="s">
        <v>74</v>
      </c>
      <c r="BQ115" t="s">
        <v>74</v>
      </c>
      <c r="BR115" t="s">
        <v>74</v>
      </c>
      <c r="BS115" t="s">
        <v>3897</v>
      </c>
      <c r="BT115" t="str">
        <f>HYPERLINK("https%3A%2F%2Fwww.webofscience.com%2Fwos%2Fwoscc%2Ffull-record%2FWOS:000361037900003","View Full Record in Web of Science")</f>
        <v>View Full Record in Web of Science</v>
      </c>
    </row>
    <row r="116" spans="1:72" x14ac:dyDescent="0.2">
      <c r="A116" t="s">
        <v>72</v>
      </c>
      <c r="B116" t="s">
        <v>3898</v>
      </c>
      <c r="C116" t="s">
        <v>74</v>
      </c>
      <c r="D116" t="s">
        <v>74</v>
      </c>
      <c r="E116" t="s">
        <v>74</v>
      </c>
      <c r="F116" t="s">
        <v>3899</v>
      </c>
      <c r="G116" t="s">
        <v>74</v>
      </c>
      <c r="H116" t="s">
        <v>74</v>
      </c>
      <c r="I116" t="s">
        <v>3900</v>
      </c>
      <c r="J116" t="s">
        <v>3443</v>
      </c>
      <c r="K116" t="s">
        <v>74</v>
      </c>
      <c r="L116" t="s">
        <v>74</v>
      </c>
      <c r="M116" t="s">
        <v>74</v>
      </c>
      <c r="N116" t="s">
        <v>74</v>
      </c>
      <c r="O116" t="s">
        <v>74</v>
      </c>
      <c r="P116" t="s">
        <v>74</v>
      </c>
      <c r="Q116" t="s">
        <v>74</v>
      </c>
      <c r="R116" t="s">
        <v>74</v>
      </c>
      <c r="S116" t="s">
        <v>74</v>
      </c>
      <c r="T116" t="s">
        <v>74</v>
      </c>
      <c r="U116" t="s">
        <v>74</v>
      </c>
      <c r="V116" t="s">
        <v>74</v>
      </c>
      <c r="W116" t="s">
        <v>74</v>
      </c>
      <c r="X116" t="s">
        <v>74</v>
      </c>
      <c r="Y116" t="s">
        <v>74</v>
      </c>
      <c r="Z116" t="s">
        <v>74</v>
      </c>
      <c r="AA116" t="s">
        <v>7061</v>
      </c>
      <c r="AB116" t="s">
        <v>7062</v>
      </c>
      <c r="AC116" t="s">
        <v>74</v>
      </c>
      <c r="AD116" t="s">
        <v>74</v>
      </c>
      <c r="AE116" t="s">
        <v>74</v>
      </c>
      <c r="AF116" t="s">
        <v>74</v>
      </c>
      <c r="AG116" t="s">
        <v>74</v>
      </c>
      <c r="AH116" t="s">
        <v>74</v>
      </c>
      <c r="AI116" t="s">
        <v>74</v>
      </c>
      <c r="AJ116" t="s">
        <v>74</v>
      </c>
      <c r="AK116" t="s">
        <v>74</v>
      </c>
      <c r="AL116" t="s">
        <v>74</v>
      </c>
      <c r="AM116" t="s">
        <v>74</v>
      </c>
      <c r="AN116" t="s">
        <v>74</v>
      </c>
      <c r="AO116" t="s">
        <v>3445</v>
      </c>
      <c r="AP116" t="s">
        <v>74</v>
      </c>
      <c r="AQ116" t="s">
        <v>74</v>
      </c>
      <c r="AR116" t="s">
        <v>74</v>
      </c>
      <c r="AS116" t="s">
        <v>74</v>
      </c>
      <c r="AT116" t="s">
        <v>3245</v>
      </c>
      <c r="AU116">
        <v>2015</v>
      </c>
      <c r="AV116">
        <v>10</v>
      </c>
      <c r="AW116">
        <v>9</v>
      </c>
      <c r="AX116" t="s">
        <v>74</v>
      </c>
      <c r="AY116" t="s">
        <v>74</v>
      </c>
      <c r="AZ116" t="s">
        <v>74</v>
      </c>
      <c r="BA116" t="s">
        <v>74</v>
      </c>
      <c r="BB116" t="s">
        <v>74</v>
      </c>
      <c r="BC116" t="s">
        <v>74</v>
      </c>
      <c r="BD116" t="s">
        <v>3901</v>
      </c>
      <c r="BE116" t="s">
        <v>3902</v>
      </c>
      <c r="BF116" t="str">
        <f>HYPERLINK("http://dx.doi.org/10.1371/journal.pone.0137085","http://dx.doi.org/10.1371/journal.pone.0137085")</f>
        <v>http://dx.doi.org/10.1371/journal.pone.0137085</v>
      </c>
      <c r="BG116" t="s">
        <v>74</v>
      </c>
      <c r="BH116" t="s">
        <v>74</v>
      </c>
      <c r="BI116" t="s">
        <v>74</v>
      </c>
      <c r="BJ116" t="s">
        <v>74</v>
      </c>
      <c r="BK116" t="s">
        <v>74</v>
      </c>
      <c r="BL116" t="s">
        <v>74</v>
      </c>
      <c r="BM116" t="s">
        <v>74</v>
      </c>
      <c r="BN116">
        <v>26348482</v>
      </c>
      <c r="BO116" t="s">
        <v>74</v>
      </c>
      <c r="BP116" t="s">
        <v>74</v>
      </c>
      <c r="BQ116" t="s">
        <v>74</v>
      </c>
      <c r="BR116" t="s">
        <v>74</v>
      </c>
      <c r="BS116" t="s">
        <v>3903</v>
      </c>
      <c r="BT116" t="str">
        <f>HYPERLINK("https%3A%2F%2Fwww.webofscience.com%2Fwos%2Fwoscc%2Ffull-record%2FWOS:000360897600020","View Full Record in Web of Science")</f>
        <v>View Full Record in Web of Science</v>
      </c>
    </row>
    <row r="117" spans="1:72" x14ac:dyDescent="0.2">
      <c r="A117" t="s">
        <v>72</v>
      </c>
      <c r="B117" t="s">
        <v>3911</v>
      </c>
      <c r="C117" t="s">
        <v>74</v>
      </c>
      <c r="D117" t="s">
        <v>74</v>
      </c>
      <c r="E117" t="s">
        <v>74</v>
      </c>
      <c r="F117" t="s">
        <v>3912</v>
      </c>
      <c r="G117" t="s">
        <v>74</v>
      </c>
      <c r="H117" t="s">
        <v>74</v>
      </c>
      <c r="I117" t="s">
        <v>3913</v>
      </c>
      <c r="J117" t="s">
        <v>180</v>
      </c>
      <c r="K117" t="s">
        <v>74</v>
      </c>
      <c r="L117" t="s">
        <v>74</v>
      </c>
      <c r="M117" t="s">
        <v>74</v>
      </c>
      <c r="N117" t="s">
        <v>74</v>
      </c>
      <c r="O117" t="s">
        <v>74</v>
      </c>
      <c r="P117" t="s">
        <v>74</v>
      </c>
      <c r="Q117" t="s">
        <v>74</v>
      </c>
      <c r="R117" t="s">
        <v>74</v>
      </c>
      <c r="S117" t="s">
        <v>74</v>
      </c>
      <c r="T117" t="s">
        <v>74</v>
      </c>
      <c r="U117" t="s">
        <v>74</v>
      </c>
      <c r="V117" t="s">
        <v>74</v>
      </c>
      <c r="W117" t="s">
        <v>74</v>
      </c>
      <c r="X117" t="s">
        <v>74</v>
      </c>
      <c r="Y117" t="s">
        <v>74</v>
      </c>
      <c r="Z117" t="s">
        <v>74</v>
      </c>
      <c r="AA117" t="s">
        <v>74</v>
      </c>
      <c r="AB117" t="s">
        <v>74</v>
      </c>
      <c r="AC117" t="s">
        <v>74</v>
      </c>
      <c r="AD117" t="s">
        <v>74</v>
      </c>
      <c r="AE117" t="s">
        <v>74</v>
      </c>
      <c r="AF117" t="s">
        <v>74</v>
      </c>
      <c r="AG117" t="s">
        <v>74</v>
      </c>
      <c r="AH117" t="s">
        <v>74</v>
      </c>
      <c r="AI117" t="s">
        <v>74</v>
      </c>
      <c r="AJ117" t="s">
        <v>74</v>
      </c>
      <c r="AK117" t="s">
        <v>74</v>
      </c>
      <c r="AL117" t="s">
        <v>74</v>
      </c>
      <c r="AM117" t="s">
        <v>74</v>
      </c>
      <c r="AN117" t="s">
        <v>74</v>
      </c>
      <c r="AO117" t="s">
        <v>182</v>
      </c>
      <c r="AP117" t="s">
        <v>183</v>
      </c>
      <c r="AQ117" t="s">
        <v>74</v>
      </c>
      <c r="AR117" t="s">
        <v>74</v>
      </c>
      <c r="AS117" t="s">
        <v>74</v>
      </c>
      <c r="AT117" t="s">
        <v>451</v>
      </c>
      <c r="AU117">
        <v>2015</v>
      </c>
      <c r="AV117">
        <v>124</v>
      </c>
      <c r="AW117">
        <v>9</v>
      </c>
      <c r="AX117" t="s">
        <v>74</v>
      </c>
      <c r="AY117" t="s">
        <v>74</v>
      </c>
      <c r="AZ117" t="s">
        <v>74</v>
      </c>
      <c r="BA117" t="s">
        <v>74</v>
      </c>
      <c r="BB117">
        <v>1192</v>
      </c>
      <c r="BC117">
        <v>1202</v>
      </c>
      <c r="BD117" t="s">
        <v>74</v>
      </c>
      <c r="BE117" t="s">
        <v>3914</v>
      </c>
      <c r="BF117" t="str">
        <f>HYPERLINK("http://dx.doi.org/10.1111/oik.01463","http://dx.doi.org/10.1111/oik.01463")</f>
        <v>http://dx.doi.org/10.1111/oik.01463</v>
      </c>
      <c r="BG117" t="s">
        <v>74</v>
      </c>
      <c r="BH117" t="s">
        <v>74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 t="s">
        <v>74</v>
      </c>
      <c r="BR117" t="s">
        <v>74</v>
      </c>
      <c r="BS117" t="s">
        <v>3915</v>
      </c>
      <c r="BT117" t="str">
        <f>HYPERLINK("https%3A%2F%2Fwww.webofscience.com%2Fwos%2Fwoscc%2Ffull-record%2FWOS:000360823400009","View Full Record in Web of Science")</f>
        <v>View Full Record in Web of Science</v>
      </c>
    </row>
    <row r="118" spans="1:72" x14ac:dyDescent="0.2">
      <c r="A118" t="s">
        <v>72</v>
      </c>
      <c r="B118" t="s">
        <v>3924</v>
      </c>
      <c r="C118" t="s">
        <v>74</v>
      </c>
      <c r="D118" t="s">
        <v>74</v>
      </c>
      <c r="E118" t="s">
        <v>74</v>
      </c>
      <c r="F118" t="s">
        <v>3925</v>
      </c>
      <c r="G118" t="s">
        <v>74</v>
      </c>
      <c r="H118" t="s">
        <v>74</v>
      </c>
      <c r="I118" t="s">
        <v>3926</v>
      </c>
      <c r="J118" t="s">
        <v>3927</v>
      </c>
      <c r="K118" t="s">
        <v>74</v>
      </c>
      <c r="L118" t="s">
        <v>74</v>
      </c>
      <c r="M118" t="s">
        <v>74</v>
      </c>
      <c r="N118" t="s">
        <v>74</v>
      </c>
      <c r="O118" t="s">
        <v>74</v>
      </c>
      <c r="P118" t="s">
        <v>74</v>
      </c>
      <c r="Q118" t="s">
        <v>74</v>
      </c>
      <c r="R118" t="s">
        <v>74</v>
      </c>
      <c r="S118" t="s">
        <v>74</v>
      </c>
      <c r="T118" t="s">
        <v>74</v>
      </c>
      <c r="U118" t="s">
        <v>74</v>
      </c>
      <c r="V118" t="s">
        <v>74</v>
      </c>
      <c r="W118" t="s">
        <v>74</v>
      </c>
      <c r="X118" t="s">
        <v>74</v>
      </c>
      <c r="Y118" t="s">
        <v>74</v>
      </c>
      <c r="Z118" t="s">
        <v>74</v>
      </c>
      <c r="AA118" t="s">
        <v>7065</v>
      </c>
      <c r="AB118" t="s">
        <v>7066</v>
      </c>
      <c r="AC118" t="s">
        <v>74</v>
      </c>
      <c r="AD118" t="s">
        <v>74</v>
      </c>
      <c r="AE118" t="s">
        <v>74</v>
      </c>
      <c r="AF118" t="s">
        <v>74</v>
      </c>
      <c r="AG118" t="s">
        <v>74</v>
      </c>
      <c r="AH118" t="s">
        <v>74</v>
      </c>
      <c r="AI118" t="s">
        <v>74</v>
      </c>
      <c r="AJ118" t="s">
        <v>74</v>
      </c>
      <c r="AK118" t="s">
        <v>74</v>
      </c>
      <c r="AL118" t="s">
        <v>74</v>
      </c>
      <c r="AM118" t="s">
        <v>74</v>
      </c>
      <c r="AN118" t="s">
        <v>74</v>
      </c>
      <c r="AO118" t="s">
        <v>3928</v>
      </c>
      <c r="AP118" t="s">
        <v>3929</v>
      </c>
      <c r="AQ118" t="s">
        <v>74</v>
      </c>
      <c r="AR118" t="s">
        <v>74</v>
      </c>
      <c r="AS118" t="s">
        <v>74</v>
      </c>
      <c r="AT118" t="s">
        <v>3930</v>
      </c>
      <c r="AU118">
        <v>2015</v>
      </c>
      <c r="AV118">
        <v>34</v>
      </c>
      <c r="AW118" t="s">
        <v>74</v>
      </c>
      <c r="AX118" t="s">
        <v>74</v>
      </c>
      <c r="AY118" t="s">
        <v>74</v>
      </c>
      <c r="AZ118" t="s">
        <v>74</v>
      </c>
      <c r="BA118" t="s">
        <v>74</v>
      </c>
      <c r="BB118">
        <v>28</v>
      </c>
      <c r="BC118">
        <v>36</v>
      </c>
      <c r="BD118" t="s">
        <v>74</v>
      </c>
      <c r="BE118" t="s">
        <v>3931</v>
      </c>
      <c r="BF118" t="str">
        <f>HYPERLINK("http://dx.doi.org/10.1016/j.jes.2015.03.003","http://dx.doi.org/10.1016/j.jes.2015.03.003")</f>
        <v>http://dx.doi.org/10.1016/j.jes.2015.03.003</v>
      </c>
      <c r="BG118" t="s">
        <v>74</v>
      </c>
      <c r="BH118" t="s">
        <v>74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>
        <v>26257343</v>
      </c>
      <c r="BO118" t="s">
        <v>74</v>
      </c>
      <c r="BP118" t="s">
        <v>74</v>
      </c>
      <c r="BQ118" t="s">
        <v>74</v>
      </c>
      <c r="BR118" t="s">
        <v>74</v>
      </c>
      <c r="BS118" t="s">
        <v>3932</v>
      </c>
      <c r="BT118" t="str">
        <f>HYPERLINK("https%3A%2F%2Fwww.webofscience.com%2Fwos%2Fwoscc%2Ffull-record%2FWOS:000362980400004","View Full Record in Web of Science")</f>
        <v>View Full Record in Web of Science</v>
      </c>
    </row>
    <row r="119" spans="1:72" x14ac:dyDescent="0.2">
      <c r="A119" t="s">
        <v>72</v>
      </c>
      <c r="B119" t="s">
        <v>3953</v>
      </c>
      <c r="C119" t="s">
        <v>74</v>
      </c>
      <c r="D119" t="s">
        <v>74</v>
      </c>
      <c r="E119" t="s">
        <v>74</v>
      </c>
      <c r="F119" t="s">
        <v>3954</v>
      </c>
      <c r="G119" t="s">
        <v>74</v>
      </c>
      <c r="H119" t="s">
        <v>74</v>
      </c>
      <c r="I119" t="s">
        <v>3955</v>
      </c>
      <c r="J119" t="s">
        <v>502</v>
      </c>
      <c r="K119" t="s">
        <v>74</v>
      </c>
      <c r="L119" t="s">
        <v>74</v>
      </c>
      <c r="M119" t="s">
        <v>74</v>
      </c>
      <c r="N119" t="s">
        <v>74</v>
      </c>
      <c r="O119" t="s">
        <v>74</v>
      </c>
      <c r="P119" t="s">
        <v>74</v>
      </c>
      <c r="Q119" t="s">
        <v>74</v>
      </c>
      <c r="R119" t="s">
        <v>74</v>
      </c>
      <c r="S119" t="s">
        <v>74</v>
      </c>
      <c r="T119" t="s">
        <v>74</v>
      </c>
      <c r="U119" t="s">
        <v>74</v>
      </c>
      <c r="V119" t="s">
        <v>74</v>
      </c>
      <c r="W119" t="s">
        <v>74</v>
      </c>
      <c r="X119" t="s">
        <v>74</v>
      </c>
      <c r="Y119" t="s">
        <v>74</v>
      </c>
      <c r="Z119" t="s">
        <v>74</v>
      </c>
      <c r="AA119" t="s">
        <v>7071</v>
      </c>
      <c r="AB119" t="s">
        <v>7072</v>
      </c>
      <c r="AC119" t="s">
        <v>74</v>
      </c>
      <c r="AD119" t="s">
        <v>74</v>
      </c>
      <c r="AE119" t="s">
        <v>74</v>
      </c>
      <c r="AF119" t="s">
        <v>74</v>
      </c>
      <c r="AG119" t="s">
        <v>74</v>
      </c>
      <c r="AH119" t="s">
        <v>74</v>
      </c>
      <c r="AI119" t="s">
        <v>74</v>
      </c>
      <c r="AJ119" t="s">
        <v>74</v>
      </c>
      <c r="AK119" t="s">
        <v>74</v>
      </c>
      <c r="AL119" t="s">
        <v>74</v>
      </c>
      <c r="AM119" t="s">
        <v>74</v>
      </c>
      <c r="AN119" t="s">
        <v>74</v>
      </c>
      <c r="AO119" t="s">
        <v>503</v>
      </c>
      <c r="AP119" t="s">
        <v>504</v>
      </c>
      <c r="AQ119" t="s">
        <v>74</v>
      </c>
      <c r="AR119" t="s">
        <v>74</v>
      </c>
      <c r="AS119" t="s">
        <v>74</v>
      </c>
      <c r="AT119" t="s">
        <v>569</v>
      </c>
      <c r="AU119">
        <v>2015</v>
      </c>
      <c r="AV119">
        <v>53</v>
      </c>
      <c r="AW119" t="s">
        <v>74</v>
      </c>
      <c r="AX119" t="s">
        <v>74</v>
      </c>
      <c r="AY119" t="s">
        <v>74</v>
      </c>
      <c r="AZ119" t="s">
        <v>74</v>
      </c>
      <c r="BA119" t="s">
        <v>74</v>
      </c>
      <c r="BB119">
        <v>271</v>
      </c>
      <c r="BC119">
        <v>282</v>
      </c>
      <c r="BD119" t="s">
        <v>74</v>
      </c>
      <c r="BE119" t="s">
        <v>3956</v>
      </c>
      <c r="BF119" t="str">
        <f>HYPERLINK("http://dx.doi.org/10.1016/j.ecolind.2015.02.007","http://dx.doi.org/10.1016/j.ecolind.2015.02.007")</f>
        <v>http://dx.doi.org/10.1016/j.ecolind.2015.02.007</v>
      </c>
      <c r="BG119" t="s">
        <v>74</v>
      </c>
      <c r="BH119" t="s">
        <v>74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 t="s">
        <v>74</v>
      </c>
      <c r="BO119" t="s">
        <v>74</v>
      </c>
      <c r="BP119" t="s">
        <v>74</v>
      </c>
      <c r="BQ119" t="s">
        <v>74</v>
      </c>
      <c r="BR119" t="s">
        <v>74</v>
      </c>
      <c r="BS119" t="s">
        <v>3957</v>
      </c>
      <c r="BT119" t="str">
        <f>HYPERLINK("https%3A%2F%2Fwww.webofscience.com%2Fwos%2Fwoscc%2Ffull-record%2FWOS:000352661900031","View Full Record in Web of Science")</f>
        <v>View Full Record in Web of Science</v>
      </c>
    </row>
    <row r="120" spans="1:72" x14ac:dyDescent="0.2">
      <c r="A120" t="s">
        <v>72</v>
      </c>
      <c r="B120" t="s">
        <v>3963</v>
      </c>
      <c r="C120" t="s">
        <v>74</v>
      </c>
      <c r="D120" t="s">
        <v>74</v>
      </c>
      <c r="E120" t="s">
        <v>74</v>
      </c>
      <c r="F120" t="s">
        <v>3964</v>
      </c>
      <c r="G120" t="s">
        <v>74</v>
      </c>
      <c r="H120" t="s">
        <v>74</v>
      </c>
      <c r="I120" t="s">
        <v>3965</v>
      </c>
      <c r="J120" t="s">
        <v>3443</v>
      </c>
      <c r="K120" t="s">
        <v>74</v>
      </c>
      <c r="L120" t="s">
        <v>74</v>
      </c>
      <c r="M120" t="s">
        <v>74</v>
      </c>
      <c r="N120" t="s">
        <v>74</v>
      </c>
      <c r="O120" t="s">
        <v>74</v>
      </c>
      <c r="P120" t="s">
        <v>74</v>
      </c>
      <c r="Q120" t="s">
        <v>74</v>
      </c>
      <c r="R120" t="s">
        <v>74</v>
      </c>
      <c r="S120" t="s">
        <v>74</v>
      </c>
      <c r="T120" t="s">
        <v>74</v>
      </c>
      <c r="U120" t="s">
        <v>74</v>
      </c>
      <c r="V120" t="s">
        <v>74</v>
      </c>
      <c r="W120" t="s">
        <v>74</v>
      </c>
      <c r="X120" t="s">
        <v>74</v>
      </c>
      <c r="Y120" t="s">
        <v>74</v>
      </c>
      <c r="Z120" t="s">
        <v>74</v>
      </c>
      <c r="AA120" t="s">
        <v>74</v>
      </c>
      <c r="AB120" t="s">
        <v>3966</v>
      </c>
      <c r="AC120" t="s">
        <v>74</v>
      </c>
      <c r="AD120" t="s">
        <v>74</v>
      </c>
      <c r="AE120" t="s">
        <v>74</v>
      </c>
      <c r="AF120" t="s">
        <v>74</v>
      </c>
      <c r="AG120" t="s">
        <v>74</v>
      </c>
      <c r="AH120" t="s">
        <v>74</v>
      </c>
      <c r="AI120" t="s">
        <v>74</v>
      </c>
      <c r="AJ120" t="s">
        <v>74</v>
      </c>
      <c r="AK120" t="s">
        <v>74</v>
      </c>
      <c r="AL120" t="s">
        <v>74</v>
      </c>
      <c r="AM120" t="s">
        <v>74</v>
      </c>
      <c r="AN120" t="s">
        <v>74</v>
      </c>
      <c r="AO120" t="s">
        <v>3445</v>
      </c>
      <c r="AP120" t="s">
        <v>74</v>
      </c>
      <c r="AQ120" t="s">
        <v>74</v>
      </c>
      <c r="AR120" t="s">
        <v>74</v>
      </c>
      <c r="AS120" t="s">
        <v>74</v>
      </c>
      <c r="AT120" t="s">
        <v>3967</v>
      </c>
      <c r="AU120">
        <v>2015</v>
      </c>
      <c r="AV120">
        <v>10</v>
      </c>
      <c r="AW120">
        <v>5</v>
      </c>
      <c r="AX120" t="s">
        <v>74</v>
      </c>
      <c r="AY120" t="s">
        <v>74</v>
      </c>
      <c r="AZ120" t="s">
        <v>74</v>
      </c>
      <c r="BA120" t="s">
        <v>74</v>
      </c>
      <c r="BB120" t="s">
        <v>74</v>
      </c>
      <c r="BC120" t="s">
        <v>74</v>
      </c>
      <c r="BD120" t="s">
        <v>3968</v>
      </c>
      <c r="BE120" t="s">
        <v>3969</v>
      </c>
      <c r="BF120" t="str">
        <f>HYPERLINK("http://dx.doi.org/10.1371/journal.pone.0127193","http://dx.doi.org/10.1371/journal.pone.0127193")</f>
        <v>http://dx.doi.org/10.1371/journal.pone.0127193</v>
      </c>
      <c r="BG120" t="s">
        <v>74</v>
      </c>
      <c r="BH120" t="s">
        <v>74</v>
      </c>
      <c r="BI120" t="s">
        <v>74</v>
      </c>
      <c r="BJ120" t="s">
        <v>74</v>
      </c>
      <c r="BK120" t="s">
        <v>74</v>
      </c>
      <c r="BL120" t="s">
        <v>74</v>
      </c>
      <c r="BM120" t="s">
        <v>74</v>
      </c>
      <c r="BN120">
        <v>25974052</v>
      </c>
      <c r="BO120" t="s">
        <v>74</v>
      </c>
      <c r="BP120" t="s">
        <v>74</v>
      </c>
      <c r="BQ120" t="s">
        <v>74</v>
      </c>
      <c r="BR120" t="s">
        <v>74</v>
      </c>
      <c r="BS120" t="s">
        <v>3970</v>
      </c>
      <c r="BT120" t="str">
        <f>HYPERLINK("https%3A%2F%2Fwww.webofscience.com%2Fwos%2Fwoscc%2Ffull-record%2FWOS:000354545600102","View Full Record in Web of Science")</f>
        <v>View Full Record in Web of Science</v>
      </c>
    </row>
    <row r="121" spans="1:72" x14ac:dyDescent="0.2">
      <c r="A121" t="s">
        <v>72</v>
      </c>
      <c r="B121" t="s">
        <v>4060</v>
      </c>
      <c r="C121" t="s">
        <v>74</v>
      </c>
      <c r="D121" t="s">
        <v>74</v>
      </c>
      <c r="E121" t="s">
        <v>74</v>
      </c>
      <c r="F121" t="s">
        <v>4061</v>
      </c>
      <c r="G121" t="s">
        <v>74</v>
      </c>
      <c r="H121" t="s">
        <v>74</v>
      </c>
      <c r="I121" t="s">
        <v>4062</v>
      </c>
      <c r="J121" t="s">
        <v>3360</v>
      </c>
      <c r="K121" t="s">
        <v>74</v>
      </c>
      <c r="L121" t="s">
        <v>74</v>
      </c>
      <c r="M121" t="s">
        <v>74</v>
      </c>
      <c r="N121" t="s">
        <v>74</v>
      </c>
      <c r="O121" t="s">
        <v>74</v>
      </c>
      <c r="P121" t="s">
        <v>74</v>
      </c>
      <c r="Q121" t="s">
        <v>74</v>
      </c>
      <c r="R121" t="s">
        <v>74</v>
      </c>
      <c r="S121" t="s">
        <v>74</v>
      </c>
      <c r="T121" t="s">
        <v>74</v>
      </c>
      <c r="U121" t="s">
        <v>74</v>
      </c>
      <c r="V121" t="s">
        <v>74</v>
      </c>
      <c r="W121" t="s">
        <v>74</v>
      </c>
      <c r="X121" t="s">
        <v>74</v>
      </c>
      <c r="Y121" t="s">
        <v>74</v>
      </c>
      <c r="Z121" t="s">
        <v>74</v>
      </c>
      <c r="AA121" t="s">
        <v>4063</v>
      </c>
      <c r="AB121" t="s">
        <v>4064</v>
      </c>
      <c r="AC121" t="s">
        <v>74</v>
      </c>
      <c r="AD121" t="s">
        <v>74</v>
      </c>
      <c r="AE121" t="s">
        <v>74</v>
      </c>
      <c r="AF121" t="s">
        <v>74</v>
      </c>
      <c r="AG121" t="s">
        <v>74</v>
      </c>
      <c r="AH121" t="s">
        <v>74</v>
      </c>
      <c r="AI121" t="s">
        <v>74</v>
      </c>
      <c r="AJ121" t="s">
        <v>74</v>
      </c>
      <c r="AK121" t="s">
        <v>74</v>
      </c>
      <c r="AL121" t="s">
        <v>74</v>
      </c>
      <c r="AM121" t="s">
        <v>74</v>
      </c>
      <c r="AN121" t="s">
        <v>74</v>
      </c>
      <c r="AO121" t="s">
        <v>3363</v>
      </c>
      <c r="AP121" t="s">
        <v>3364</v>
      </c>
      <c r="AQ121" t="s">
        <v>74</v>
      </c>
      <c r="AR121" t="s">
        <v>74</v>
      </c>
      <c r="AS121" t="s">
        <v>74</v>
      </c>
      <c r="AT121" t="s">
        <v>416</v>
      </c>
      <c r="AU121">
        <v>2015</v>
      </c>
      <c r="AV121">
        <v>162</v>
      </c>
      <c r="AW121">
        <v>2</v>
      </c>
      <c r="AX121" t="s">
        <v>74</v>
      </c>
      <c r="AY121" t="s">
        <v>74</v>
      </c>
      <c r="AZ121" t="s">
        <v>74</v>
      </c>
      <c r="BA121" t="s">
        <v>74</v>
      </c>
      <c r="BB121">
        <v>331</v>
      </c>
      <c r="BC121">
        <v>341</v>
      </c>
      <c r="BD121" t="s">
        <v>74</v>
      </c>
      <c r="BE121" t="s">
        <v>4065</v>
      </c>
      <c r="BF121" t="str">
        <f>HYPERLINK("http://dx.doi.org/10.1007/s00227-014-2568-6","http://dx.doi.org/10.1007/s00227-014-2568-6")</f>
        <v>http://dx.doi.org/10.1007/s00227-014-2568-6</v>
      </c>
      <c r="BG121" t="s">
        <v>74</v>
      </c>
      <c r="BH121" t="s">
        <v>74</v>
      </c>
      <c r="BI121" t="s">
        <v>74</v>
      </c>
      <c r="BJ121" t="s">
        <v>74</v>
      </c>
      <c r="BK121" t="s">
        <v>74</v>
      </c>
      <c r="BL121" t="s">
        <v>74</v>
      </c>
      <c r="BM121" t="s">
        <v>74</v>
      </c>
      <c r="BN121" t="s">
        <v>74</v>
      </c>
      <c r="BO121" t="s">
        <v>74</v>
      </c>
      <c r="BP121" t="s">
        <v>74</v>
      </c>
      <c r="BQ121" t="s">
        <v>74</v>
      </c>
      <c r="BR121" t="s">
        <v>74</v>
      </c>
      <c r="BS121" t="s">
        <v>4066</v>
      </c>
      <c r="BT121" t="str">
        <f>HYPERLINK("https%3A%2F%2Fwww.webofscience.com%2Fwos%2Fwoscc%2Ffull-record%2FWOS:000348564300009","View Full Record in Web of Science")</f>
        <v>View Full Record in Web of Science</v>
      </c>
    </row>
    <row r="122" spans="1:72" x14ac:dyDescent="0.2">
      <c r="A122" t="s">
        <v>72</v>
      </c>
      <c r="B122" t="s">
        <v>4121</v>
      </c>
      <c r="C122" t="s">
        <v>74</v>
      </c>
      <c r="D122" t="s">
        <v>74</v>
      </c>
      <c r="E122" t="s">
        <v>74</v>
      </c>
      <c r="F122" t="s">
        <v>4122</v>
      </c>
      <c r="G122" t="s">
        <v>74</v>
      </c>
      <c r="H122" t="s">
        <v>74</v>
      </c>
      <c r="I122" t="s">
        <v>4123</v>
      </c>
      <c r="J122" t="s">
        <v>124</v>
      </c>
      <c r="K122" t="s">
        <v>74</v>
      </c>
      <c r="L122" t="s">
        <v>74</v>
      </c>
      <c r="M122" t="s">
        <v>74</v>
      </c>
      <c r="N122" t="s">
        <v>74</v>
      </c>
      <c r="O122" t="s">
        <v>4124</v>
      </c>
      <c r="P122" t="s">
        <v>4125</v>
      </c>
      <c r="Q122" t="s">
        <v>4126</v>
      </c>
      <c r="R122" t="s">
        <v>74</v>
      </c>
      <c r="S122" t="s">
        <v>74</v>
      </c>
      <c r="T122" t="s">
        <v>74</v>
      </c>
      <c r="U122" t="s">
        <v>74</v>
      </c>
      <c r="V122" t="s">
        <v>74</v>
      </c>
      <c r="W122" t="s">
        <v>74</v>
      </c>
      <c r="X122" t="s">
        <v>74</v>
      </c>
      <c r="Y122" t="s">
        <v>74</v>
      </c>
      <c r="Z122" t="s">
        <v>74</v>
      </c>
      <c r="AA122" t="s">
        <v>74</v>
      </c>
      <c r="AB122" t="s">
        <v>4127</v>
      </c>
      <c r="AC122" t="s">
        <v>74</v>
      </c>
      <c r="AD122" t="s">
        <v>74</v>
      </c>
      <c r="AE122" t="s">
        <v>74</v>
      </c>
      <c r="AF122" t="s">
        <v>74</v>
      </c>
      <c r="AG122" t="s">
        <v>74</v>
      </c>
      <c r="AH122" t="s">
        <v>74</v>
      </c>
      <c r="AI122" t="s">
        <v>74</v>
      </c>
      <c r="AJ122" t="s">
        <v>74</v>
      </c>
      <c r="AK122" t="s">
        <v>74</v>
      </c>
      <c r="AL122" t="s">
        <v>74</v>
      </c>
      <c r="AM122" t="s">
        <v>74</v>
      </c>
      <c r="AN122" t="s">
        <v>74</v>
      </c>
      <c r="AO122" t="s">
        <v>127</v>
      </c>
      <c r="AP122" t="s">
        <v>128</v>
      </c>
      <c r="AQ122" t="s">
        <v>74</v>
      </c>
      <c r="AR122" t="s">
        <v>74</v>
      </c>
      <c r="AS122" t="s">
        <v>74</v>
      </c>
      <c r="AT122" t="s">
        <v>82</v>
      </c>
      <c r="AU122">
        <v>2014</v>
      </c>
      <c r="AV122">
        <v>741</v>
      </c>
      <c r="AW122">
        <v>1</v>
      </c>
      <c r="AX122" t="s">
        <v>74</v>
      </c>
      <c r="AY122" t="s">
        <v>74</v>
      </c>
      <c r="AZ122" t="s">
        <v>74</v>
      </c>
      <c r="BA122" t="s">
        <v>74</v>
      </c>
      <c r="BB122">
        <v>33</v>
      </c>
      <c r="BC122">
        <v>49</v>
      </c>
      <c r="BD122" t="s">
        <v>74</v>
      </c>
      <c r="BE122" t="s">
        <v>4128</v>
      </c>
      <c r="BF122" t="str">
        <f>HYPERLINK("http://dx.doi.org/10.1007/s10750-013-1759-3","http://dx.doi.org/10.1007/s10750-013-1759-3")</f>
        <v>http://dx.doi.org/10.1007/s10750-013-1759-3</v>
      </c>
      <c r="BG122" t="s">
        <v>74</v>
      </c>
      <c r="BH122" t="s">
        <v>74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 t="s">
        <v>74</v>
      </c>
      <c r="BO122" t="s">
        <v>74</v>
      </c>
      <c r="BP122" t="s">
        <v>74</v>
      </c>
      <c r="BQ122" t="s">
        <v>74</v>
      </c>
      <c r="BR122" t="s">
        <v>74</v>
      </c>
      <c r="BS122" t="s">
        <v>4129</v>
      </c>
      <c r="BT122" t="str">
        <f>HYPERLINK("https%3A%2F%2Fwww.webofscience.com%2Fwos%2Fwoscc%2Ffull-record%2FWOS:000343998000005","View Full Record in Web of Science")</f>
        <v>View Full Record in Web of Science</v>
      </c>
    </row>
    <row r="123" spans="1:72" x14ac:dyDescent="0.2">
      <c r="A123" t="s">
        <v>72</v>
      </c>
      <c r="B123" t="s">
        <v>4139</v>
      </c>
      <c r="C123" t="s">
        <v>74</v>
      </c>
      <c r="D123" t="s">
        <v>74</v>
      </c>
      <c r="E123" t="s">
        <v>74</v>
      </c>
      <c r="F123" t="s">
        <v>4140</v>
      </c>
      <c r="G123" t="s">
        <v>74</v>
      </c>
      <c r="H123" t="s">
        <v>74</v>
      </c>
      <c r="I123" t="s">
        <v>4141</v>
      </c>
      <c r="J123" t="s">
        <v>2199</v>
      </c>
      <c r="K123" t="s">
        <v>74</v>
      </c>
      <c r="L123" t="s">
        <v>74</v>
      </c>
      <c r="M123" t="s">
        <v>74</v>
      </c>
      <c r="N123" t="s">
        <v>74</v>
      </c>
      <c r="O123" t="s">
        <v>74</v>
      </c>
      <c r="P123" t="s">
        <v>74</v>
      </c>
      <c r="Q123" t="s">
        <v>74</v>
      </c>
      <c r="R123" t="s">
        <v>74</v>
      </c>
      <c r="S123" t="s">
        <v>74</v>
      </c>
      <c r="T123" t="s">
        <v>74</v>
      </c>
      <c r="U123" t="s">
        <v>74</v>
      </c>
      <c r="V123" t="s">
        <v>74</v>
      </c>
      <c r="W123" t="s">
        <v>74</v>
      </c>
      <c r="X123" t="s">
        <v>74</v>
      </c>
      <c r="Y123" t="s">
        <v>74</v>
      </c>
      <c r="Z123" t="s">
        <v>74</v>
      </c>
      <c r="AA123" t="s">
        <v>4142</v>
      </c>
      <c r="AB123" t="s">
        <v>7086</v>
      </c>
      <c r="AC123" t="s">
        <v>74</v>
      </c>
      <c r="AD123" t="s">
        <v>74</v>
      </c>
      <c r="AE123" t="s">
        <v>74</v>
      </c>
      <c r="AF123" t="s">
        <v>74</v>
      </c>
      <c r="AG123" t="s">
        <v>74</v>
      </c>
      <c r="AH123" t="s">
        <v>74</v>
      </c>
      <c r="AI123" t="s">
        <v>74</v>
      </c>
      <c r="AJ123" t="s">
        <v>74</v>
      </c>
      <c r="AK123" t="s">
        <v>74</v>
      </c>
      <c r="AL123" t="s">
        <v>74</v>
      </c>
      <c r="AM123" t="s">
        <v>74</v>
      </c>
      <c r="AN123" t="s">
        <v>74</v>
      </c>
      <c r="AO123" t="s">
        <v>2200</v>
      </c>
      <c r="AP123" t="s">
        <v>2201</v>
      </c>
      <c r="AQ123" t="s">
        <v>74</v>
      </c>
      <c r="AR123" t="s">
        <v>74</v>
      </c>
      <c r="AS123" t="s">
        <v>74</v>
      </c>
      <c r="AT123" t="s">
        <v>335</v>
      </c>
      <c r="AU123">
        <v>2014</v>
      </c>
      <c r="AV123">
        <v>23</v>
      </c>
      <c r="AW123">
        <v>9</v>
      </c>
      <c r="AX123" t="s">
        <v>74</v>
      </c>
      <c r="AY123" t="s">
        <v>74</v>
      </c>
      <c r="AZ123" t="s">
        <v>74</v>
      </c>
      <c r="BA123" t="s">
        <v>74</v>
      </c>
      <c r="BB123">
        <v>1764</v>
      </c>
      <c r="BC123">
        <v>1773</v>
      </c>
      <c r="BD123" t="s">
        <v>74</v>
      </c>
      <c r="BE123" t="s">
        <v>4143</v>
      </c>
      <c r="BF123" t="str">
        <f>HYPERLINK("http://dx.doi.org/10.1007/s10646-014-1341-4","http://dx.doi.org/10.1007/s10646-014-1341-4")</f>
        <v>http://dx.doi.org/10.1007/s10646-014-1341-4</v>
      </c>
      <c r="BG123" t="s">
        <v>74</v>
      </c>
      <c r="BH123" t="s">
        <v>74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>
        <v>25248828</v>
      </c>
      <c r="BO123" t="s">
        <v>74</v>
      </c>
      <c r="BP123" t="s">
        <v>74</v>
      </c>
      <c r="BQ123" t="s">
        <v>74</v>
      </c>
      <c r="BR123" t="s">
        <v>74</v>
      </c>
      <c r="BS123" t="s">
        <v>4144</v>
      </c>
      <c r="BT123" t="str">
        <f>HYPERLINK("https%3A%2F%2Fwww.webofscience.com%2Fwos%2Fwoscc%2Ffull-record%2FWOS:000343877400017","View Full Record in Web of Science")</f>
        <v>View Full Record in Web of Science</v>
      </c>
    </row>
    <row r="124" spans="1:72" x14ac:dyDescent="0.2">
      <c r="A124" t="s">
        <v>72</v>
      </c>
      <c r="B124" t="s">
        <v>4151</v>
      </c>
      <c r="C124" t="s">
        <v>74</v>
      </c>
      <c r="D124" t="s">
        <v>74</v>
      </c>
      <c r="E124" t="s">
        <v>74</v>
      </c>
      <c r="F124" t="s">
        <v>4152</v>
      </c>
      <c r="G124" t="s">
        <v>74</v>
      </c>
      <c r="H124" t="s">
        <v>74</v>
      </c>
      <c r="I124" t="s">
        <v>4153</v>
      </c>
      <c r="J124" t="s">
        <v>3271</v>
      </c>
      <c r="K124" t="s">
        <v>74</v>
      </c>
      <c r="L124" t="s">
        <v>74</v>
      </c>
      <c r="M124" t="s">
        <v>74</v>
      </c>
      <c r="N124" t="s">
        <v>74</v>
      </c>
      <c r="O124" t="s">
        <v>74</v>
      </c>
      <c r="P124" t="s">
        <v>74</v>
      </c>
      <c r="Q124" t="s">
        <v>74</v>
      </c>
      <c r="R124" t="s">
        <v>74</v>
      </c>
      <c r="S124" t="s">
        <v>74</v>
      </c>
      <c r="T124" t="s">
        <v>74</v>
      </c>
      <c r="U124" t="s">
        <v>74</v>
      </c>
      <c r="V124" t="s">
        <v>74</v>
      </c>
      <c r="W124" t="s">
        <v>74</v>
      </c>
      <c r="X124" t="s">
        <v>74</v>
      </c>
      <c r="Y124" t="s">
        <v>74</v>
      </c>
      <c r="Z124" t="s">
        <v>74</v>
      </c>
      <c r="AA124" t="s">
        <v>7087</v>
      </c>
      <c r="AB124" t="s">
        <v>7088</v>
      </c>
      <c r="AC124" t="s">
        <v>74</v>
      </c>
      <c r="AD124" t="s">
        <v>74</v>
      </c>
      <c r="AE124" t="s">
        <v>74</v>
      </c>
      <c r="AF124" t="s">
        <v>74</v>
      </c>
      <c r="AG124" t="s">
        <v>74</v>
      </c>
      <c r="AH124" t="s">
        <v>74</v>
      </c>
      <c r="AI124" t="s">
        <v>74</v>
      </c>
      <c r="AJ124" t="s">
        <v>74</v>
      </c>
      <c r="AK124" t="s">
        <v>74</v>
      </c>
      <c r="AL124" t="s">
        <v>74</v>
      </c>
      <c r="AM124" t="s">
        <v>74</v>
      </c>
      <c r="AN124" t="s">
        <v>74</v>
      </c>
      <c r="AO124" t="s">
        <v>3274</v>
      </c>
      <c r="AP124" t="s">
        <v>3275</v>
      </c>
      <c r="AQ124" t="s">
        <v>74</v>
      </c>
      <c r="AR124" t="s">
        <v>74</v>
      </c>
      <c r="AS124" t="s">
        <v>74</v>
      </c>
      <c r="AT124" t="s">
        <v>451</v>
      </c>
      <c r="AU124">
        <v>2014</v>
      </c>
      <c r="AV124">
        <v>64</v>
      </c>
      <c r="AW124" t="s">
        <v>74</v>
      </c>
      <c r="AX124">
        <v>9</v>
      </c>
      <c r="AY124" t="s">
        <v>74</v>
      </c>
      <c r="AZ124" t="s">
        <v>74</v>
      </c>
      <c r="BA124" t="s">
        <v>74</v>
      </c>
      <c r="BB124">
        <v>3254</v>
      </c>
      <c r="BC124">
        <v>3263</v>
      </c>
      <c r="BD124" t="s">
        <v>74</v>
      </c>
      <c r="BE124" t="s">
        <v>4154</v>
      </c>
      <c r="BF124" t="str">
        <f>HYPERLINK("http://dx.doi.org/10.1099/ijs.0.065292-0","http://dx.doi.org/10.1099/ijs.0.065292-0")</f>
        <v>http://dx.doi.org/10.1099/ijs.0.065292-0</v>
      </c>
      <c r="BG124" t="s">
        <v>74</v>
      </c>
      <c r="BH124" t="s">
        <v>74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>
        <v>24984700</v>
      </c>
      <c r="BO124" t="s">
        <v>74</v>
      </c>
      <c r="BP124" t="s">
        <v>74</v>
      </c>
      <c r="BQ124" t="s">
        <v>74</v>
      </c>
      <c r="BR124" t="s">
        <v>74</v>
      </c>
      <c r="BS124" t="s">
        <v>4155</v>
      </c>
      <c r="BT124" t="str">
        <f>HYPERLINK("https%3A%2F%2Fwww.webofscience.com%2Fwos%2Fwoscc%2Ffull-record%2FWOS:000344912300049","View Full Record in Web of Science")</f>
        <v>View Full Record in Web of Science</v>
      </c>
    </row>
    <row r="125" spans="1:72" x14ac:dyDescent="0.2">
      <c r="A125" t="s">
        <v>72</v>
      </c>
      <c r="B125" t="s">
        <v>4325</v>
      </c>
      <c r="C125" t="s">
        <v>74</v>
      </c>
      <c r="D125" t="s">
        <v>74</v>
      </c>
      <c r="E125" t="s">
        <v>74</v>
      </c>
      <c r="F125" t="s">
        <v>4326</v>
      </c>
      <c r="G125" t="s">
        <v>74</v>
      </c>
      <c r="H125" t="s">
        <v>74</v>
      </c>
      <c r="I125" t="s">
        <v>4327</v>
      </c>
      <c r="J125" t="s">
        <v>124</v>
      </c>
      <c r="K125" t="s">
        <v>74</v>
      </c>
      <c r="L125" t="s">
        <v>74</v>
      </c>
      <c r="M125" t="s">
        <v>74</v>
      </c>
      <c r="N125" t="s">
        <v>74</v>
      </c>
      <c r="O125" t="s">
        <v>74</v>
      </c>
      <c r="P125" t="s">
        <v>74</v>
      </c>
      <c r="Q125" t="s">
        <v>74</v>
      </c>
      <c r="R125" t="s">
        <v>74</v>
      </c>
      <c r="S125" t="s">
        <v>74</v>
      </c>
      <c r="T125" t="s">
        <v>74</v>
      </c>
      <c r="U125" t="s">
        <v>74</v>
      </c>
      <c r="V125" t="s">
        <v>74</v>
      </c>
      <c r="W125" t="s">
        <v>74</v>
      </c>
      <c r="X125" t="s">
        <v>74</v>
      </c>
      <c r="Y125" t="s">
        <v>74</v>
      </c>
      <c r="Z125" t="s">
        <v>74</v>
      </c>
      <c r="AA125" t="s">
        <v>4328</v>
      </c>
      <c r="AB125" t="s">
        <v>4329</v>
      </c>
      <c r="AC125" t="s">
        <v>74</v>
      </c>
      <c r="AD125" t="s">
        <v>74</v>
      </c>
      <c r="AE125" t="s">
        <v>74</v>
      </c>
      <c r="AF125" t="s">
        <v>74</v>
      </c>
      <c r="AG125" t="s">
        <v>74</v>
      </c>
      <c r="AH125" t="s">
        <v>74</v>
      </c>
      <c r="AI125" t="s">
        <v>74</v>
      </c>
      <c r="AJ125" t="s">
        <v>74</v>
      </c>
      <c r="AK125" t="s">
        <v>74</v>
      </c>
      <c r="AL125" t="s">
        <v>74</v>
      </c>
      <c r="AM125" t="s">
        <v>74</v>
      </c>
      <c r="AN125" t="s">
        <v>74</v>
      </c>
      <c r="AO125" t="s">
        <v>127</v>
      </c>
      <c r="AP125" t="s">
        <v>128</v>
      </c>
      <c r="AQ125" t="s">
        <v>74</v>
      </c>
      <c r="AR125" t="s">
        <v>74</v>
      </c>
      <c r="AS125" t="s">
        <v>74</v>
      </c>
      <c r="AT125" t="s">
        <v>315</v>
      </c>
      <c r="AU125">
        <v>2014</v>
      </c>
      <c r="AV125">
        <v>722</v>
      </c>
      <c r="AW125">
        <v>1</v>
      </c>
      <c r="AX125" t="s">
        <v>74</v>
      </c>
      <c r="AY125" t="s">
        <v>74</v>
      </c>
      <c r="AZ125" t="s">
        <v>74</v>
      </c>
      <c r="BA125" t="s">
        <v>74</v>
      </c>
      <c r="BB125">
        <v>45</v>
      </c>
      <c r="BC125">
        <v>60</v>
      </c>
      <c r="BD125" t="s">
        <v>74</v>
      </c>
      <c r="BE125" t="s">
        <v>4330</v>
      </c>
      <c r="BF125" t="str">
        <f>HYPERLINK("http://dx.doi.org/10.1007/s10750-013-1674-7","http://dx.doi.org/10.1007/s10750-013-1674-7")</f>
        <v>http://dx.doi.org/10.1007/s10750-013-1674-7</v>
      </c>
      <c r="BG125" t="s">
        <v>74</v>
      </c>
      <c r="BH125" t="s">
        <v>74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 t="s">
        <v>74</v>
      </c>
      <c r="BR125" t="s">
        <v>74</v>
      </c>
      <c r="BS125" t="s">
        <v>4331</v>
      </c>
      <c r="BT125" t="str">
        <f>HYPERLINK("https%3A%2F%2Fwww.webofscience.com%2Fwos%2Fwoscc%2Ffull-record%2FWOS:000327405400005","View Full Record in Web of Science")</f>
        <v>View Full Record in Web of Science</v>
      </c>
    </row>
    <row r="126" spans="1:72" x14ac:dyDescent="0.2">
      <c r="A126" t="s">
        <v>72</v>
      </c>
      <c r="B126" t="s">
        <v>4332</v>
      </c>
      <c r="C126" t="s">
        <v>74</v>
      </c>
      <c r="D126" t="s">
        <v>74</v>
      </c>
      <c r="E126" t="s">
        <v>74</v>
      </c>
      <c r="F126" t="s">
        <v>4333</v>
      </c>
      <c r="G126" t="s">
        <v>74</v>
      </c>
      <c r="H126" t="s">
        <v>74</v>
      </c>
      <c r="I126" t="s">
        <v>4334</v>
      </c>
      <c r="J126" t="s">
        <v>3514</v>
      </c>
      <c r="K126" t="s">
        <v>74</v>
      </c>
      <c r="L126" t="s">
        <v>74</v>
      </c>
      <c r="M126" t="s">
        <v>74</v>
      </c>
      <c r="N126" t="s">
        <v>74</v>
      </c>
      <c r="O126" t="s">
        <v>74</v>
      </c>
      <c r="P126" t="s">
        <v>74</v>
      </c>
      <c r="Q126" t="s">
        <v>74</v>
      </c>
      <c r="R126" t="s">
        <v>74</v>
      </c>
      <c r="S126" t="s">
        <v>74</v>
      </c>
      <c r="T126" t="s">
        <v>74</v>
      </c>
      <c r="U126" t="s">
        <v>74</v>
      </c>
      <c r="V126" t="s">
        <v>74</v>
      </c>
      <c r="W126" t="s">
        <v>74</v>
      </c>
      <c r="X126" t="s">
        <v>74</v>
      </c>
      <c r="Y126" t="s">
        <v>74</v>
      </c>
      <c r="Z126" t="s">
        <v>74</v>
      </c>
      <c r="AA126" t="s">
        <v>7097</v>
      </c>
      <c r="AB126" t="s">
        <v>7098</v>
      </c>
      <c r="AC126" t="s">
        <v>74</v>
      </c>
      <c r="AD126" t="s">
        <v>74</v>
      </c>
      <c r="AE126" t="s">
        <v>74</v>
      </c>
      <c r="AF126" t="s">
        <v>74</v>
      </c>
      <c r="AG126" t="s">
        <v>74</v>
      </c>
      <c r="AH126" t="s">
        <v>74</v>
      </c>
      <c r="AI126" t="s">
        <v>74</v>
      </c>
      <c r="AJ126" t="s">
        <v>74</v>
      </c>
      <c r="AK126" t="s">
        <v>74</v>
      </c>
      <c r="AL126" t="s">
        <v>74</v>
      </c>
      <c r="AM126" t="s">
        <v>74</v>
      </c>
      <c r="AN126" t="s">
        <v>74</v>
      </c>
      <c r="AO126" t="s">
        <v>3515</v>
      </c>
      <c r="AP126" t="s">
        <v>3516</v>
      </c>
      <c r="AQ126" t="s">
        <v>74</v>
      </c>
      <c r="AR126" t="s">
        <v>74</v>
      </c>
      <c r="AS126" t="s">
        <v>74</v>
      </c>
      <c r="AT126" t="s">
        <v>474</v>
      </c>
      <c r="AU126">
        <v>2013</v>
      </c>
      <c r="AV126">
        <v>46</v>
      </c>
      <c r="AW126">
        <v>6</v>
      </c>
      <c r="AX126" t="s">
        <v>74</v>
      </c>
      <c r="AY126" t="s">
        <v>74</v>
      </c>
      <c r="AZ126" t="s">
        <v>74</v>
      </c>
      <c r="BA126" t="s">
        <v>74</v>
      </c>
      <c r="BB126">
        <v>381</v>
      </c>
      <c r="BC126">
        <v>397</v>
      </c>
      <c r="BD126" t="s">
        <v>74</v>
      </c>
      <c r="BE126" t="s">
        <v>4335</v>
      </c>
      <c r="BF126" t="str">
        <f>HYPERLINK("http://dx.doi.org/10.1080/10236244.2013.857067","http://dx.doi.org/10.1080/10236244.2013.857067")</f>
        <v>http://dx.doi.org/10.1080/10236244.2013.857067</v>
      </c>
      <c r="BG126" t="s">
        <v>74</v>
      </c>
      <c r="BH126" t="s">
        <v>74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 t="s">
        <v>74</v>
      </c>
      <c r="BR126" t="s">
        <v>74</v>
      </c>
      <c r="BS126" t="s">
        <v>4336</v>
      </c>
      <c r="BT126" t="str">
        <f>HYPERLINK("https%3A%2F%2Fwww.webofscience.com%2Fwos%2Fwoscc%2Ffull-record%2FWOS:000326869500003","View Full Record in Web of Science")</f>
        <v>View Full Record in Web of Science</v>
      </c>
    </row>
    <row r="127" spans="1:72" x14ac:dyDescent="0.2">
      <c r="A127" t="s">
        <v>72</v>
      </c>
      <c r="B127" t="s">
        <v>4351</v>
      </c>
      <c r="C127" t="s">
        <v>74</v>
      </c>
      <c r="D127" t="s">
        <v>74</v>
      </c>
      <c r="E127" t="s">
        <v>74</v>
      </c>
      <c r="F127" t="s">
        <v>4352</v>
      </c>
      <c r="G127" t="s">
        <v>74</v>
      </c>
      <c r="H127" t="s">
        <v>74</v>
      </c>
      <c r="I127" t="s">
        <v>4353</v>
      </c>
      <c r="J127" t="s">
        <v>3443</v>
      </c>
      <c r="K127" t="s">
        <v>74</v>
      </c>
      <c r="L127" t="s">
        <v>74</v>
      </c>
      <c r="M127" t="s">
        <v>74</v>
      </c>
      <c r="N127" t="s">
        <v>74</v>
      </c>
      <c r="O127" t="s">
        <v>74</v>
      </c>
      <c r="P127" t="s">
        <v>74</v>
      </c>
      <c r="Q127" t="s">
        <v>74</v>
      </c>
      <c r="R127" t="s">
        <v>74</v>
      </c>
      <c r="S127" t="s">
        <v>74</v>
      </c>
      <c r="T127" t="s">
        <v>74</v>
      </c>
      <c r="U127" t="s">
        <v>74</v>
      </c>
      <c r="V127" t="s">
        <v>74</v>
      </c>
      <c r="W127" t="s">
        <v>74</v>
      </c>
      <c r="X127" t="s">
        <v>74</v>
      </c>
      <c r="Y127" t="s">
        <v>74</v>
      </c>
      <c r="Z127" t="s">
        <v>74</v>
      </c>
      <c r="AA127" t="s">
        <v>74</v>
      </c>
      <c r="AB127" t="s">
        <v>74</v>
      </c>
      <c r="AC127" t="s">
        <v>74</v>
      </c>
      <c r="AD127" t="s">
        <v>74</v>
      </c>
      <c r="AE127" t="s">
        <v>74</v>
      </c>
      <c r="AF127" t="s">
        <v>74</v>
      </c>
      <c r="AG127" t="s">
        <v>74</v>
      </c>
      <c r="AH127" t="s">
        <v>74</v>
      </c>
      <c r="AI127" t="s">
        <v>74</v>
      </c>
      <c r="AJ127" t="s">
        <v>74</v>
      </c>
      <c r="AK127" t="s">
        <v>74</v>
      </c>
      <c r="AL127" t="s">
        <v>74</v>
      </c>
      <c r="AM127" t="s">
        <v>74</v>
      </c>
      <c r="AN127" t="s">
        <v>74</v>
      </c>
      <c r="AO127" t="s">
        <v>3445</v>
      </c>
      <c r="AP127" t="s">
        <v>74</v>
      </c>
      <c r="AQ127" t="s">
        <v>74</v>
      </c>
      <c r="AR127" t="s">
        <v>74</v>
      </c>
      <c r="AS127" t="s">
        <v>74</v>
      </c>
      <c r="AT127" t="s">
        <v>2830</v>
      </c>
      <c r="AU127">
        <v>2013</v>
      </c>
      <c r="AV127">
        <v>8</v>
      </c>
      <c r="AW127">
        <v>10</v>
      </c>
      <c r="AX127" t="s">
        <v>74</v>
      </c>
      <c r="AY127" t="s">
        <v>74</v>
      </c>
      <c r="AZ127" t="s">
        <v>74</v>
      </c>
      <c r="BA127" t="s">
        <v>74</v>
      </c>
      <c r="BB127" t="s">
        <v>74</v>
      </c>
      <c r="BC127" t="s">
        <v>74</v>
      </c>
      <c r="BD127" t="s">
        <v>4354</v>
      </c>
      <c r="BE127" t="s">
        <v>4355</v>
      </c>
      <c r="BF127" t="str">
        <f>HYPERLINK("http://dx.doi.org/10.1371/journal.pone.0075839","http://dx.doi.org/10.1371/journal.pone.0075839")</f>
        <v>http://dx.doi.org/10.1371/journal.pone.0075839</v>
      </c>
      <c r="BG127" t="s">
        <v>74</v>
      </c>
      <c r="BH127" t="s">
        <v>74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>
        <v>24124517</v>
      </c>
      <c r="BO127" t="s">
        <v>74</v>
      </c>
      <c r="BP127" t="s">
        <v>74</v>
      </c>
      <c r="BQ127" t="s">
        <v>74</v>
      </c>
      <c r="BR127" t="s">
        <v>74</v>
      </c>
      <c r="BS127" t="s">
        <v>4356</v>
      </c>
      <c r="BT127" t="str">
        <f>HYPERLINK("https%3A%2F%2Fwww.webofscience.com%2Fwos%2Fwoscc%2Ffull-record%2FWOS:000325489100074","View Full Record in Web of Science")</f>
        <v>View Full Record in Web of Science</v>
      </c>
    </row>
    <row r="128" spans="1:72" x14ac:dyDescent="0.2">
      <c r="A128" t="s">
        <v>72</v>
      </c>
      <c r="B128" t="s">
        <v>4367</v>
      </c>
      <c r="C128" t="s">
        <v>74</v>
      </c>
      <c r="D128" t="s">
        <v>74</v>
      </c>
      <c r="E128" t="s">
        <v>74</v>
      </c>
      <c r="F128" t="s">
        <v>4368</v>
      </c>
      <c r="G128" t="s">
        <v>74</v>
      </c>
      <c r="H128" t="s">
        <v>74</v>
      </c>
      <c r="I128" t="s">
        <v>4369</v>
      </c>
      <c r="J128" t="s">
        <v>106</v>
      </c>
      <c r="K128" t="s">
        <v>74</v>
      </c>
      <c r="L128" t="s">
        <v>74</v>
      </c>
      <c r="M128" t="s">
        <v>74</v>
      </c>
      <c r="N128" t="s">
        <v>74</v>
      </c>
      <c r="O128" t="s">
        <v>74</v>
      </c>
      <c r="P128" t="s">
        <v>74</v>
      </c>
      <c r="Q128" t="s">
        <v>74</v>
      </c>
      <c r="R128" t="s">
        <v>74</v>
      </c>
      <c r="S128" t="s">
        <v>74</v>
      </c>
      <c r="T128" t="s">
        <v>74</v>
      </c>
      <c r="U128" t="s">
        <v>74</v>
      </c>
      <c r="V128" t="s">
        <v>74</v>
      </c>
      <c r="W128" t="s">
        <v>74</v>
      </c>
      <c r="X128" t="s">
        <v>74</v>
      </c>
      <c r="Y128" t="s">
        <v>74</v>
      </c>
      <c r="Z128" t="s">
        <v>74</v>
      </c>
      <c r="AA128" t="s">
        <v>7103</v>
      </c>
      <c r="AB128" t="s">
        <v>4370</v>
      </c>
      <c r="AC128" t="s">
        <v>74</v>
      </c>
      <c r="AD128" t="s">
        <v>74</v>
      </c>
      <c r="AE128" t="s">
        <v>74</v>
      </c>
      <c r="AF128" t="s">
        <v>74</v>
      </c>
      <c r="AG128" t="s">
        <v>74</v>
      </c>
      <c r="AH128" t="s">
        <v>74</v>
      </c>
      <c r="AI128" t="s">
        <v>74</v>
      </c>
      <c r="AJ128" t="s">
        <v>74</v>
      </c>
      <c r="AK128" t="s">
        <v>74</v>
      </c>
      <c r="AL128" t="s">
        <v>74</v>
      </c>
      <c r="AM128" t="s">
        <v>74</v>
      </c>
      <c r="AN128" t="s">
        <v>74</v>
      </c>
      <c r="AO128" t="s">
        <v>107</v>
      </c>
      <c r="AP128" t="s">
        <v>108</v>
      </c>
      <c r="AQ128" t="s">
        <v>74</v>
      </c>
      <c r="AR128" t="s">
        <v>74</v>
      </c>
      <c r="AS128" t="s">
        <v>74</v>
      </c>
      <c r="AT128" t="s">
        <v>3635</v>
      </c>
      <c r="AU128">
        <v>2013</v>
      </c>
      <c r="AV128">
        <v>35</v>
      </c>
      <c r="AW128">
        <v>5</v>
      </c>
      <c r="AX128" t="s">
        <v>74</v>
      </c>
      <c r="AY128" t="s">
        <v>74</v>
      </c>
      <c r="AZ128" t="s">
        <v>74</v>
      </c>
      <c r="BA128" t="s">
        <v>74</v>
      </c>
      <c r="BB128">
        <v>957</v>
      </c>
      <c r="BC128">
        <v>971</v>
      </c>
      <c r="BD128" t="s">
        <v>74</v>
      </c>
      <c r="BE128" t="s">
        <v>4371</v>
      </c>
      <c r="BF128" t="str">
        <f>HYPERLINK("http://dx.doi.org/10.1093/plankt/fbt058","http://dx.doi.org/10.1093/plankt/fbt058")</f>
        <v>http://dx.doi.org/10.1093/plankt/fbt058</v>
      </c>
      <c r="BG128" t="s">
        <v>74</v>
      </c>
      <c r="BH128" t="s">
        <v>74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 t="s">
        <v>74</v>
      </c>
      <c r="BR128" t="s">
        <v>74</v>
      </c>
      <c r="BS128" t="s">
        <v>4372</v>
      </c>
      <c r="BT128" t="str">
        <f>HYPERLINK("https%3A%2F%2Fwww.webofscience.com%2Fwos%2Fwoscc%2Ffull-record%2FWOS:000323966900003","View Full Record in Web of Science")</f>
        <v>View Full Record in Web of Science</v>
      </c>
    </row>
    <row r="129" spans="1:72" x14ac:dyDescent="0.2">
      <c r="A129" t="s">
        <v>72</v>
      </c>
      <c r="B129" t="s">
        <v>4421</v>
      </c>
      <c r="C129" t="s">
        <v>74</v>
      </c>
      <c r="D129" t="s">
        <v>74</v>
      </c>
      <c r="E129" t="s">
        <v>74</v>
      </c>
      <c r="F129" t="s">
        <v>4422</v>
      </c>
      <c r="G129" t="s">
        <v>74</v>
      </c>
      <c r="H129" t="s">
        <v>74</v>
      </c>
      <c r="I129" t="s">
        <v>4423</v>
      </c>
      <c r="J129" t="s">
        <v>4424</v>
      </c>
      <c r="K129" t="s">
        <v>74</v>
      </c>
      <c r="L129" t="s">
        <v>74</v>
      </c>
      <c r="M129" t="s">
        <v>74</v>
      </c>
      <c r="N129" t="s">
        <v>74</v>
      </c>
      <c r="O129" t="s">
        <v>74</v>
      </c>
      <c r="P129" t="s">
        <v>74</v>
      </c>
      <c r="Q129" t="s">
        <v>74</v>
      </c>
      <c r="R129" t="s">
        <v>74</v>
      </c>
      <c r="S129" t="s">
        <v>74</v>
      </c>
      <c r="T129" t="s">
        <v>74</v>
      </c>
      <c r="U129" t="s">
        <v>74</v>
      </c>
      <c r="V129" t="s">
        <v>74</v>
      </c>
      <c r="W129" t="s">
        <v>74</v>
      </c>
      <c r="X129" t="s">
        <v>74</v>
      </c>
      <c r="Y129" t="s">
        <v>74</v>
      </c>
      <c r="Z129" t="s">
        <v>74</v>
      </c>
      <c r="AA129" t="s">
        <v>74</v>
      </c>
      <c r="AB129" t="s">
        <v>74</v>
      </c>
      <c r="AC129" t="s">
        <v>74</v>
      </c>
      <c r="AD129" t="s">
        <v>74</v>
      </c>
      <c r="AE129" t="s">
        <v>74</v>
      </c>
      <c r="AF129" t="s">
        <v>74</v>
      </c>
      <c r="AG129" t="s">
        <v>74</v>
      </c>
      <c r="AH129" t="s">
        <v>74</v>
      </c>
      <c r="AI129" t="s">
        <v>74</v>
      </c>
      <c r="AJ129" t="s">
        <v>74</v>
      </c>
      <c r="AK129" t="s">
        <v>74</v>
      </c>
      <c r="AL129" t="s">
        <v>74</v>
      </c>
      <c r="AM129" t="s">
        <v>74</v>
      </c>
      <c r="AN129" t="s">
        <v>74</v>
      </c>
      <c r="AO129" t="s">
        <v>4425</v>
      </c>
      <c r="AP129" t="s">
        <v>4426</v>
      </c>
      <c r="AQ129" t="s">
        <v>74</v>
      </c>
      <c r="AR129" t="s">
        <v>74</v>
      </c>
      <c r="AS129" t="s">
        <v>74</v>
      </c>
      <c r="AT129" t="s">
        <v>203</v>
      </c>
      <c r="AU129">
        <v>2013</v>
      </c>
      <c r="AV129">
        <v>15</v>
      </c>
      <c r="AW129">
        <v>4</v>
      </c>
      <c r="AX129" t="s">
        <v>74</v>
      </c>
      <c r="AY129" t="s">
        <v>74</v>
      </c>
      <c r="AZ129" t="s">
        <v>74</v>
      </c>
      <c r="BA129" t="s">
        <v>74</v>
      </c>
      <c r="BB129">
        <v>859</v>
      </c>
      <c r="BC129">
        <v>869</v>
      </c>
      <c r="BD129" t="s">
        <v>74</v>
      </c>
      <c r="BE129" t="s">
        <v>4427</v>
      </c>
      <c r="BF129" t="str">
        <f>HYPERLINK("http://dx.doi.org/10.1007/s10530-012-0335-5","http://dx.doi.org/10.1007/s10530-012-0335-5")</f>
        <v>http://dx.doi.org/10.1007/s10530-012-0335-5</v>
      </c>
      <c r="BG129" t="s">
        <v>74</v>
      </c>
      <c r="BH129" t="s">
        <v>74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 t="s">
        <v>74</v>
      </c>
      <c r="BO129" t="s">
        <v>74</v>
      </c>
      <c r="BP129" t="s">
        <v>74</v>
      </c>
      <c r="BQ129" t="s">
        <v>74</v>
      </c>
      <c r="BR129" t="s">
        <v>74</v>
      </c>
      <c r="BS129" t="s">
        <v>4428</v>
      </c>
      <c r="BT129" t="str">
        <f>HYPERLINK("https%3A%2F%2Fwww.webofscience.com%2Fwos%2Fwoscc%2Ffull-record%2FWOS:000316200700013","View Full Record in Web of Science")</f>
        <v>View Full Record in Web of Science</v>
      </c>
    </row>
    <row r="130" spans="1:72" x14ac:dyDescent="0.2">
      <c r="A130" t="s">
        <v>72</v>
      </c>
      <c r="B130" t="s">
        <v>4439</v>
      </c>
      <c r="C130" t="s">
        <v>74</v>
      </c>
      <c r="D130" t="s">
        <v>74</v>
      </c>
      <c r="E130" t="s">
        <v>74</v>
      </c>
      <c r="F130" t="s">
        <v>4440</v>
      </c>
      <c r="G130" t="s">
        <v>74</v>
      </c>
      <c r="H130" t="s">
        <v>74</v>
      </c>
      <c r="I130" t="s">
        <v>4441</v>
      </c>
      <c r="J130" t="s">
        <v>171</v>
      </c>
      <c r="K130" t="s">
        <v>74</v>
      </c>
      <c r="L130" t="s">
        <v>74</v>
      </c>
      <c r="M130" t="s">
        <v>74</v>
      </c>
      <c r="N130" t="s">
        <v>74</v>
      </c>
      <c r="O130" t="s">
        <v>74</v>
      </c>
      <c r="P130" t="s">
        <v>74</v>
      </c>
      <c r="Q130" t="s">
        <v>74</v>
      </c>
      <c r="R130" t="s">
        <v>74</v>
      </c>
      <c r="S130" t="s">
        <v>74</v>
      </c>
      <c r="T130" t="s">
        <v>74</v>
      </c>
      <c r="U130" t="s">
        <v>74</v>
      </c>
      <c r="V130" t="s">
        <v>74</v>
      </c>
      <c r="W130" t="s">
        <v>74</v>
      </c>
      <c r="X130" t="s">
        <v>74</v>
      </c>
      <c r="Y130" t="s">
        <v>74</v>
      </c>
      <c r="Z130" t="s">
        <v>74</v>
      </c>
      <c r="AA130" t="s">
        <v>74</v>
      </c>
      <c r="AB130" t="s">
        <v>74</v>
      </c>
      <c r="AC130" t="s">
        <v>74</v>
      </c>
      <c r="AD130" t="s">
        <v>74</v>
      </c>
      <c r="AE130" t="s">
        <v>74</v>
      </c>
      <c r="AF130" t="s">
        <v>74</v>
      </c>
      <c r="AG130" t="s">
        <v>74</v>
      </c>
      <c r="AH130" t="s">
        <v>74</v>
      </c>
      <c r="AI130" t="s">
        <v>74</v>
      </c>
      <c r="AJ130" t="s">
        <v>74</v>
      </c>
      <c r="AK130" t="s">
        <v>74</v>
      </c>
      <c r="AL130" t="s">
        <v>74</v>
      </c>
      <c r="AM130" t="s">
        <v>74</v>
      </c>
      <c r="AN130" t="s">
        <v>74</v>
      </c>
      <c r="AO130" t="s">
        <v>172</v>
      </c>
      <c r="AP130" t="s">
        <v>74</v>
      </c>
      <c r="AQ130" t="s">
        <v>74</v>
      </c>
      <c r="AR130" t="s">
        <v>74</v>
      </c>
      <c r="AS130" t="s">
        <v>74</v>
      </c>
      <c r="AT130" t="s">
        <v>727</v>
      </c>
      <c r="AU130">
        <v>2013</v>
      </c>
      <c r="AV130">
        <v>47</v>
      </c>
      <c r="AW130">
        <v>5</v>
      </c>
      <c r="AX130" t="s">
        <v>74</v>
      </c>
      <c r="AY130" t="s">
        <v>74</v>
      </c>
      <c r="AZ130" t="s">
        <v>74</v>
      </c>
      <c r="BA130" t="s">
        <v>74</v>
      </c>
      <c r="BB130">
        <v>1928</v>
      </c>
      <c r="BC130">
        <v>1940</v>
      </c>
      <c r="BD130" t="s">
        <v>74</v>
      </c>
      <c r="BE130" t="s">
        <v>4442</v>
      </c>
      <c r="BF130" t="str">
        <f>HYPERLINK("http://dx.doi.org/10.1016/j.watres.2013.01.024","http://dx.doi.org/10.1016/j.watres.2013.01.024")</f>
        <v>http://dx.doi.org/10.1016/j.watres.2013.01.024</v>
      </c>
      <c r="BG130" t="s">
        <v>74</v>
      </c>
      <c r="BH130" t="s">
        <v>74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>
        <v>23391333</v>
      </c>
      <c r="BO130" t="s">
        <v>74</v>
      </c>
      <c r="BP130" t="s">
        <v>74</v>
      </c>
      <c r="BQ130" t="s">
        <v>74</v>
      </c>
      <c r="BR130" t="s">
        <v>74</v>
      </c>
      <c r="BS130" t="s">
        <v>4443</v>
      </c>
      <c r="BT130" t="str">
        <f>HYPERLINK("https%3A%2F%2Fwww.webofscience.com%2Fwos%2Fwoscc%2Ffull-record%2FWOS:000315543100021","View Full Record in Web of Science")</f>
        <v>View Full Record in Web of Science</v>
      </c>
    </row>
    <row r="131" spans="1:72" x14ac:dyDescent="0.2">
      <c r="A131" t="s">
        <v>72</v>
      </c>
      <c r="B131" t="s">
        <v>4493</v>
      </c>
      <c r="C131" t="s">
        <v>74</v>
      </c>
      <c r="D131" t="s">
        <v>74</v>
      </c>
      <c r="E131" t="s">
        <v>74</v>
      </c>
      <c r="F131" t="s">
        <v>4494</v>
      </c>
      <c r="G131" t="s">
        <v>74</v>
      </c>
      <c r="H131" t="s">
        <v>74</v>
      </c>
      <c r="I131" t="s">
        <v>4495</v>
      </c>
      <c r="J131" t="s">
        <v>4496</v>
      </c>
      <c r="K131" t="s">
        <v>74</v>
      </c>
      <c r="L131" t="s">
        <v>74</v>
      </c>
      <c r="M131" t="s">
        <v>74</v>
      </c>
      <c r="N131" t="s">
        <v>74</v>
      </c>
      <c r="O131" t="s">
        <v>74</v>
      </c>
      <c r="P131" t="s">
        <v>74</v>
      </c>
      <c r="Q131" t="s">
        <v>74</v>
      </c>
      <c r="R131" t="s">
        <v>74</v>
      </c>
      <c r="S131" t="s">
        <v>74</v>
      </c>
      <c r="T131" t="s">
        <v>74</v>
      </c>
      <c r="U131" t="s">
        <v>74</v>
      </c>
      <c r="V131" t="s">
        <v>74</v>
      </c>
      <c r="W131" t="s">
        <v>74</v>
      </c>
      <c r="X131" t="s">
        <v>74</v>
      </c>
      <c r="Y131" t="s">
        <v>74</v>
      </c>
      <c r="Z131" t="s">
        <v>74</v>
      </c>
      <c r="AA131" t="s">
        <v>7110</v>
      </c>
      <c r="AB131" t="s">
        <v>7111</v>
      </c>
      <c r="AC131" t="s">
        <v>74</v>
      </c>
      <c r="AD131" t="s">
        <v>74</v>
      </c>
      <c r="AE131" t="s">
        <v>74</v>
      </c>
      <c r="AF131" t="s">
        <v>74</v>
      </c>
      <c r="AG131" t="s">
        <v>74</v>
      </c>
      <c r="AH131" t="s">
        <v>74</v>
      </c>
      <c r="AI131" t="s">
        <v>74</v>
      </c>
      <c r="AJ131" t="s">
        <v>74</v>
      </c>
      <c r="AK131" t="s">
        <v>74</v>
      </c>
      <c r="AL131" t="s">
        <v>74</v>
      </c>
      <c r="AM131" t="s">
        <v>74</v>
      </c>
      <c r="AN131" t="s">
        <v>74</v>
      </c>
      <c r="AO131" t="s">
        <v>4497</v>
      </c>
      <c r="AP131" t="s">
        <v>4498</v>
      </c>
      <c r="AQ131" t="s">
        <v>74</v>
      </c>
      <c r="AR131" t="s">
        <v>74</v>
      </c>
      <c r="AS131" t="s">
        <v>74</v>
      </c>
      <c r="AT131" t="s">
        <v>74</v>
      </c>
      <c r="AU131">
        <v>2013</v>
      </c>
      <c r="AV131" t="s">
        <v>74</v>
      </c>
      <c r="AW131">
        <v>315</v>
      </c>
      <c r="AX131" t="s">
        <v>74</v>
      </c>
      <c r="AY131" t="s">
        <v>74</v>
      </c>
      <c r="AZ131" t="s">
        <v>74</v>
      </c>
      <c r="BA131" t="s">
        <v>74</v>
      </c>
      <c r="BB131">
        <v>77</v>
      </c>
      <c r="BC131">
        <v>94</v>
      </c>
      <c r="BD131" t="s">
        <v>74</v>
      </c>
      <c r="BE131" t="s">
        <v>4499</v>
      </c>
      <c r="BF131" t="str">
        <f>HYPERLINK("http://dx.doi.org/10.3897/zookeys.315.5593","http://dx.doi.org/10.3897/zookeys.315.5593")</f>
        <v>http://dx.doi.org/10.3897/zookeys.315.5593</v>
      </c>
      <c r="BG131" t="s">
        <v>74</v>
      </c>
      <c r="BH131" t="s">
        <v>74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>
        <v>23878511</v>
      </c>
      <c r="BO131" t="s">
        <v>74</v>
      </c>
      <c r="BP131" t="s">
        <v>74</v>
      </c>
      <c r="BQ131" t="s">
        <v>74</v>
      </c>
      <c r="BR131" t="s">
        <v>74</v>
      </c>
      <c r="BS131" t="s">
        <v>4500</v>
      </c>
      <c r="BT131" t="str">
        <f>HYPERLINK("https%3A%2F%2Fwww.webofscience.com%2Fwos%2Fwoscc%2Ffull-record%2FWOS:000321609900005","View Full Record in Web of Science")</f>
        <v>View Full Record in Web of Science</v>
      </c>
    </row>
    <row r="132" spans="1:72" x14ac:dyDescent="0.2">
      <c r="A132" t="s">
        <v>72</v>
      </c>
      <c r="B132" t="s">
        <v>4643</v>
      </c>
      <c r="C132" t="s">
        <v>74</v>
      </c>
      <c r="D132" t="s">
        <v>74</v>
      </c>
      <c r="E132" t="s">
        <v>74</v>
      </c>
      <c r="F132" t="s">
        <v>4644</v>
      </c>
      <c r="G132" t="s">
        <v>74</v>
      </c>
      <c r="H132" t="s">
        <v>74</v>
      </c>
      <c r="I132" t="s">
        <v>4645</v>
      </c>
      <c r="J132" t="s">
        <v>2180</v>
      </c>
      <c r="K132" t="s">
        <v>74</v>
      </c>
      <c r="L132" t="s">
        <v>74</v>
      </c>
      <c r="M132" t="s">
        <v>74</v>
      </c>
      <c r="N132" t="s">
        <v>74</v>
      </c>
      <c r="O132" t="s">
        <v>74</v>
      </c>
      <c r="P132" t="s">
        <v>74</v>
      </c>
      <c r="Q132" t="s">
        <v>74</v>
      </c>
      <c r="R132" t="s">
        <v>74</v>
      </c>
      <c r="S132" t="s">
        <v>74</v>
      </c>
      <c r="T132" t="s">
        <v>74</v>
      </c>
      <c r="U132" t="s">
        <v>74</v>
      </c>
      <c r="V132" t="s">
        <v>74</v>
      </c>
      <c r="W132" t="s">
        <v>74</v>
      </c>
      <c r="X132" t="s">
        <v>74</v>
      </c>
      <c r="Y132" t="s">
        <v>74</v>
      </c>
      <c r="Z132" t="s">
        <v>74</v>
      </c>
      <c r="AA132" t="s">
        <v>4646</v>
      </c>
      <c r="AB132" t="s">
        <v>4647</v>
      </c>
      <c r="AC132" t="s">
        <v>74</v>
      </c>
      <c r="AD132" t="s">
        <v>74</v>
      </c>
      <c r="AE132" t="s">
        <v>74</v>
      </c>
      <c r="AF132" t="s">
        <v>74</v>
      </c>
      <c r="AG132" t="s">
        <v>74</v>
      </c>
      <c r="AH132" t="s">
        <v>74</v>
      </c>
      <c r="AI132" t="s">
        <v>74</v>
      </c>
      <c r="AJ132" t="s">
        <v>74</v>
      </c>
      <c r="AK132" t="s">
        <v>74</v>
      </c>
      <c r="AL132" t="s">
        <v>74</v>
      </c>
      <c r="AM132" t="s">
        <v>74</v>
      </c>
      <c r="AN132" t="s">
        <v>74</v>
      </c>
      <c r="AO132" t="s">
        <v>2185</v>
      </c>
      <c r="AP132" t="s">
        <v>2186</v>
      </c>
      <c r="AQ132" t="s">
        <v>74</v>
      </c>
      <c r="AR132" t="s">
        <v>74</v>
      </c>
      <c r="AS132" t="s">
        <v>74</v>
      </c>
      <c r="AT132" t="s">
        <v>203</v>
      </c>
      <c r="AU132">
        <v>2012</v>
      </c>
      <c r="AV132">
        <v>85</v>
      </c>
      <c r="AW132" t="s">
        <v>4648</v>
      </c>
      <c r="AX132" t="s">
        <v>74</v>
      </c>
      <c r="AY132" t="s">
        <v>74</v>
      </c>
      <c r="AZ132" t="s">
        <v>74</v>
      </c>
      <c r="BA132" t="s">
        <v>74</v>
      </c>
      <c r="BB132">
        <v>447</v>
      </c>
      <c r="BC132">
        <v>462</v>
      </c>
      <c r="BD132" t="s">
        <v>74</v>
      </c>
      <c r="BE132" t="s">
        <v>4649</v>
      </c>
      <c r="BF132" t="str">
        <f>HYPERLINK("http://dx.doi.org/10.1163/156854012X634401","http://dx.doi.org/10.1163/156854012X634401")</f>
        <v>http://dx.doi.org/10.1163/156854012X634401</v>
      </c>
      <c r="BG132" t="s">
        <v>74</v>
      </c>
      <c r="BH132" t="s">
        <v>74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 t="s">
        <v>74</v>
      </c>
      <c r="BO132" t="s">
        <v>74</v>
      </c>
      <c r="BP132" t="s">
        <v>74</v>
      </c>
      <c r="BQ132" t="s">
        <v>74</v>
      </c>
      <c r="BR132" t="s">
        <v>74</v>
      </c>
      <c r="BS132" t="s">
        <v>4650</v>
      </c>
      <c r="BT132" t="str">
        <f>HYPERLINK("https%3A%2F%2Fwww.webofscience.com%2Fwos%2Fwoscc%2Ffull-record%2FWOS:000305928900004","View Full Record in Web of Science")</f>
        <v>View Full Record in Web of Science</v>
      </c>
    </row>
    <row r="133" spans="1:72" x14ac:dyDescent="0.2">
      <c r="A133" t="s">
        <v>72</v>
      </c>
      <c r="B133" t="s">
        <v>4665</v>
      </c>
      <c r="C133" t="s">
        <v>74</v>
      </c>
      <c r="D133" t="s">
        <v>74</v>
      </c>
      <c r="E133" t="s">
        <v>74</v>
      </c>
      <c r="F133" t="s">
        <v>4666</v>
      </c>
      <c r="G133" t="s">
        <v>74</v>
      </c>
      <c r="H133" t="s">
        <v>74</v>
      </c>
      <c r="I133" t="s">
        <v>4667</v>
      </c>
      <c r="J133" t="s">
        <v>4668</v>
      </c>
      <c r="K133" t="s">
        <v>74</v>
      </c>
      <c r="L133" t="s">
        <v>74</v>
      </c>
      <c r="M133" t="s">
        <v>74</v>
      </c>
      <c r="N133" t="s">
        <v>74</v>
      </c>
      <c r="O133" t="s">
        <v>74</v>
      </c>
      <c r="P133" t="s">
        <v>74</v>
      </c>
      <c r="Q133" t="s">
        <v>74</v>
      </c>
      <c r="R133" t="s">
        <v>74</v>
      </c>
      <c r="S133" t="s">
        <v>74</v>
      </c>
      <c r="T133" t="s">
        <v>74</v>
      </c>
      <c r="U133" t="s">
        <v>74</v>
      </c>
      <c r="V133" t="s">
        <v>74</v>
      </c>
      <c r="W133" t="s">
        <v>74</v>
      </c>
      <c r="X133" t="s">
        <v>74</v>
      </c>
      <c r="Y133" t="s">
        <v>74</v>
      </c>
      <c r="Z133" t="s">
        <v>74</v>
      </c>
      <c r="AA133" t="s">
        <v>4669</v>
      </c>
      <c r="AB133" t="s">
        <v>4670</v>
      </c>
      <c r="AC133" t="s">
        <v>74</v>
      </c>
      <c r="AD133" t="s">
        <v>74</v>
      </c>
      <c r="AE133" t="s">
        <v>74</v>
      </c>
      <c r="AF133" t="s">
        <v>74</v>
      </c>
      <c r="AG133" t="s">
        <v>74</v>
      </c>
      <c r="AH133" t="s">
        <v>74</v>
      </c>
      <c r="AI133" t="s">
        <v>74</v>
      </c>
      <c r="AJ133" t="s">
        <v>74</v>
      </c>
      <c r="AK133" t="s">
        <v>74</v>
      </c>
      <c r="AL133" t="s">
        <v>74</v>
      </c>
      <c r="AM133" t="s">
        <v>74</v>
      </c>
      <c r="AN133" t="s">
        <v>74</v>
      </c>
      <c r="AO133" t="s">
        <v>4671</v>
      </c>
      <c r="AP133" t="s">
        <v>4672</v>
      </c>
      <c r="AQ133" t="s">
        <v>74</v>
      </c>
      <c r="AR133" t="s">
        <v>74</v>
      </c>
      <c r="AS133" t="s">
        <v>74</v>
      </c>
      <c r="AT133" t="s">
        <v>4673</v>
      </c>
      <c r="AU133">
        <v>2012</v>
      </c>
      <c r="AV133">
        <v>338</v>
      </c>
      <c r="AW133" t="s">
        <v>74</v>
      </c>
      <c r="AX133" t="s">
        <v>74</v>
      </c>
      <c r="AY133" t="s">
        <v>74</v>
      </c>
      <c r="AZ133" t="s">
        <v>74</v>
      </c>
      <c r="BA133" t="s">
        <v>74</v>
      </c>
      <c r="BB133">
        <v>274</v>
      </c>
      <c r="BC133">
        <v>283</v>
      </c>
      <c r="BD133" t="s">
        <v>74</v>
      </c>
      <c r="BE133" t="s">
        <v>4674</v>
      </c>
      <c r="BF133" t="str">
        <f>HYPERLINK("http://dx.doi.org/10.1016/j.aquaculture.2012.01.001","http://dx.doi.org/10.1016/j.aquaculture.2012.01.001")</f>
        <v>http://dx.doi.org/10.1016/j.aquaculture.2012.01.001</v>
      </c>
      <c r="BG133" t="s">
        <v>74</v>
      </c>
      <c r="BH133" t="s">
        <v>74</v>
      </c>
      <c r="BI133" t="s">
        <v>74</v>
      </c>
      <c r="BJ133" t="s">
        <v>74</v>
      </c>
      <c r="BK133" t="s">
        <v>74</v>
      </c>
      <c r="BL133" t="s">
        <v>74</v>
      </c>
      <c r="BM133" t="s">
        <v>74</v>
      </c>
      <c r="BN133" t="s">
        <v>74</v>
      </c>
      <c r="BO133" t="s">
        <v>74</v>
      </c>
      <c r="BP133" t="s">
        <v>74</v>
      </c>
      <c r="BQ133" t="s">
        <v>74</v>
      </c>
      <c r="BR133" t="s">
        <v>74</v>
      </c>
      <c r="BS133" t="s">
        <v>4675</v>
      </c>
      <c r="BT133" t="str">
        <f>HYPERLINK("https%3A%2F%2Fwww.webofscience.com%2Fwos%2Fwoscc%2Ffull-record%2FWOS:000304290700036","View Full Record in Web of Science")</f>
        <v>View Full Record in Web of Science</v>
      </c>
    </row>
    <row r="134" spans="1:72" x14ac:dyDescent="0.2">
      <c r="A134" t="s">
        <v>72</v>
      </c>
      <c r="B134" t="s">
        <v>4708</v>
      </c>
      <c r="C134" t="s">
        <v>74</v>
      </c>
      <c r="D134" t="s">
        <v>74</v>
      </c>
      <c r="E134" t="s">
        <v>74</v>
      </c>
      <c r="F134" t="s">
        <v>4709</v>
      </c>
      <c r="G134" t="s">
        <v>74</v>
      </c>
      <c r="H134" t="s">
        <v>74</v>
      </c>
      <c r="I134" t="s">
        <v>4710</v>
      </c>
      <c r="J134" t="s">
        <v>3271</v>
      </c>
      <c r="K134" t="s">
        <v>74</v>
      </c>
      <c r="L134" t="s">
        <v>74</v>
      </c>
      <c r="M134" t="s">
        <v>74</v>
      </c>
      <c r="N134" t="s">
        <v>74</v>
      </c>
      <c r="O134" t="s">
        <v>74</v>
      </c>
      <c r="P134" t="s">
        <v>74</v>
      </c>
      <c r="Q134" t="s">
        <v>74</v>
      </c>
      <c r="R134" t="s">
        <v>74</v>
      </c>
      <c r="S134" t="s">
        <v>74</v>
      </c>
      <c r="T134" t="s">
        <v>74</v>
      </c>
      <c r="U134" t="s">
        <v>74</v>
      </c>
      <c r="V134" t="s">
        <v>74</v>
      </c>
      <c r="W134" t="s">
        <v>74</v>
      </c>
      <c r="X134" t="s">
        <v>74</v>
      </c>
      <c r="Y134" t="s">
        <v>74</v>
      </c>
      <c r="Z134" t="s">
        <v>74</v>
      </c>
      <c r="AA134" t="s">
        <v>3272</v>
      </c>
      <c r="AB134" t="s">
        <v>3273</v>
      </c>
      <c r="AC134" t="s">
        <v>74</v>
      </c>
      <c r="AD134" t="s">
        <v>74</v>
      </c>
      <c r="AE134" t="s">
        <v>74</v>
      </c>
      <c r="AF134" t="s">
        <v>74</v>
      </c>
      <c r="AG134" t="s">
        <v>74</v>
      </c>
      <c r="AH134" t="s">
        <v>74</v>
      </c>
      <c r="AI134" t="s">
        <v>74</v>
      </c>
      <c r="AJ134" t="s">
        <v>74</v>
      </c>
      <c r="AK134" t="s">
        <v>74</v>
      </c>
      <c r="AL134" t="s">
        <v>74</v>
      </c>
      <c r="AM134" t="s">
        <v>74</v>
      </c>
      <c r="AN134" t="s">
        <v>74</v>
      </c>
      <c r="AO134" t="s">
        <v>3274</v>
      </c>
      <c r="AP134" t="s">
        <v>3275</v>
      </c>
      <c r="AQ134" t="s">
        <v>74</v>
      </c>
      <c r="AR134" t="s">
        <v>74</v>
      </c>
      <c r="AS134" t="s">
        <v>74</v>
      </c>
      <c r="AT134" t="s">
        <v>416</v>
      </c>
      <c r="AU134">
        <v>2012</v>
      </c>
      <c r="AV134">
        <v>62</v>
      </c>
      <c r="AW134" t="s">
        <v>74</v>
      </c>
      <c r="AX134">
        <v>2</v>
      </c>
      <c r="AY134" t="s">
        <v>74</v>
      </c>
      <c r="AZ134" t="s">
        <v>74</v>
      </c>
      <c r="BA134" t="s">
        <v>74</v>
      </c>
      <c r="BB134">
        <v>376</v>
      </c>
      <c r="BC134">
        <v>383</v>
      </c>
      <c r="BD134" t="s">
        <v>74</v>
      </c>
      <c r="BE134" t="s">
        <v>4711</v>
      </c>
      <c r="BF134" t="str">
        <f>HYPERLINK("http://dx.doi.org/10.1099/ijs.0.031393-0","http://dx.doi.org/10.1099/ijs.0.031393-0")</f>
        <v>http://dx.doi.org/10.1099/ijs.0.031393-0</v>
      </c>
      <c r="BG134" t="s">
        <v>74</v>
      </c>
      <c r="BH134" t="s">
        <v>74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>
        <v>21441373</v>
      </c>
      <c r="BO134" t="s">
        <v>74</v>
      </c>
      <c r="BP134" t="s">
        <v>74</v>
      </c>
      <c r="BQ134" t="s">
        <v>74</v>
      </c>
      <c r="BR134" t="s">
        <v>74</v>
      </c>
      <c r="BS134" t="s">
        <v>4712</v>
      </c>
      <c r="BT134" t="str">
        <f>HYPERLINK("https%3A%2F%2Fwww.webofscience.com%2Fwos%2Fwoscc%2Ffull-record%2FWOS:000300861600019","View Full Record in Web of Science")</f>
        <v>View Full Record in Web of Science</v>
      </c>
    </row>
    <row r="135" spans="1:72" x14ac:dyDescent="0.2">
      <c r="A135" t="s">
        <v>72</v>
      </c>
      <c r="B135" t="s">
        <v>4774</v>
      </c>
      <c r="C135" t="s">
        <v>74</v>
      </c>
      <c r="D135" t="s">
        <v>74</v>
      </c>
      <c r="E135" t="s">
        <v>74</v>
      </c>
      <c r="F135" t="s">
        <v>4775</v>
      </c>
      <c r="G135" t="s">
        <v>74</v>
      </c>
      <c r="H135" t="s">
        <v>74</v>
      </c>
      <c r="I135" t="s">
        <v>4776</v>
      </c>
      <c r="J135" t="s">
        <v>4777</v>
      </c>
      <c r="K135" t="s">
        <v>74</v>
      </c>
      <c r="L135" t="s">
        <v>74</v>
      </c>
      <c r="M135" t="s">
        <v>74</v>
      </c>
      <c r="N135" t="s">
        <v>74</v>
      </c>
      <c r="O135" t="s">
        <v>74</v>
      </c>
      <c r="P135" t="s">
        <v>74</v>
      </c>
      <c r="Q135" t="s">
        <v>74</v>
      </c>
      <c r="R135" t="s">
        <v>74</v>
      </c>
      <c r="S135" t="s">
        <v>74</v>
      </c>
      <c r="T135" t="s">
        <v>74</v>
      </c>
      <c r="U135" t="s">
        <v>74</v>
      </c>
      <c r="V135" t="s">
        <v>74</v>
      </c>
      <c r="W135" t="s">
        <v>74</v>
      </c>
      <c r="X135" t="s">
        <v>74</v>
      </c>
      <c r="Y135" t="s">
        <v>74</v>
      </c>
      <c r="Z135" t="s">
        <v>74</v>
      </c>
      <c r="AA135" t="s">
        <v>7126</v>
      </c>
      <c r="AB135" t="s">
        <v>4778</v>
      </c>
      <c r="AC135" t="s">
        <v>74</v>
      </c>
      <c r="AD135" t="s">
        <v>74</v>
      </c>
      <c r="AE135" t="s">
        <v>74</v>
      </c>
      <c r="AF135" t="s">
        <v>74</v>
      </c>
      <c r="AG135" t="s">
        <v>74</v>
      </c>
      <c r="AH135" t="s">
        <v>74</v>
      </c>
      <c r="AI135" t="s">
        <v>74</v>
      </c>
      <c r="AJ135" t="s">
        <v>74</v>
      </c>
      <c r="AK135" t="s">
        <v>74</v>
      </c>
      <c r="AL135" t="s">
        <v>74</v>
      </c>
      <c r="AM135" t="s">
        <v>74</v>
      </c>
      <c r="AN135" t="s">
        <v>74</v>
      </c>
      <c r="AO135" t="s">
        <v>4779</v>
      </c>
      <c r="AP135" t="s">
        <v>4780</v>
      </c>
      <c r="AQ135" t="s">
        <v>74</v>
      </c>
      <c r="AR135" t="s">
        <v>74</v>
      </c>
      <c r="AS135" t="s">
        <v>74</v>
      </c>
      <c r="AT135" t="s">
        <v>82</v>
      </c>
      <c r="AU135">
        <v>2011</v>
      </c>
      <c r="AV135">
        <v>55</v>
      </c>
      <c r="AW135">
        <v>4</v>
      </c>
      <c r="AX135" t="s">
        <v>74</v>
      </c>
      <c r="AY135" t="s">
        <v>74</v>
      </c>
      <c r="AZ135" t="s">
        <v>74</v>
      </c>
      <c r="BA135" t="s">
        <v>74</v>
      </c>
      <c r="BB135">
        <v>236</v>
      </c>
      <c r="BC135">
        <v>246</v>
      </c>
      <c r="BD135" t="s">
        <v>74</v>
      </c>
      <c r="BE135" t="s">
        <v>4781</v>
      </c>
      <c r="BF135" t="str">
        <f>HYPERLINK("http://dx.doi.org/10.1080/07924259.2011.576155","http://dx.doi.org/10.1080/07924259.2011.576155")</f>
        <v>http://dx.doi.org/10.1080/07924259.2011.576155</v>
      </c>
      <c r="BG135" t="s">
        <v>74</v>
      </c>
      <c r="BH135" t="s">
        <v>74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 t="s">
        <v>74</v>
      </c>
      <c r="BO135" t="s">
        <v>74</v>
      </c>
      <c r="BP135" t="s">
        <v>74</v>
      </c>
      <c r="BQ135" t="s">
        <v>74</v>
      </c>
      <c r="BR135" t="s">
        <v>74</v>
      </c>
      <c r="BS135" t="s">
        <v>4782</v>
      </c>
      <c r="BT135" t="str">
        <f>HYPERLINK("https%3A%2F%2Fwww.webofscience.com%2Fwos%2Fwoscc%2Ffull-record%2FWOS:000298831700006","View Full Record in Web of Science")</f>
        <v>View Full Record in Web of Science</v>
      </c>
    </row>
    <row r="136" spans="1:72" x14ac:dyDescent="0.2">
      <c r="A136" t="s">
        <v>72</v>
      </c>
      <c r="B136" t="s">
        <v>4837</v>
      </c>
      <c r="C136" t="s">
        <v>74</v>
      </c>
      <c r="D136" t="s">
        <v>74</v>
      </c>
      <c r="E136" t="s">
        <v>74</v>
      </c>
      <c r="F136" t="s">
        <v>4838</v>
      </c>
      <c r="G136" t="s">
        <v>74</v>
      </c>
      <c r="H136" t="s">
        <v>74</v>
      </c>
      <c r="I136" t="s">
        <v>4839</v>
      </c>
      <c r="J136" t="s">
        <v>423</v>
      </c>
      <c r="K136" t="s">
        <v>74</v>
      </c>
      <c r="L136" t="s">
        <v>74</v>
      </c>
      <c r="M136" t="s">
        <v>74</v>
      </c>
      <c r="N136" t="s">
        <v>74</v>
      </c>
      <c r="O136" t="s">
        <v>74</v>
      </c>
      <c r="P136" t="s">
        <v>74</v>
      </c>
      <c r="Q136" t="s">
        <v>74</v>
      </c>
      <c r="R136" t="s">
        <v>74</v>
      </c>
      <c r="S136" t="s">
        <v>74</v>
      </c>
      <c r="T136" t="s">
        <v>74</v>
      </c>
      <c r="U136" t="s">
        <v>74</v>
      </c>
      <c r="V136" t="s">
        <v>74</v>
      </c>
      <c r="W136" t="s">
        <v>74</v>
      </c>
      <c r="X136" t="s">
        <v>74</v>
      </c>
      <c r="Y136" t="s">
        <v>74</v>
      </c>
      <c r="Z136" t="s">
        <v>74</v>
      </c>
      <c r="AA136" t="s">
        <v>74</v>
      </c>
      <c r="AB136" t="s">
        <v>4840</v>
      </c>
      <c r="AC136" t="s">
        <v>74</v>
      </c>
      <c r="AD136" t="s">
        <v>74</v>
      </c>
      <c r="AE136" t="s">
        <v>74</v>
      </c>
      <c r="AF136" t="s">
        <v>74</v>
      </c>
      <c r="AG136" t="s">
        <v>74</v>
      </c>
      <c r="AH136" t="s">
        <v>74</v>
      </c>
      <c r="AI136" t="s">
        <v>74</v>
      </c>
      <c r="AJ136" t="s">
        <v>74</v>
      </c>
      <c r="AK136" t="s">
        <v>74</v>
      </c>
      <c r="AL136" t="s">
        <v>74</v>
      </c>
      <c r="AM136" t="s">
        <v>74</v>
      </c>
      <c r="AN136" t="s">
        <v>74</v>
      </c>
      <c r="AO136" t="s">
        <v>425</v>
      </c>
      <c r="AP136" t="s">
        <v>426</v>
      </c>
      <c r="AQ136" t="s">
        <v>74</v>
      </c>
      <c r="AR136" t="s">
        <v>74</v>
      </c>
      <c r="AS136" t="s">
        <v>74</v>
      </c>
      <c r="AT136" t="s">
        <v>520</v>
      </c>
      <c r="AU136">
        <v>2011</v>
      </c>
      <c r="AV136">
        <v>56</v>
      </c>
      <c r="AW136">
        <v>8</v>
      </c>
      <c r="AX136" t="s">
        <v>74</v>
      </c>
      <c r="AY136" t="s">
        <v>74</v>
      </c>
      <c r="AZ136" t="s">
        <v>74</v>
      </c>
      <c r="BA136" t="s">
        <v>74</v>
      </c>
      <c r="BB136">
        <v>1519</v>
      </c>
      <c r="BC136">
        <v>1530</v>
      </c>
      <c r="BD136" t="s">
        <v>74</v>
      </c>
      <c r="BE136" t="s">
        <v>4841</v>
      </c>
      <c r="BF136" t="str">
        <f>HYPERLINK("http://dx.doi.org/10.1111/j.1365-2427.2011.02590.x","http://dx.doi.org/10.1111/j.1365-2427.2011.02590.x")</f>
        <v>http://dx.doi.org/10.1111/j.1365-2427.2011.02590.x</v>
      </c>
      <c r="BG136" t="s">
        <v>74</v>
      </c>
      <c r="BH136" t="s">
        <v>74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 t="s">
        <v>74</v>
      </c>
      <c r="BO136" t="s">
        <v>74</v>
      </c>
      <c r="BP136" t="s">
        <v>74</v>
      </c>
      <c r="BQ136" t="s">
        <v>74</v>
      </c>
      <c r="BR136" t="s">
        <v>74</v>
      </c>
      <c r="BS136" t="s">
        <v>4842</v>
      </c>
      <c r="BT136" t="str">
        <f>HYPERLINK("https%3A%2F%2Fwww.webofscience.com%2Fwos%2Fwoscc%2Ffull-record%2FWOS:000292446700005","View Full Record in Web of Science")</f>
        <v>View Full Record in Web of Science</v>
      </c>
    </row>
    <row r="137" spans="1:72" x14ac:dyDescent="0.2">
      <c r="A137" t="s">
        <v>72</v>
      </c>
      <c r="B137" t="s">
        <v>4867</v>
      </c>
      <c r="C137" t="s">
        <v>74</v>
      </c>
      <c r="D137" t="s">
        <v>74</v>
      </c>
      <c r="E137" t="s">
        <v>74</v>
      </c>
      <c r="F137" t="s">
        <v>4868</v>
      </c>
      <c r="G137" t="s">
        <v>74</v>
      </c>
      <c r="H137" t="s">
        <v>74</v>
      </c>
      <c r="I137" t="s">
        <v>4869</v>
      </c>
      <c r="J137" t="s">
        <v>3983</v>
      </c>
      <c r="K137" t="s">
        <v>74</v>
      </c>
      <c r="L137" t="s">
        <v>74</v>
      </c>
      <c r="M137" t="s">
        <v>74</v>
      </c>
      <c r="N137" t="s">
        <v>74</v>
      </c>
      <c r="O137" t="s">
        <v>74</v>
      </c>
      <c r="P137" t="s">
        <v>74</v>
      </c>
      <c r="Q137" t="s">
        <v>74</v>
      </c>
      <c r="R137" t="s">
        <v>74</v>
      </c>
      <c r="S137" t="s">
        <v>74</v>
      </c>
      <c r="T137" t="s">
        <v>74</v>
      </c>
      <c r="U137" t="s">
        <v>74</v>
      </c>
      <c r="V137" t="s">
        <v>74</v>
      </c>
      <c r="W137" t="s">
        <v>74</v>
      </c>
      <c r="X137" t="s">
        <v>74</v>
      </c>
      <c r="Y137" t="s">
        <v>74</v>
      </c>
      <c r="Z137" t="s">
        <v>74</v>
      </c>
      <c r="AA137" t="s">
        <v>4870</v>
      </c>
      <c r="AB137" t="s">
        <v>4871</v>
      </c>
      <c r="AC137" t="s">
        <v>74</v>
      </c>
      <c r="AD137" t="s">
        <v>74</v>
      </c>
      <c r="AE137" t="s">
        <v>74</v>
      </c>
      <c r="AF137" t="s">
        <v>74</v>
      </c>
      <c r="AG137" t="s">
        <v>74</v>
      </c>
      <c r="AH137" t="s">
        <v>74</v>
      </c>
      <c r="AI137" t="s">
        <v>74</v>
      </c>
      <c r="AJ137" t="s">
        <v>74</v>
      </c>
      <c r="AK137" t="s">
        <v>74</v>
      </c>
      <c r="AL137" t="s">
        <v>74</v>
      </c>
      <c r="AM137" t="s">
        <v>74</v>
      </c>
      <c r="AN137" t="s">
        <v>74</v>
      </c>
      <c r="AO137" t="s">
        <v>3985</v>
      </c>
      <c r="AP137" t="s">
        <v>3986</v>
      </c>
      <c r="AQ137" t="s">
        <v>74</v>
      </c>
      <c r="AR137" t="s">
        <v>74</v>
      </c>
      <c r="AS137" t="s">
        <v>74</v>
      </c>
      <c r="AT137" t="s">
        <v>624</v>
      </c>
      <c r="AU137">
        <v>2011</v>
      </c>
      <c r="AV137">
        <v>29</v>
      </c>
      <c r="AW137">
        <v>4</v>
      </c>
      <c r="AX137" t="s">
        <v>74</v>
      </c>
      <c r="AY137" t="s">
        <v>74</v>
      </c>
      <c r="AZ137" t="s">
        <v>74</v>
      </c>
      <c r="BA137" t="s">
        <v>74</v>
      </c>
      <c r="BB137">
        <v>892</v>
      </c>
      <c r="BC137">
        <v>897</v>
      </c>
      <c r="BD137" t="s">
        <v>74</v>
      </c>
      <c r="BE137" t="s">
        <v>4872</v>
      </c>
      <c r="BF137" t="str">
        <f>HYPERLINK("http://dx.doi.org/10.1007/s00343-011-0518-4","http://dx.doi.org/10.1007/s00343-011-0518-4")</f>
        <v>http://dx.doi.org/10.1007/s00343-011-0518-4</v>
      </c>
      <c r="BG137" t="s">
        <v>74</v>
      </c>
      <c r="BH137" t="s">
        <v>74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74</v>
      </c>
      <c r="BO137" t="s">
        <v>74</v>
      </c>
      <c r="BP137" t="s">
        <v>74</v>
      </c>
      <c r="BQ137" t="s">
        <v>74</v>
      </c>
      <c r="BR137" t="s">
        <v>74</v>
      </c>
      <c r="BS137" t="s">
        <v>4873</v>
      </c>
      <c r="BT137" t="str">
        <f>HYPERLINK("https%3A%2F%2Fwww.webofscience.com%2Fwos%2Fwoscc%2Ffull-record%2FWOS:000292558700018","View Full Record in Web of Science")</f>
        <v>View Full Record in Web of Science</v>
      </c>
    </row>
    <row r="138" spans="1:72" x14ac:dyDescent="0.2">
      <c r="A138" t="s">
        <v>72</v>
      </c>
      <c r="B138" t="s">
        <v>4909</v>
      </c>
      <c r="C138" t="s">
        <v>74</v>
      </c>
      <c r="D138" t="s">
        <v>74</v>
      </c>
      <c r="E138" t="s">
        <v>74</v>
      </c>
      <c r="F138" t="s">
        <v>4910</v>
      </c>
      <c r="G138" t="s">
        <v>74</v>
      </c>
      <c r="H138" t="s">
        <v>74</v>
      </c>
      <c r="I138" t="s">
        <v>4911</v>
      </c>
      <c r="J138" t="s">
        <v>106</v>
      </c>
      <c r="K138" t="s">
        <v>74</v>
      </c>
      <c r="L138" t="s">
        <v>74</v>
      </c>
      <c r="M138" t="s">
        <v>74</v>
      </c>
      <c r="N138" t="s">
        <v>74</v>
      </c>
      <c r="O138" t="s">
        <v>74</v>
      </c>
      <c r="P138" t="s">
        <v>74</v>
      </c>
      <c r="Q138" t="s">
        <v>74</v>
      </c>
      <c r="R138" t="s">
        <v>74</v>
      </c>
      <c r="S138" t="s">
        <v>74</v>
      </c>
      <c r="T138" t="s">
        <v>74</v>
      </c>
      <c r="U138" t="s">
        <v>74</v>
      </c>
      <c r="V138" t="s">
        <v>74</v>
      </c>
      <c r="W138" t="s">
        <v>74</v>
      </c>
      <c r="X138" t="s">
        <v>74</v>
      </c>
      <c r="Y138" t="s">
        <v>74</v>
      </c>
      <c r="Z138" t="s">
        <v>74</v>
      </c>
      <c r="AA138" t="s">
        <v>4912</v>
      </c>
      <c r="AB138" t="s">
        <v>4913</v>
      </c>
      <c r="AC138" t="s">
        <v>74</v>
      </c>
      <c r="AD138" t="s">
        <v>74</v>
      </c>
      <c r="AE138" t="s">
        <v>74</v>
      </c>
      <c r="AF138" t="s">
        <v>74</v>
      </c>
      <c r="AG138" t="s">
        <v>74</v>
      </c>
      <c r="AH138" t="s">
        <v>74</v>
      </c>
      <c r="AI138" t="s">
        <v>74</v>
      </c>
      <c r="AJ138" t="s">
        <v>74</v>
      </c>
      <c r="AK138" t="s">
        <v>74</v>
      </c>
      <c r="AL138" t="s">
        <v>74</v>
      </c>
      <c r="AM138" t="s">
        <v>74</v>
      </c>
      <c r="AN138" t="s">
        <v>74</v>
      </c>
      <c r="AO138" t="s">
        <v>107</v>
      </c>
      <c r="AP138" t="s">
        <v>108</v>
      </c>
      <c r="AQ138" t="s">
        <v>74</v>
      </c>
      <c r="AR138" t="s">
        <v>74</v>
      </c>
      <c r="AS138" t="s">
        <v>74</v>
      </c>
      <c r="AT138" t="s">
        <v>569</v>
      </c>
      <c r="AU138">
        <v>2011</v>
      </c>
      <c r="AV138">
        <v>33</v>
      </c>
      <c r="AW138">
        <v>6</v>
      </c>
      <c r="AX138" t="s">
        <v>74</v>
      </c>
      <c r="AY138" t="s">
        <v>74</v>
      </c>
      <c r="AZ138" t="s">
        <v>74</v>
      </c>
      <c r="BA138" t="s">
        <v>74</v>
      </c>
      <c r="BB138">
        <v>907</v>
      </c>
      <c r="BC138">
        <v>916</v>
      </c>
      <c r="BD138" t="s">
        <v>74</v>
      </c>
      <c r="BE138" t="s">
        <v>4914</v>
      </c>
      <c r="BF138" t="str">
        <f>HYPERLINK("http://dx.doi.org/10.1093/plankt/fbq164","http://dx.doi.org/10.1093/plankt/fbq164")</f>
        <v>http://dx.doi.org/10.1093/plankt/fbq164</v>
      </c>
      <c r="BG138" t="s">
        <v>74</v>
      </c>
      <c r="BH138" t="s">
        <v>74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 t="s">
        <v>74</v>
      </c>
      <c r="BR138" t="s">
        <v>74</v>
      </c>
      <c r="BS138" t="s">
        <v>4915</v>
      </c>
      <c r="BT138" t="str">
        <f>HYPERLINK("https%3A%2F%2Fwww.webofscience.com%2Fwos%2Fwoscc%2Ffull-record%2FWOS:000290394300006","View Full Record in Web of Science")</f>
        <v>View Full Record in Web of Science</v>
      </c>
    </row>
    <row r="139" spans="1:72" x14ac:dyDescent="0.2">
      <c r="A139" t="s">
        <v>72</v>
      </c>
      <c r="B139" t="s">
        <v>4938</v>
      </c>
      <c r="C139" t="s">
        <v>74</v>
      </c>
      <c r="D139" t="s">
        <v>74</v>
      </c>
      <c r="E139" t="s">
        <v>74</v>
      </c>
      <c r="F139" t="s">
        <v>4939</v>
      </c>
      <c r="G139" t="s">
        <v>74</v>
      </c>
      <c r="H139" t="s">
        <v>74</v>
      </c>
      <c r="I139" t="s">
        <v>4940</v>
      </c>
      <c r="J139" t="s">
        <v>3271</v>
      </c>
      <c r="K139" t="s">
        <v>74</v>
      </c>
      <c r="L139" t="s">
        <v>74</v>
      </c>
      <c r="M139" t="s">
        <v>74</v>
      </c>
      <c r="N139" t="s">
        <v>74</v>
      </c>
      <c r="O139" t="s">
        <v>74</v>
      </c>
      <c r="P139" t="s">
        <v>74</v>
      </c>
      <c r="Q139" t="s">
        <v>74</v>
      </c>
      <c r="R139" t="s">
        <v>74</v>
      </c>
      <c r="S139" t="s">
        <v>74</v>
      </c>
      <c r="T139" t="s">
        <v>74</v>
      </c>
      <c r="U139" t="s">
        <v>74</v>
      </c>
      <c r="V139" t="s">
        <v>74</v>
      </c>
      <c r="W139" t="s">
        <v>74</v>
      </c>
      <c r="X139" t="s">
        <v>74</v>
      </c>
      <c r="Y139" t="s">
        <v>74</v>
      </c>
      <c r="Z139" t="s">
        <v>74</v>
      </c>
      <c r="AA139" t="s">
        <v>4941</v>
      </c>
      <c r="AB139" t="s">
        <v>4942</v>
      </c>
      <c r="AC139" t="s">
        <v>74</v>
      </c>
      <c r="AD139" t="s">
        <v>74</v>
      </c>
      <c r="AE139" t="s">
        <v>74</v>
      </c>
      <c r="AF139" t="s">
        <v>74</v>
      </c>
      <c r="AG139" t="s">
        <v>74</v>
      </c>
      <c r="AH139" t="s">
        <v>74</v>
      </c>
      <c r="AI139" t="s">
        <v>74</v>
      </c>
      <c r="AJ139" t="s">
        <v>74</v>
      </c>
      <c r="AK139" t="s">
        <v>74</v>
      </c>
      <c r="AL139" t="s">
        <v>74</v>
      </c>
      <c r="AM139" t="s">
        <v>74</v>
      </c>
      <c r="AN139" t="s">
        <v>74</v>
      </c>
      <c r="AO139" t="s">
        <v>3274</v>
      </c>
      <c r="AP139" t="s">
        <v>74</v>
      </c>
      <c r="AQ139" t="s">
        <v>74</v>
      </c>
      <c r="AR139" t="s">
        <v>74</v>
      </c>
      <c r="AS139" t="s">
        <v>74</v>
      </c>
      <c r="AT139" t="s">
        <v>203</v>
      </c>
      <c r="AU139">
        <v>2011</v>
      </c>
      <c r="AV139">
        <v>61</v>
      </c>
      <c r="AW139" t="s">
        <v>74</v>
      </c>
      <c r="AX139">
        <v>4</v>
      </c>
      <c r="AY139" t="s">
        <v>74</v>
      </c>
      <c r="AZ139" t="s">
        <v>74</v>
      </c>
      <c r="BA139" t="s">
        <v>74</v>
      </c>
      <c r="BB139">
        <v>781</v>
      </c>
      <c r="BC139">
        <v>787</v>
      </c>
      <c r="BD139" t="s">
        <v>74</v>
      </c>
      <c r="BE139" t="s">
        <v>4943</v>
      </c>
      <c r="BF139" t="str">
        <f>HYPERLINK("http://dx.doi.org/10.1099/ijs.0.017350-0","http://dx.doi.org/10.1099/ijs.0.017350-0")</f>
        <v>http://dx.doi.org/10.1099/ijs.0.017350-0</v>
      </c>
      <c r="BG139" t="s">
        <v>74</v>
      </c>
      <c r="BH139" t="s">
        <v>74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>
        <v>20435748</v>
      </c>
      <c r="BO139" t="s">
        <v>74</v>
      </c>
      <c r="BP139" t="s">
        <v>74</v>
      </c>
      <c r="BQ139" t="s">
        <v>74</v>
      </c>
      <c r="BR139" t="s">
        <v>74</v>
      </c>
      <c r="BS139" t="s">
        <v>4944</v>
      </c>
      <c r="BT139" t="str">
        <f>HYPERLINK("https%3A%2F%2Fwww.webofscience.com%2Fwos%2Fwoscc%2Ffull-record%2FWOS:000290135000015","View Full Record in Web of Science")</f>
        <v>View Full Record in Web of Science</v>
      </c>
    </row>
    <row r="140" spans="1:72" x14ac:dyDescent="0.2">
      <c r="A140" t="s">
        <v>72</v>
      </c>
      <c r="B140" t="s">
        <v>4945</v>
      </c>
      <c r="C140" t="s">
        <v>74</v>
      </c>
      <c r="D140" t="s">
        <v>74</v>
      </c>
      <c r="E140" t="s">
        <v>74</v>
      </c>
      <c r="F140" t="s">
        <v>4946</v>
      </c>
      <c r="G140" t="s">
        <v>74</v>
      </c>
      <c r="H140" t="s">
        <v>74</v>
      </c>
      <c r="I140" t="s">
        <v>4947</v>
      </c>
      <c r="J140" t="s">
        <v>3271</v>
      </c>
      <c r="K140" t="s">
        <v>74</v>
      </c>
      <c r="L140" t="s">
        <v>74</v>
      </c>
      <c r="M140" t="s">
        <v>74</v>
      </c>
      <c r="N140" t="s">
        <v>74</v>
      </c>
      <c r="O140" t="s">
        <v>74</v>
      </c>
      <c r="P140" t="s">
        <v>74</v>
      </c>
      <c r="Q140" t="s">
        <v>74</v>
      </c>
      <c r="R140" t="s">
        <v>74</v>
      </c>
      <c r="S140" t="s">
        <v>74</v>
      </c>
      <c r="T140" t="s">
        <v>74</v>
      </c>
      <c r="U140" t="s">
        <v>74</v>
      </c>
      <c r="V140" t="s">
        <v>74</v>
      </c>
      <c r="W140" t="s">
        <v>74</v>
      </c>
      <c r="X140" t="s">
        <v>74</v>
      </c>
      <c r="Y140" t="s">
        <v>74</v>
      </c>
      <c r="Z140" t="s">
        <v>74</v>
      </c>
      <c r="AA140" t="s">
        <v>3272</v>
      </c>
      <c r="AB140" t="s">
        <v>3273</v>
      </c>
      <c r="AC140" t="s">
        <v>74</v>
      </c>
      <c r="AD140" t="s">
        <v>74</v>
      </c>
      <c r="AE140" t="s">
        <v>74</v>
      </c>
      <c r="AF140" t="s">
        <v>74</v>
      </c>
      <c r="AG140" t="s">
        <v>74</v>
      </c>
      <c r="AH140" t="s">
        <v>74</v>
      </c>
      <c r="AI140" t="s">
        <v>74</v>
      </c>
      <c r="AJ140" t="s">
        <v>74</v>
      </c>
      <c r="AK140" t="s">
        <v>74</v>
      </c>
      <c r="AL140" t="s">
        <v>74</v>
      </c>
      <c r="AM140" t="s">
        <v>74</v>
      </c>
      <c r="AN140" t="s">
        <v>74</v>
      </c>
      <c r="AO140" t="s">
        <v>3274</v>
      </c>
      <c r="AP140" t="s">
        <v>3275</v>
      </c>
      <c r="AQ140" t="s">
        <v>74</v>
      </c>
      <c r="AR140" t="s">
        <v>74</v>
      </c>
      <c r="AS140" t="s">
        <v>74</v>
      </c>
      <c r="AT140" t="s">
        <v>203</v>
      </c>
      <c r="AU140">
        <v>2011</v>
      </c>
      <c r="AV140">
        <v>61</v>
      </c>
      <c r="AW140" t="s">
        <v>74</v>
      </c>
      <c r="AX140">
        <v>4</v>
      </c>
      <c r="AY140" t="s">
        <v>74</v>
      </c>
      <c r="AZ140" t="s">
        <v>74</v>
      </c>
      <c r="BA140" t="s">
        <v>74</v>
      </c>
      <c r="BB140">
        <v>788</v>
      </c>
      <c r="BC140">
        <v>794</v>
      </c>
      <c r="BD140" t="s">
        <v>74</v>
      </c>
      <c r="BE140" t="s">
        <v>4948</v>
      </c>
      <c r="BF140" t="str">
        <f>HYPERLINK("http://dx.doi.org/10.1099/ijs.0.023929-0","http://dx.doi.org/10.1099/ijs.0.023929-0")</f>
        <v>http://dx.doi.org/10.1099/ijs.0.023929-0</v>
      </c>
      <c r="BG140" t="s">
        <v>74</v>
      </c>
      <c r="BH140" t="s">
        <v>74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>
        <v>20435747</v>
      </c>
      <c r="BO140" t="s">
        <v>74</v>
      </c>
      <c r="BP140" t="s">
        <v>74</v>
      </c>
      <c r="BQ140" t="s">
        <v>74</v>
      </c>
      <c r="BR140" t="s">
        <v>74</v>
      </c>
      <c r="BS140" t="s">
        <v>4949</v>
      </c>
      <c r="BT140" t="str">
        <f>HYPERLINK("https%3A%2F%2Fwww.webofscience.com%2Fwos%2Fwoscc%2Ffull-record%2FWOS:000290135000016","View Full Record in Web of Science")</f>
        <v>View Full Record in Web of Science</v>
      </c>
    </row>
    <row r="141" spans="1:72" x14ac:dyDescent="0.2">
      <c r="A141" t="s">
        <v>72</v>
      </c>
      <c r="B141" t="s">
        <v>4956</v>
      </c>
      <c r="C141" t="s">
        <v>74</v>
      </c>
      <c r="D141" t="s">
        <v>74</v>
      </c>
      <c r="E141" t="s">
        <v>74</v>
      </c>
      <c r="F141" t="s">
        <v>4957</v>
      </c>
      <c r="G141" t="s">
        <v>74</v>
      </c>
      <c r="H141" t="s">
        <v>74</v>
      </c>
      <c r="I141" t="s">
        <v>4958</v>
      </c>
      <c r="J141" t="s">
        <v>227</v>
      </c>
      <c r="K141" t="s">
        <v>74</v>
      </c>
      <c r="L141" t="s">
        <v>74</v>
      </c>
      <c r="M141" t="s">
        <v>74</v>
      </c>
      <c r="N141" t="s">
        <v>74</v>
      </c>
      <c r="O141" t="s">
        <v>74</v>
      </c>
      <c r="P141" t="s">
        <v>74</v>
      </c>
      <c r="Q141" t="s">
        <v>74</v>
      </c>
      <c r="R141" t="s">
        <v>74</v>
      </c>
      <c r="S141" t="s">
        <v>74</v>
      </c>
      <c r="T141" t="s">
        <v>74</v>
      </c>
      <c r="U141" t="s">
        <v>74</v>
      </c>
      <c r="V141" t="s">
        <v>74</v>
      </c>
      <c r="W141" t="s">
        <v>74</v>
      </c>
      <c r="X141" t="s">
        <v>74</v>
      </c>
      <c r="Y141" t="s">
        <v>74</v>
      </c>
      <c r="Z141" t="s">
        <v>74</v>
      </c>
      <c r="AA141" t="s">
        <v>4912</v>
      </c>
      <c r="AB141" t="s">
        <v>4913</v>
      </c>
      <c r="AC141" t="s">
        <v>74</v>
      </c>
      <c r="AD141" t="s">
        <v>74</v>
      </c>
      <c r="AE141" t="s">
        <v>74</v>
      </c>
      <c r="AF141" t="s">
        <v>74</v>
      </c>
      <c r="AG141" t="s">
        <v>74</v>
      </c>
      <c r="AH141" t="s">
        <v>74</v>
      </c>
      <c r="AI141" t="s">
        <v>74</v>
      </c>
      <c r="AJ141" t="s">
        <v>74</v>
      </c>
      <c r="AK141" t="s">
        <v>74</v>
      </c>
      <c r="AL141" t="s">
        <v>74</v>
      </c>
      <c r="AM141" t="s">
        <v>74</v>
      </c>
      <c r="AN141" t="s">
        <v>74</v>
      </c>
      <c r="AO141" t="s">
        <v>230</v>
      </c>
      <c r="AP141" t="s">
        <v>231</v>
      </c>
      <c r="AQ141" t="s">
        <v>74</v>
      </c>
      <c r="AR141" t="s">
        <v>74</v>
      </c>
      <c r="AS141" t="s">
        <v>74</v>
      </c>
      <c r="AT141" t="s">
        <v>157</v>
      </c>
      <c r="AU141">
        <v>2011</v>
      </c>
      <c r="AV141">
        <v>56</v>
      </c>
      <c r="AW141">
        <v>2</v>
      </c>
      <c r="AX141" t="s">
        <v>74</v>
      </c>
      <c r="AY141" t="s">
        <v>74</v>
      </c>
      <c r="AZ141" t="s">
        <v>74</v>
      </c>
      <c r="BA141" t="s">
        <v>74</v>
      </c>
      <c r="BB141">
        <v>707</v>
      </c>
      <c r="BC141">
        <v>715</v>
      </c>
      <c r="BD141" t="s">
        <v>74</v>
      </c>
      <c r="BE141" t="s">
        <v>4959</v>
      </c>
      <c r="BF141" t="str">
        <f>HYPERLINK("http://dx.doi.org/10.4319/lo.2011.56.2.0707","http://dx.doi.org/10.4319/lo.2011.56.2.0707")</f>
        <v>http://dx.doi.org/10.4319/lo.2011.56.2.0707</v>
      </c>
      <c r="BG141" t="s">
        <v>74</v>
      </c>
      <c r="BH141" t="s">
        <v>74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 t="s">
        <v>74</v>
      </c>
      <c r="BO141" t="s">
        <v>74</v>
      </c>
      <c r="BP141" t="s">
        <v>74</v>
      </c>
      <c r="BQ141" t="s">
        <v>74</v>
      </c>
      <c r="BR141" t="s">
        <v>74</v>
      </c>
      <c r="BS141" t="s">
        <v>4960</v>
      </c>
      <c r="BT141" t="str">
        <f>HYPERLINK("https%3A%2F%2Fwww.webofscience.com%2Fwos%2Fwoscc%2Ffull-record%2FWOS:000290677800025","View Full Record in Web of Science")</f>
        <v>View Full Record in Web of Science</v>
      </c>
    </row>
    <row r="142" spans="1:72" x14ac:dyDescent="0.2">
      <c r="A142" t="s">
        <v>72</v>
      </c>
      <c r="B142" t="s">
        <v>5013</v>
      </c>
      <c r="C142" t="s">
        <v>74</v>
      </c>
      <c r="D142" t="s">
        <v>74</v>
      </c>
      <c r="E142" t="s">
        <v>74</v>
      </c>
      <c r="F142" t="s">
        <v>5014</v>
      </c>
      <c r="G142" t="s">
        <v>74</v>
      </c>
      <c r="H142" t="s">
        <v>74</v>
      </c>
      <c r="I142" t="s">
        <v>5015</v>
      </c>
      <c r="J142" t="s">
        <v>5016</v>
      </c>
      <c r="K142" t="s">
        <v>74</v>
      </c>
      <c r="L142" t="s">
        <v>74</v>
      </c>
      <c r="M142" t="s">
        <v>74</v>
      </c>
      <c r="N142" t="s">
        <v>74</v>
      </c>
      <c r="O142" t="s">
        <v>74</v>
      </c>
      <c r="P142" t="s">
        <v>74</v>
      </c>
      <c r="Q142" t="s">
        <v>74</v>
      </c>
      <c r="R142" t="s">
        <v>74</v>
      </c>
      <c r="S142" t="s">
        <v>74</v>
      </c>
      <c r="T142" t="s">
        <v>74</v>
      </c>
      <c r="U142" t="s">
        <v>74</v>
      </c>
      <c r="V142" t="s">
        <v>74</v>
      </c>
      <c r="W142" t="s">
        <v>74</v>
      </c>
      <c r="X142" t="s">
        <v>74</v>
      </c>
      <c r="Y142" t="s">
        <v>74</v>
      </c>
      <c r="Z142" t="s">
        <v>74</v>
      </c>
      <c r="AA142" t="s">
        <v>74</v>
      </c>
      <c r="AB142" t="s">
        <v>74</v>
      </c>
      <c r="AC142" t="s">
        <v>74</v>
      </c>
      <c r="AD142" t="s">
        <v>74</v>
      </c>
      <c r="AE142" t="s">
        <v>74</v>
      </c>
      <c r="AF142" t="s">
        <v>74</v>
      </c>
      <c r="AG142" t="s">
        <v>74</v>
      </c>
      <c r="AH142" t="s">
        <v>74</v>
      </c>
      <c r="AI142" t="s">
        <v>74</v>
      </c>
      <c r="AJ142" t="s">
        <v>74</v>
      </c>
      <c r="AK142" t="s">
        <v>74</v>
      </c>
      <c r="AL142" t="s">
        <v>74</v>
      </c>
      <c r="AM142" t="s">
        <v>74</v>
      </c>
      <c r="AN142" t="s">
        <v>74</v>
      </c>
      <c r="AO142" t="s">
        <v>5017</v>
      </c>
      <c r="AP142" t="s">
        <v>5018</v>
      </c>
      <c r="AQ142" t="s">
        <v>74</v>
      </c>
      <c r="AR142" t="s">
        <v>74</v>
      </c>
      <c r="AS142" t="s">
        <v>74</v>
      </c>
      <c r="AT142" t="s">
        <v>74</v>
      </c>
      <c r="AU142">
        <v>2011</v>
      </c>
      <c r="AV142">
        <v>70</v>
      </c>
      <c r="AW142">
        <v>2</v>
      </c>
      <c r="AX142" t="s">
        <v>74</v>
      </c>
      <c r="AY142" t="s">
        <v>74</v>
      </c>
      <c r="AZ142" t="s">
        <v>74</v>
      </c>
      <c r="BA142" t="s">
        <v>74</v>
      </c>
      <c r="BB142">
        <v>329</v>
      </c>
      <c r="BC142">
        <v>333</v>
      </c>
      <c r="BD142" t="s">
        <v>74</v>
      </c>
      <c r="BE142" t="s">
        <v>5019</v>
      </c>
      <c r="BF142" t="str">
        <f>HYPERLINK("http://dx.doi.org/10.4081/jlimnol.2011.329","http://dx.doi.org/10.4081/jlimnol.2011.329")</f>
        <v>http://dx.doi.org/10.4081/jlimnol.2011.329</v>
      </c>
      <c r="BG142" t="s">
        <v>74</v>
      </c>
      <c r="BH142" t="s">
        <v>74</v>
      </c>
      <c r="BI142" t="s">
        <v>74</v>
      </c>
      <c r="BJ142" t="s">
        <v>74</v>
      </c>
      <c r="BK142" t="s">
        <v>74</v>
      </c>
      <c r="BL142" t="s">
        <v>74</v>
      </c>
      <c r="BM142" t="s">
        <v>74</v>
      </c>
      <c r="BN142" t="s">
        <v>74</v>
      </c>
      <c r="BO142" t="s">
        <v>74</v>
      </c>
      <c r="BP142" t="s">
        <v>74</v>
      </c>
      <c r="BQ142" t="s">
        <v>74</v>
      </c>
      <c r="BR142" t="s">
        <v>74</v>
      </c>
      <c r="BS142" t="s">
        <v>5020</v>
      </c>
      <c r="BT142" t="str">
        <f>HYPERLINK("https%3A%2F%2Fwww.webofscience.com%2Fwos%2Fwoscc%2Ffull-record%2FWOS:000294320400020","View Full Record in Web of Science")</f>
        <v>View Full Record in Web of Science</v>
      </c>
    </row>
    <row r="143" spans="1:72" x14ac:dyDescent="0.2">
      <c r="A143" t="s">
        <v>72</v>
      </c>
      <c r="B143" t="s">
        <v>5021</v>
      </c>
      <c r="C143" t="s">
        <v>74</v>
      </c>
      <c r="D143" t="s">
        <v>74</v>
      </c>
      <c r="E143" t="s">
        <v>74</v>
      </c>
      <c r="F143" t="s">
        <v>5022</v>
      </c>
      <c r="G143" t="s">
        <v>74</v>
      </c>
      <c r="H143" t="s">
        <v>74</v>
      </c>
      <c r="I143" t="s">
        <v>5023</v>
      </c>
      <c r="J143" t="s">
        <v>3271</v>
      </c>
      <c r="K143" t="s">
        <v>74</v>
      </c>
      <c r="L143" t="s">
        <v>74</v>
      </c>
      <c r="M143" t="s">
        <v>74</v>
      </c>
      <c r="N143" t="s">
        <v>74</v>
      </c>
      <c r="O143" t="s">
        <v>74</v>
      </c>
      <c r="P143" t="s">
        <v>74</v>
      </c>
      <c r="Q143" t="s">
        <v>74</v>
      </c>
      <c r="R143" t="s">
        <v>74</v>
      </c>
      <c r="S143" t="s">
        <v>74</v>
      </c>
      <c r="T143" t="s">
        <v>74</v>
      </c>
      <c r="U143" t="s">
        <v>74</v>
      </c>
      <c r="V143" t="s">
        <v>74</v>
      </c>
      <c r="W143" t="s">
        <v>74</v>
      </c>
      <c r="X143" t="s">
        <v>74</v>
      </c>
      <c r="Y143" t="s">
        <v>74</v>
      </c>
      <c r="Z143" t="s">
        <v>74</v>
      </c>
      <c r="AA143" t="s">
        <v>7135</v>
      </c>
      <c r="AB143" t="s">
        <v>7136</v>
      </c>
      <c r="AC143" t="s">
        <v>74</v>
      </c>
      <c r="AD143" t="s">
        <v>74</v>
      </c>
      <c r="AE143" t="s">
        <v>74</v>
      </c>
      <c r="AF143" t="s">
        <v>74</v>
      </c>
      <c r="AG143" t="s">
        <v>74</v>
      </c>
      <c r="AH143" t="s">
        <v>74</v>
      </c>
      <c r="AI143" t="s">
        <v>74</v>
      </c>
      <c r="AJ143" t="s">
        <v>74</v>
      </c>
      <c r="AK143" t="s">
        <v>74</v>
      </c>
      <c r="AL143" t="s">
        <v>74</v>
      </c>
      <c r="AM143" t="s">
        <v>74</v>
      </c>
      <c r="AN143" t="s">
        <v>74</v>
      </c>
      <c r="AO143" t="s">
        <v>3274</v>
      </c>
      <c r="AP143" t="s">
        <v>3275</v>
      </c>
      <c r="AQ143" t="s">
        <v>74</v>
      </c>
      <c r="AR143" t="s">
        <v>74</v>
      </c>
      <c r="AS143" t="s">
        <v>74</v>
      </c>
      <c r="AT143" t="s">
        <v>82</v>
      </c>
      <c r="AU143">
        <v>2010</v>
      </c>
      <c r="AV143">
        <v>60</v>
      </c>
      <c r="AW143" t="s">
        <v>74</v>
      </c>
      <c r="AX143">
        <v>12</v>
      </c>
      <c r="AY143" t="s">
        <v>74</v>
      </c>
      <c r="AZ143" t="s">
        <v>74</v>
      </c>
      <c r="BA143" t="s">
        <v>74</v>
      </c>
      <c r="BB143">
        <v>2710</v>
      </c>
      <c r="BC143">
        <v>2714</v>
      </c>
      <c r="BD143" t="s">
        <v>74</v>
      </c>
      <c r="BE143" t="s">
        <v>5024</v>
      </c>
      <c r="BF143" t="str">
        <f>HYPERLINK("http://dx.doi.org/10.1099/ijs.0.018952-0","http://dx.doi.org/10.1099/ijs.0.018952-0")</f>
        <v>http://dx.doi.org/10.1099/ijs.0.018952-0</v>
      </c>
      <c r="BG143" t="s">
        <v>74</v>
      </c>
      <c r="BH143" t="s">
        <v>74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>
        <v>20061501</v>
      </c>
      <c r="BO143" t="s">
        <v>74</v>
      </c>
      <c r="BP143" t="s">
        <v>74</v>
      </c>
      <c r="BQ143" t="s">
        <v>74</v>
      </c>
      <c r="BR143" t="s">
        <v>74</v>
      </c>
      <c r="BS143" t="s">
        <v>5025</v>
      </c>
      <c r="BT143" t="str">
        <f>HYPERLINK("https%3A%2F%2Fwww.webofscience.com%2Fwos%2Fwoscc%2Ffull-record%2FWOS:000286169100003","View Full Record in Web of Science")</f>
        <v>View Full Record in Web of Science</v>
      </c>
    </row>
    <row r="144" spans="1:72" x14ac:dyDescent="0.2">
      <c r="A144" t="s">
        <v>72</v>
      </c>
      <c r="B144" t="s">
        <v>5038</v>
      </c>
      <c r="C144" t="s">
        <v>74</v>
      </c>
      <c r="D144" t="s">
        <v>74</v>
      </c>
      <c r="E144" t="s">
        <v>74</v>
      </c>
      <c r="F144" t="s">
        <v>5039</v>
      </c>
      <c r="G144" t="s">
        <v>74</v>
      </c>
      <c r="H144" t="s">
        <v>74</v>
      </c>
      <c r="I144" t="s">
        <v>5040</v>
      </c>
      <c r="J144" t="s">
        <v>2199</v>
      </c>
      <c r="K144" t="s">
        <v>74</v>
      </c>
      <c r="L144" t="s">
        <v>74</v>
      </c>
      <c r="M144" t="s">
        <v>74</v>
      </c>
      <c r="N144" t="s">
        <v>74</v>
      </c>
      <c r="O144" t="s">
        <v>74</v>
      </c>
      <c r="P144" t="s">
        <v>74</v>
      </c>
      <c r="Q144" t="s">
        <v>74</v>
      </c>
      <c r="R144" t="s">
        <v>74</v>
      </c>
      <c r="S144" t="s">
        <v>74</v>
      </c>
      <c r="T144" t="s">
        <v>74</v>
      </c>
      <c r="U144" t="s">
        <v>74</v>
      </c>
      <c r="V144" t="s">
        <v>74</v>
      </c>
      <c r="W144" t="s">
        <v>74</v>
      </c>
      <c r="X144" t="s">
        <v>74</v>
      </c>
      <c r="Y144" t="s">
        <v>74</v>
      </c>
      <c r="Z144" t="s">
        <v>74</v>
      </c>
      <c r="AA144" t="s">
        <v>1790</v>
      </c>
      <c r="AB144" t="s">
        <v>74</v>
      </c>
      <c r="AC144" t="s">
        <v>74</v>
      </c>
      <c r="AD144" t="s">
        <v>74</v>
      </c>
      <c r="AE144" t="s">
        <v>74</v>
      </c>
      <c r="AF144" t="s">
        <v>74</v>
      </c>
      <c r="AG144" t="s">
        <v>74</v>
      </c>
      <c r="AH144" t="s">
        <v>74</v>
      </c>
      <c r="AI144" t="s">
        <v>74</v>
      </c>
      <c r="AJ144" t="s">
        <v>74</v>
      </c>
      <c r="AK144" t="s">
        <v>74</v>
      </c>
      <c r="AL144" t="s">
        <v>74</v>
      </c>
      <c r="AM144" t="s">
        <v>74</v>
      </c>
      <c r="AN144" t="s">
        <v>74</v>
      </c>
      <c r="AO144" t="s">
        <v>2200</v>
      </c>
      <c r="AP144" t="s">
        <v>2201</v>
      </c>
      <c r="AQ144" t="s">
        <v>74</v>
      </c>
      <c r="AR144" t="s">
        <v>74</v>
      </c>
      <c r="AS144" t="s">
        <v>74</v>
      </c>
      <c r="AT144" t="s">
        <v>335</v>
      </c>
      <c r="AU144">
        <v>2010</v>
      </c>
      <c r="AV144">
        <v>19</v>
      </c>
      <c r="AW144">
        <v>8</v>
      </c>
      <c r="AX144" t="s">
        <v>74</v>
      </c>
      <c r="AY144" t="s">
        <v>74</v>
      </c>
      <c r="AZ144" t="s">
        <v>74</v>
      </c>
      <c r="BA144" t="s">
        <v>74</v>
      </c>
      <c r="BB144">
        <v>1620</v>
      </c>
      <c r="BC144">
        <v>1625</v>
      </c>
      <c r="BD144" t="s">
        <v>74</v>
      </c>
      <c r="BE144" t="s">
        <v>5041</v>
      </c>
      <c r="BF144" t="str">
        <f>HYPERLINK("http://dx.doi.org/10.1007/s10646-010-0547-3","http://dx.doi.org/10.1007/s10646-010-0547-3")</f>
        <v>http://dx.doi.org/10.1007/s10646-010-0547-3</v>
      </c>
      <c r="BG144" t="s">
        <v>74</v>
      </c>
      <c r="BH144" t="s">
        <v>74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>
        <v>20862541</v>
      </c>
      <c r="BO144" t="s">
        <v>74</v>
      </c>
      <c r="BP144" t="s">
        <v>74</v>
      </c>
      <c r="BQ144" t="s">
        <v>74</v>
      </c>
      <c r="BR144" t="s">
        <v>74</v>
      </c>
      <c r="BS144" t="s">
        <v>5042</v>
      </c>
      <c r="BT144" t="str">
        <f>HYPERLINK("https%3A%2F%2Fwww.webofscience.com%2Fwos%2Fwoscc%2Ffull-record%2FWOS:000284363800025","View Full Record in Web of Science")</f>
        <v>View Full Record in Web of Science</v>
      </c>
    </row>
    <row r="145" spans="1:72" x14ac:dyDescent="0.2">
      <c r="A145" t="s">
        <v>72</v>
      </c>
      <c r="B145" t="s">
        <v>5043</v>
      </c>
      <c r="C145" t="s">
        <v>74</v>
      </c>
      <c r="D145" t="s">
        <v>74</v>
      </c>
      <c r="E145" t="s">
        <v>74</v>
      </c>
      <c r="F145" t="s">
        <v>5044</v>
      </c>
      <c r="G145" t="s">
        <v>74</v>
      </c>
      <c r="H145" t="s">
        <v>74</v>
      </c>
      <c r="I145" t="s">
        <v>5045</v>
      </c>
      <c r="J145" t="s">
        <v>124</v>
      </c>
      <c r="K145" t="s">
        <v>74</v>
      </c>
      <c r="L145" t="s">
        <v>74</v>
      </c>
      <c r="M145" t="s">
        <v>74</v>
      </c>
      <c r="N145" t="s">
        <v>74</v>
      </c>
      <c r="O145" t="s">
        <v>74</v>
      </c>
      <c r="P145" t="s">
        <v>74</v>
      </c>
      <c r="Q145" t="s">
        <v>74</v>
      </c>
      <c r="R145" t="s">
        <v>74</v>
      </c>
      <c r="S145" t="s">
        <v>74</v>
      </c>
      <c r="T145" t="s">
        <v>74</v>
      </c>
      <c r="U145" t="s">
        <v>74</v>
      </c>
      <c r="V145" t="s">
        <v>74</v>
      </c>
      <c r="W145" t="s">
        <v>74</v>
      </c>
      <c r="X145" t="s">
        <v>74</v>
      </c>
      <c r="Y145" t="s">
        <v>74</v>
      </c>
      <c r="Z145" t="s">
        <v>74</v>
      </c>
      <c r="AA145" t="s">
        <v>74</v>
      </c>
      <c r="AB145" t="s">
        <v>74</v>
      </c>
      <c r="AC145" t="s">
        <v>74</v>
      </c>
      <c r="AD145" t="s">
        <v>74</v>
      </c>
      <c r="AE145" t="s">
        <v>74</v>
      </c>
      <c r="AF145" t="s">
        <v>74</v>
      </c>
      <c r="AG145" t="s">
        <v>74</v>
      </c>
      <c r="AH145" t="s">
        <v>74</v>
      </c>
      <c r="AI145" t="s">
        <v>74</v>
      </c>
      <c r="AJ145" t="s">
        <v>74</v>
      </c>
      <c r="AK145" t="s">
        <v>74</v>
      </c>
      <c r="AL145" t="s">
        <v>74</v>
      </c>
      <c r="AM145" t="s">
        <v>74</v>
      </c>
      <c r="AN145" t="s">
        <v>74</v>
      </c>
      <c r="AO145" t="s">
        <v>127</v>
      </c>
      <c r="AP145" t="s">
        <v>128</v>
      </c>
      <c r="AQ145" t="s">
        <v>74</v>
      </c>
      <c r="AR145" t="s">
        <v>74</v>
      </c>
      <c r="AS145" t="s">
        <v>74</v>
      </c>
      <c r="AT145" t="s">
        <v>335</v>
      </c>
      <c r="AU145">
        <v>2010</v>
      </c>
      <c r="AV145">
        <v>655</v>
      </c>
      <c r="AW145">
        <v>1</v>
      </c>
      <c r="AX145" t="s">
        <v>74</v>
      </c>
      <c r="AY145" t="s">
        <v>74</v>
      </c>
      <c r="AZ145" t="s">
        <v>74</v>
      </c>
      <c r="BA145" t="s">
        <v>74</v>
      </c>
      <c r="BB145">
        <v>15</v>
      </c>
      <c r="BC145">
        <v>23</v>
      </c>
      <c r="BD145" t="s">
        <v>74</v>
      </c>
      <c r="BE145" t="s">
        <v>5046</v>
      </c>
      <c r="BF145" t="str">
        <f>HYPERLINK("http://dx.doi.org/10.1007/s10750-010-0399-0","http://dx.doi.org/10.1007/s10750-010-0399-0")</f>
        <v>http://dx.doi.org/10.1007/s10750-010-0399-0</v>
      </c>
      <c r="BG145" t="s">
        <v>74</v>
      </c>
      <c r="BH145" t="s">
        <v>74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 t="s">
        <v>74</v>
      </c>
      <c r="BO145" t="s">
        <v>74</v>
      </c>
      <c r="BP145" t="s">
        <v>74</v>
      </c>
      <c r="BQ145" t="s">
        <v>74</v>
      </c>
      <c r="BR145" t="s">
        <v>74</v>
      </c>
      <c r="BS145" t="s">
        <v>5047</v>
      </c>
      <c r="BT145" t="str">
        <f>HYPERLINK("https%3A%2F%2Fwww.webofscience.com%2Fwos%2Fwoscc%2Ffull-record%2FWOS:000282179900002","View Full Record in Web of Science")</f>
        <v>View Full Record in Web of Science</v>
      </c>
    </row>
    <row r="146" spans="1:72" x14ac:dyDescent="0.2">
      <c r="A146" t="s">
        <v>72</v>
      </c>
      <c r="B146" t="s">
        <v>5053</v>
      </c>
      <c r="C146" t="s">
        <v>74</v>
      </c>
      <c r="D146" t="s">
        <v>74</v>
      </c>
      <c r="E146" t="s">
        <v>74</v>
      </c>
      <c r="F146" t="s">
        <v>5054</v>
      </c>
      <c r="G146" t="s">
        <v>74</v>
      </c>
      <c r="H146" t="s">
        <v>74</v>
      </c>
      <c r="I146" t="s">
        <v>5055</v>
      </c>
      <c r="J146" t="s">
        <v>124</v>
      </c>
      <c r="K146" t="s">
        <v>74</v>
      </c>
      <c r="L146" t="s">
        <v>74</v>
      </c>
      <c r="M146" t="s">
        <v>74</v>
      </c>
      <c r="N146" t="s">
        <v>74</v>
      </c>
      <c r="O146" t="s">
        <v>74</v>
      </c>
      <c r="P146" t="s">
        <v>74</v>
      </c>
      <c r="Q146" t="s">
        <v>74</v>
      </c>
      <c r="R146" t="s">
        <v>74</v>
      </c>
      <c r="S146" t="s">
        <v>74</v>
      </c>
      <c r="T146" t="s">
        <v>74</v>
      </c>
      <c r="U146" t="s">
        <v>74</v>
      </c>
      <c r="V146" t="s">
        <v>74</v>
      </c>
      <c r="W146" t="s">
        <v>74</v>
      </c>
      <c r="X146" t="s">
        <v>74</v>
      </c>
      <c r="Y146" t="s">
        <v>74</v>
      </c>
      <c r="Z146" t="s">
        <v>74</v>
      </c>
      <c r="AA146" t="s">
        <v>5056</v>
      </c>
      <c r="AB146" t="s">
        <v>5057</v>
      </c>
      <c r="AC146" t="s">
        <v>74</v>
      </c>
      <c r="AD146" t="s">
        <v>74</v>
      </c>
      <c r="AE146" t="s">
        <v>74</v>
      </c>
      <c r="AF146" t="s">
        <v>74</v>
      </c>
      <c r="AG146" t="s">
        <v>74</v>
      </c>
      <c r="AH146" t="s">
        <v>74</v>
      </c>
      <c r="AI146" t="s">
        <v>74</v>
      </c>
      <c r="AJ146" t="s">
        <v>74</v>
      </c>
      <c r="AK146" t="s">
        <v>74</v>
      </c>
      <c r="AL146" t="s">
        <v>74</v>
      </c>
      <c r="AM146" t="s">
        <v>74</v>
      </c>
      <c r="AN146" t="s">
        <v>74</v>
      </c>
      <c r="AO146" t="s">
        <v>127</v>
      </c>
      <c r="AP146" t="s">
        <v>74</v>
      </c>
      <c r="AQ146" t="s">
        <v>74</v>
      </c>
      <c r="AR146" t="s">
        <v>74</v>
      </c>
      <c r="AS146" t="s">
        <v>74</v>
      </c>
      <c r="AT146" t="s">
        <v>406</v>
      </c>
      <c r="AU146">
        <v>2010</v>
      </c>
      <c r="AV146">
        <v>653</v>
      </c>
      <c r="AW146">
        <v>1</v>
      </c>
      <c r="AX146" t="s">
        <v>74</v>
      </c>
      <c r="AY146" t="s">
        <v>74</v>
      </c>
      <c r="AZ146" t="s">
        <v>74</v>
      </c>
      <c r="BA146" t="s">
        <v>74</v>
      </c>
      <c r="BB146">
        <v>91</v>
      </c>
      <c r="BC146">
        <v>102</v>
      </c>
      <c r="BD146" t="s">
        <v>74</v>
      </c>
      <c r="BE146" t="s">
        <v>5058</v>
      </c>
      <c r="BF146" t="str">
        <f>HYPERLINK("http://dx.doi.org/10.1007/s10750-010-0346-0","http://dx.doi.org/10.1007/s10750-010-0346-0")</f>
        <v>http://dx.doi.org/10.1007/s10750-010-0346-0</v>
      </c>
      <c r="BG146" t="s">
        <v>74</v>
      </c>
      <c r="BH146" t="s">
        <v>74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 t="s">
        <v>74</v>
      </c>
      <c r="BO146" t="s">
        <v>74</v>
      </c>
      <c r="BP146" t="s">
        <v>74</v>
      </c>
      <c r="BQ146" t="s">
        <v>74</v>
      </c>
      <c r="BR146" t="s">
        <v>74</v>
      </c>
      <c r="BS146" t="s">
        <v>5059</v>
      </c>
      <c r="BT146" t="str">
        <f>HYPERLINK("https%3A%2F%2Fwww.webofscience.com%2Fwos%2Fwoscc%2Ffull-record%2FWOS:000280092100008","View Full Record in Web of Science")</f>
        <v>View Full Record in Web of Science</v>
      </c>
    </row>
    <row r="147" spans="1:72" x14ac:dyDescent="0.2">
      <c r="A147" t="s">
        <v>72</v>
      </c>
      <c r="B147" t="s">
        <v>5112</v>
      </c>
      <c r="C147" t="s">
        <v>74</v>
      </c>
      <c r="D147" t="s">
        <v>74</v>
      </c>
      <c r="E147" t="s">
        <v>74</v>
      </c>
      <c r="F147" t="s">
        <v>5113</v>
      </c>
      <c r="G147" t="s">
        <v>74</v>
      </c>
      <c r="H147" t="s">
        <v>74</v>
      </c>
      <c r="I147" t="s">
        <v>5114</v>
      </c>
      <c r="J147" t="s">
        <v>3271</v>
      </c>
      <c r="K147" t="s">
        <v>74</v>
      </c>
      <c r="L147" t="s">
        <v>74</v>
      </c>
      <c r="M147" t="s">
        <v>74</v>
      </c>
      <c r="N147" t="s">
        <v>74</v>
      </c>
      <c r="O147" t="s">
        <v>74</v>
      </c>
      <c r="P147" t="s">
        <v>74</v>
      </c>
      <c r="Q147" t="s">
        <v>74</v>
      </c>
      <c r="R147" t="s">
        <v>74</v>
      </c>
      <c r="S147" t="s">
        <v>74</v>
      </c>
      <c r="T147" t="s">
        <v>74</v>
      </c>
      <c r="U147" t="s">
        <v>74</v>
      </c>
      <c r="V147" t="s">
        <v>74</v>
      </c>
      <c r="W147" t="s">
        <v>74</v>
      </c>
      <c r="X147" t="s">
        <v>74</v>
      </c>
      <c r="Y147" t="s">
        <v>74</v>
      </c>
      <c r="Z147" t="s">
        <v>74</v>
      </c>
      <c r="AA147" t="s">
        <v>5115</v>
      </c>
      <c r="AB147" t="s">
        <v>5116</v>
      </c>
      <c r="AC147" t="s">
        <v>74</v>
      </c>
      <c r="AD147" t="s">
        <v>74</v>
      </c>
      <c r="AE147" t="s">
        <v>74</v>
      </c>
      <c r="AF147" t="s">
        <v>74</v>
      </c>
      <c r="AG147" t="s">
        <v>74</v>
      </c>
      <c r="AH147" t="s">
        <v>74</v>
      </c>
      <c r="AI147" t="s">
        <v>74</v>
      </c>
      <c r="AJ147" t="s">
        <v>74</v>
      </c>
      <c r="AK147" t="s">
        <v>74</v>
      </c>
      <c r="AL147" t="s">
        <v>74</v>
      </c>
      <c r="AM147" t="s">
        <v>74</v>
      </c>
      <c r="AN147" t="s">
        <v>74</v>
      </c>
      <c r="AO147" t="s">
        <v>3274</v>
      </c>
      <c r="AP147" t="s">
        <v>74</v>
      </c>
      <c r="AQ147" t="s">
        <v>74</v>
      </c>
      <c r="AR147" t="s">
        <v>74</v>
      </c>
      <c r="AS147" t="s">
        <v>74</v>
      </c>
      <c r="AT147" t="s">
        <v>569</v>
      </c>
      <c r="AU147">
        <v>2010</v>
      </c>
      <c r="AV147">
        <v>60</v>
      </c>
      <c r="AW147" t="s">
        <v>74</v>
      </c>
      <c r="AX147">
        <v>6</v>
      </c>
      <c r="AY147" t="s">
        <v>74</v>
      </c>
      <c r="AZ147" t="s">
        <v>74</v>
      </c>
      <c r="BA147" t="s">
        <v>74</v>
      </c>
      <c r="BB147">
        <v>1358</v>
      </c>
      <c r="BC147">
        <v>1365</v>
      </c>
      <c r="BD147" t="s">
        <v>74</v>
      </c>
      <c r="BE147" t="s">
        <v>5117</v>
      </c>
      <c r="BF147" t="str">
        <f>HYPERLINK("http://dx.doi.org/10.1099/ijs.0.013292-0","http://dx.doi.org/10.1099/ijs.0.013292-0")</f>
        <v>http://dx.doi.org/10.1099/ijs.0.013292-0</v>
      </c>
      <c r="BG147" t="s">
        <v>74</v>
      </c>
      <c r="BH147" t="s">
        <v>74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>
        <v>19671731</v>
      </c>
      <c r="BO147" t="s">
        <v>74</v>
      </c>
      <c r="BP147" t="s">
        <v>74</v>
      </c>
      <c r="BQ147" t="s">
        <v>74</v>
      </c>
      <c r="BR147" t="s">
        <v>74</v>
      </c>
      <c r="BS147" t="s">
        <v>5118</v>
      </c>
      <c r="BT147" t="str">
        <f>HYPERLINK("https%3A%2F%2Fwww.webofscience.com%2Fwos%2Fwoscc%2Ffull-record%2FWOS:000279369100019","View Full Record in Web of Science")</f>
        <v>View Full Record in Web of Science</v>
      </c>
    </row>
    <row r="148" spans="1:72" x14ac:dyDescent="0.2">
      <c r="A148" t="s">
        <v>72</v>
      </c>
      <c r="B148" t="s">
        <v>5205</v>
      </c>
      <c r="C148" t="s">
        <v>74</v>
      </c>
      <c r="D148" t="s">
        <v>74</v>
      </c>
      <c r="E148" t="s">
        <v>74</v>
      </c>
      <c r="F148" t="s">
        <v>5206</v>
      </c>
      <c r="G148" t="s">
        <v>74</v>
      </c>
      <c r="H148" t="s">
        <v>74</v>
      </c>
      <c r="I148" t="s">
        <v>5207</v>
      </c>
      <c r="J148" t="s">
        <v>1165</v>
      </c>
      <c r="K148" t="s">
        <v>74</v>
      </c>
      <c r="L148" t="s">
        <v>74</v>
      </c>
      <c r="M148" t="s">
        <v>74</v>
      </c>
      <c r="N148" t="s">
        <v>74</v>
      </c>
      <c r="O148" t="s">
        <v>74</v>
      </c>
      <c r="P148" t="s">
        <v>74</v>
      </c>
      <c r="Q148" t="s">
        <v>74</v>
      </c>
      <c r="R148" t="s">
        <v>74</v>
      </c>
      <c r="S148" t="s">
        <v>74</v>
      </c>
      <c r="T148" t="s">
        <v>74</v>
      </c>
      <c r="U148" t="s">
        <v>74</v>
      </c>
      <c r="V148" t="s">
        <v>74</v>
      </c>
      <c r="W148" t="s">
        <v>74</v>
      </c>
      <c r="X148" t="s">
        <v>74</v>
      </c>
      <c r="Y148" t="s">
        <v>74</v>
      </c>
      <c r="Z148" t="s">
        <v>74</v>
      </c>
      <c r="AA148" t="s">
        <v>7150</v>
      </c>
      <c r="AB148" t="s">
        <v>7151</v>
      </c>
      <c r="AC148" t="s">
        <v>74</v>
      </c>
      <c r="AD148" t="s">
        <v>74</v>
      </c>
      <c r="AE148" t="s">
        <v>74</v>
      </c>
      <c r="AF148" t="s">
        <v>74</v>
      </c>
      <c r="AG148" t="s">
        <v>74</v>
      </c>
      <c r="AH148" t="s">
        <v>74</v>
      </c>
      <c r="AI148" t="s">
        <v>74</v>
      </c>
      <c r="AJ148" t="s">
        <v>74</v>
      </c>
      <c r="AK148" t="s">
        <v>74</v>
      </c>
      <c r="AL148" t="s">
        <v>74</v>
      </c>
      <c r="AM148" t="s">
        <v>74</v>
      </c>
      <c r="AN148" t="s">
        <v>74</v>
      </c>
      <c r="AO148" t="s">
        <v>1166</v>
      </c>
      <c r="AP148" t="s">
        <v>1167</v>
      </c>
      <c r="AQ148" t="s">
        <v>74</v>
      </c>
      <c r="AR148" t="s">
        <v>74</v>
      </c>
      <c r="AS148" t="s">
        <v>74</v>
      </c>
      <c r="AT148" t="s">
        <v>520</v>
      </c>
      <c r="AU148">
        <v>2009</v>
      </c>
      <c r="AV148">
        <v>3</v>
      </c>
      <c r="AW148">
        <v>8</v>
      </c>
      <c r="AX148" t="s">
        <v>74</v>
      </c>
      <c r="AY148" t="s">
        <v>74</v>
      </c>
      <c r="AZ148" t="s">
        <v>74</v>
      </c>
      <c r="BA148" t="s">
        <v>74</v>
      </c>
      <c r="BB148">
        <v>889</v>
      </c>
      <c r="BC148">
        <v>902</v>
      </c>
      <c r="BD148" t="s">
        <v>74</v>
      </c>
      <c r="BE148" t="s">
        <v>5208</v>
      </c>
      <c r="BF148" t="str">
        <f>HYPERLINK("http://dx.doi.org/10.1038/ismej.2009.46","http://dx.doi.org/10.1038/ismej.2009.46")</f>
        <v>http://dx.doi.org/10.1038/ismej.2009.46</v>
      </c>
      <c r="BG148" t="s">
        <v>74</v>
      </c>
      <c r="BH148" t="s">
        <v>74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>
        <v>19421234</v>
      </c>
      <c r="BO148" t="s">
        <v>74</v>
      </c>
      <c r="BP148" t="s">
        <v>74</v>
      </c>
      <c r="BQ148" t="s">
        <v>74</v>
      </c>
      <c r="BR148" t="s">
        <v>74</v>
      </c>
      <c r="BS148" t="s">
        <v>5209</v>
      </c>
      <c r="BT148" t="str">
        <f>HYPERLINK("https%3A%2F%2Fwww.webofscience.com%2Fwos%2Fwoscc%2Ffull-record%2FWOS:000268741300003","View Full Record in Web of Science")</f>
        <v>View Full Record in Web of Science</v>
      </c>
    </row>
    <row r="149" spans="1:72" x14ac:dyDescent="0.2">
      <c r="A149" t="s">
        <v>72</v>
      </c>
      <c r="B149" t="s">
        <v>5215</v>
      </c>
      <c r="C149" t="s">
        <v>74</v>
      </c>
      <c r="D149" t="s">
        <v>74</v>
      </c>
      <c r="E149" t="s">
        <v>74</v>
      </c>
      <c r="F149" t="s">
        <v>5216</v>
      </c>
      <c r="G149" t="s">
        <v>74</v>
      </c>
      <c r="H149" t="s">
        <v>74</v>
      </c>
      <c r="I149" t="s">
        <v>5217</v>
      </c>
      <c r="J149" t="s">
        <v>5218</v>
      </c>
      <c r="K149" t="s">
        <v>74</v>
      </c>
      <c r="L149" t="s">
        <v>74</v>
      </c>
      <c r="M149" t="s">
        <v>74</v>
      </c>
      <c r="N149" t="s">
        <v>74</v>
      </c>
      <c r="O149" t="s">
        <v>74</v>
      </c>
      <c r="P149" t="s">
        <v>74</v>
      </c>
      <c r="Q149" t="s">
        <v>74</v>
      </c>
      <c r="R149" t="s">
        <v>74</v>
      </c>
      <c r="S149" t="s">
        <v>74</v>
      </c>
      <c r="T149" t="s">
        <v>74</v>
      </c>
      <c r="U149" t="s">
        <v>74</v>
      </c>
      <c r="V149" t="s">
        <v>74</v>
      </c>
      <c r="W149" t="s">
        <v>74</v>
      </c>
      <c r="X149" t="s">
        <v>74</v>
      </c>
      <c r="Y149" t="s">
        <v>74</v>
      </c>
      <c r="Z149" t="s">
        <v>74</v>
      </c>
      <c r="AA149" t="s">
        <v>74</v>
      </c>
      <c r="AB149" t="s">
        <v>74</v>
      </c>
      <c r="AC149" t="s">
        <v>74</v>
      </c>
      <c r="AD149" t="s">
        <v>74</v>
      </c>
      <c r="AE149" t="s">
        <v>74</v>
      </c>
      <c r="AF149" t="s">
        <v>74</v>
      </c>
      <c r="AG149" t="s">
        <v>74</v>
      </c>
      <c r="AH149" t="s">
        <v>74</v>
      </c>
      <c r="AI149" t="s">
        <v>74</v>
      </c>
      <c r="AJ149" t="s">
        <v>74</v>
      </c>
      <c r="AK149" t="s">
        <v>74</v>
      </c>
      <c r="AL149" t="s">
        <v>74</v>
      </c>
      <c r="AM149" t="s">
        <v>74</v>
      </c>
      <c r="AN149" t="s">
        <v>74</v>
      </c>
      <c r="AO149" t="s">
        <v>5219</v>
      </c>
      <c r="AP149" t="s">
        <v>5220</v>
      </c>
      <c r="AQ149" t="s">
        <v>74</v>
      </c>
      <c r="AR149" t="s">
        <v>74</v>
      </c>
      <c r="AS149" t="s">
        <v>74</v>
      </c>
      <c r="AT149" t="s">
        <v>624</v>
      </c>
      <c r="AU149">
        <v>2009</v>
      </c>
      <c r="AV149">
        <v>57</v>
      </c>
      <c r="AW149">
        <v>1</v>
      </c>
      <c r="AX149" t="s">
        <v>74</v>
      </c>
      <c r="AY149" t="s">
        <v>74</v>
      </c>
      <c r="AZ149" t="s">
        <v>74</v>
      </c>
      <c r="BA149" t="s">
        <v>74</v>
      </c>
      <c r="BB149">
        <v>68</v>
      </c>
      <c r="BC149">
        <v>76</v>
      </c>
      <c r="BD149" t="s">
        <v>74</v>
      </c>
      <c r="BE149" t="s">
        <v>5221</v>
      </c>
      <c r="BF149" t="str">
        <f>HYPERLINK("http://dx.doi.org/10.1007/s00244-008-9247-x","http://dx.doi.org/10.1007/s00244-008-9247-x")</f>
        <v>http://dx.doi.org/10.1007/s00244-008-9247-x</v>
      </c>
      <c r="BG149" t="s">
        <v>74</v>
      </c>
      <c r="BH149" t="s">
        <v>74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>
        <v>18853083</v>
      </c>
      <c r="BO149" t="s">
        <v>74</v>
      </c>
      <c r="BP149" t="s">
        <v>74</v>
      </c>
      <c r="BQ149" t="s">
        <v>74</v>
      </c>
      <c r="BR149" t="s">
        <v>74</v>
      </c>
      <c r="BS149" t="s">
        <v>5222</v>
      </c>
      <c r="BT149" t="str">
        <f>HYPERLINK("https%3A%2F%2Fwww.webofscience.com%2Fwos%2Fwoscc%2Ffull-record%2FWOS:000266266200008","View Full Record in Web of Science")</f>
        <v>View Full Record in Web of Science</v>
      </c>
    </row>
    <row r="150" spans="1:72" x14ac:dyDescent="0.2">
      <c r="A150" t="s">
        <v>72</v>
      </c>
      <c r="B150" t="s">
        <v>5254</v>
      </c>
      <c r="C150" t="s">
        <v>74</v>
      </c>
      <c r="D150" t="s">
        <v>74</v>
      </c>
      <c r="E150" t="s">
        <v>74</v>
      </c>
      <c r="F150" t="s">
        <v>5255</v>
      </c>
      <c r="G150" t="s">
        <v>74</v>
      </c>
      <c r="H150" t="s">
        <v>74</v>
      </c>
      <c r="I150" t="s">
        <v>5256</v>
      </c>
      <c r="J150" t="s">
        <v>1760</v>
      </c>
      <c r="K150" t="s">
        <v>74</v>
      </c>
      <c r="L150" t="s">
        <v>74</v>
      </c>
      <c r="M150" t="s">
        <v>74</v>
      </c>
      <c r="N150" t="s">
        <v>74</v>
      </c>
      <c r="O150" t="s">
        <v>74</v>
      </c>
      <c r="P150" t="s">
        <v>74</v>
      </c>
      <c r="Q150" t="s">
        <v>74</v>
      </c>
      <c r="R150" t="s">
        <v>74</v>
      </c>
      <c r="S150" t="s">
        <v>74</v>
      </c>
      <c r="T150" t="s">
        <v>74</v>
      </c>
      <c r="U150" t="s">
        <v>74</v>
      </c>
      <c r="V150" t="s">
        <v>74</v>
      </c>
      <c r="W150" t="s">
        <v>74</v>
      </c>
      <c r="X150" t="s">
        <v>74</v>
      </c>
      <c r="Y150" t="s">
        <v>74</v>
      </c>
      <c r="Z150" t="s">
        <v>74</v>
      </c>
      <c r="AA150" t="s">
        <v>5257</v>
      </c>
      <c r="AB150" t="s">
        <v>5258</v>
      </c>
      <c r="AC150" t="s">
        <v>74</v>
      </c>
      <c r="AD150" t="s">
        <v>74</v>
      </c>
      <c r="AE150" t="s">
        <v>74</v>
      </c>
      <c r="AF150" t="s">
        <v>74</v>
      </c>
      <c r="AG150" t="s">
        <v>74</v>
      </c>
      <c r="AH150" t="s">
        <v>74</v>
      </c>
      <c r="AI150" t="s">
        <v>74</v>
      </c>
      <c r="AJ150" t="s">
        <v>74</v>
      </c>
      <c r="AK150" t="s">
        <v>74</v>
      </c>
      <c r="AL150" t="s">
        <v>74</v>
      </c>
      <c r="AM150" t="s">
        <v>74</v>
      </c>
      <c r="AN150" t="s">
        <v>74</v>
      </c>
      <c r="AO150" t="s">
        <v>1762</v>
      </c>
      <c r="AP150" t="s">
        <v>1763</v>
      </c>
      <c r="AQ150" t="s">
        <v>74</v>
      </c>
      <c r="AR150" t="s">
        <v>74</v>
      </c>
      <c r="AS150" t="s">
        <v>74</v>
      </c>
      <c r="AT150" t="s">
        <v>416</v>
      </c>
      <c r="AU150">
        <v>2009</v>
      </c>
      <c r="AV150">
        <v>32</v>
      </c>
      <c r="AW150">
        <v>2</v>
      </c>
      <c r="AX150" t="s">
        <v>74</v>
      </c>
      <c r="AY150" t="s">
        <v>74</v>
      </c>
      <c r="AZ150" t="s">
        <v>74</v>
      </c>
      <c r="BA150" t="s">
        <v>74</v>
      </c>
      <c r="BB150">
        <v>147</v>
      </c>
      <c r="BC150">
        <v>159</v>
      </c>
      <c r="BD150" t="s">
        <v>74</v>
      </c>
      <c r="BE150" t="s">
        <v>5259</v>
      </c>
      <c r="BF150" t="str">
        <f>HYPERLINK("http://dx.doi.org/10.1007/s00300-008-0514-0","http://dx.doi.org/10.1007/s00300-008-0514-0")</f>
        <v>http://dx.doi.org/10.1007/s00300-008-0514-0</v>
      </c>
      <c r="BG150" t="s">
        <v>74</v>
      </c>
      <c r="BH150" t="s">
        <v>74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 t="s">
        <v>74</v>
      </c>
      <c r="BR150" t="s">
        <v>74</v>
      </c>
      <c r="BS150" t="s">
        <v>5260</v>
      </c>
      <c r="BT150" t="str">
        <f>HYPERLINK("https%3A%2F%2Fwww.webofscience.com%2Fwos%2Fwoscc%2Ffull-record%2FWOS:000262439300002","View Full Record in Web of Science")</f>
        <v>View Full Record in Web of Science</v>
      </c>
    </row>
    <row r="151" spans="1:72" x14ac:dyDescent="0.2">
      <c r="A151" t="s">
        <v>72</v>
      </c>
      <c r="B151" t="s">
        <v>5261</v>
      </c>
      <c r="C151" t="s">
        <v>74</v>
      </c>
      <c r="D151" t="s">
        <v>74</v>
      </c>
      <c r="E151" t="s">
        <v>74</v>
      </c>
      <c r="F151" t="s">
        <v>5262</v>
      </c>
      <c r="G151" t="s">
        <v>74</v>
      </c>
      <c r="H151" t="s">
        <v>74</v>
      </c>
      <c r="I151" t="s">
        <v>5263</v>
      </c>
      <c r="J151" t="s">
        <v>1523</v>
      </c>
      <c r="K151" t="s">
        <v>74</v>
      </c>
      <c r="L151" t="s">
        <v>74</v>
      </c>
      <c r="M151" t="s">
        <v>74</v>
      </c>
      <c r="N151" t="s">
        <v>74</v>
      </c>
      <c r="O151" t="s">
        <v>74</v>
      </c>
      <c r="P151" t="s">
        <v>74</v>
      </c>
      <c r="Q151" t="s">
        <v>74</v>
      </c>
      <c r="R151" t="s">
        <v>74</v>
      </c>
      <c r="S151" t="s">
        <v>74</v>
      </c>
      <c r="T151" t="s">
        <v>74</v>
      </c>
      <c r="U151" t="s">
        <v>74</v>
      </c>
      <c r="V151" t="s">
        <v>74</v>
      </c>
      <c r="W151" t="s">
        <v>74</v>
      </c>
      <c r="X151" t="s">
        <v>74</v>
      </c>
      <c r="Y151" t="s">
        <v>74</v>
      </c>
      <c r="Z151" t="s">
        <v>74</v>
      </c>
      <c r="AA151" t="s">
        <v>4817</v>
      </c>
      <c r="AB151" t="s">
        <v>4818</v>
      </c>
      <c r="AC151" t="s">
        <v>74</v>
      </c>
      <c r="AD151" t="s">
        <v>74</v>
      </c>
      <c r="AE151" t="s">
        <v>74</v>
      </c>
      <c r="AF151" t="s">
        <v>74</v>
      </c>
      <c r="AG151" t="s">
        <v>74</v>
      </c>
      <c r="AH151" t="s">
        <v>74</v>
      </c>
      <c r="AI151" t="s">
        <v>74</v>
      </c>
      <c r="AJ151" t="s">
        <v>74</v>
      </c>
      <c r="AK151" t="s">
        <v>74</v>
      </c>
      <c r="AL151" t="s">
        <v>74</v>
      </c>
      <c r="AM151" t="s">
        <v>74</v>
      </c>
      <c r="AN151" t="s">
        <v>74</v>
      </c>
      <c r="AO151" t="s">
        <v>1524</v>
      </c>
      <c r="AP151" t="s">
        <v>74</v>
      </c>
      <c r="AQ151" t="s">
        <v>74</v>
      </c>
      <c r="AR151" t="s">
        <v>74</v>
      </c>
      <c r="AS151" t="s">
        <v>74</v>
      </c>
      <c r="AT151" t="s">
        <v>416</v>
      </c>
      <c r="AU151">
        <v>2009</v>
      </c>
      <c r="AV151">
        <v>90</v>
      </c>
      <c r="AW151">
        <v>2</v>
      </c>
      <c r="AX151" t="s">
        <v>74</v>
      </c>
      <c r="AY151" t="s">
        <v>74</v>
      </c>
      <c r="AZ151" t="s">
        <v>74</v>
      </c>
      <c r="BA151" t="s">
        <v>74</v>
      </c>
      <c r="BB151">
        <v>300</v>
      </c>
      <c r="BC151">
        <v>305</v>
      </c>
      <c r="BD151" t="s">
        <v>74</v>
      </c>
      <c r="BE151" t="s">
        <v>5264</v>
      </c>
      <c r="BF151" t="str">
        <f>HYPERLINK("http://dx.doi.org/10.1890/08-1673.1","http://dx.doi.org/10.1890/08-1673.1")</f>
        <v>http://dx.doi.org/10.1890/08-1673.1</v>
      </c>
      <c r="BG151" t="s">
        <v>74</v>
      </c>
      <c r="BH151" t="s">
        <v>74</v>
      </c>
      <c r="BI151" t="s">
        <v>74</v>
      </c>
      <c r="BJ151" t="s">
        <v>74</v>
      </c>
      <c r="BK151" t="s">
        <v>74</v>
      </c>
      <c r="BL151" t="s">
        <v>74</v>
      </c>
      <c r="BM151" t="s">
        <v>74</v>
      </c>
      <c r="BN151">
        <v>19323211</v>
      </c>
      <c r="BO151" t="s">
        <v>74</v>
      </c>
      <c r="BP151" t="s">
        <v>74</v>
      </c>
      <c r="BQ151" t="s">
        <v>74</v>
      </c>
      <c r="BR151" t="s">
        <v>74</v>
      </c>
      <c r="BS151" t="s">
        <v>5265</v>
      </c>
      <c r="BT151" t="str">
        <f>HYPERLINK("https%3A%2F%2Fwww.webofscience.com%2Fwos%2Fwoscc%2Ffull-record%2FWOS:000263570800002","View Full Record in Web of Science")</f>
        <v>View Full Record in Web of Science</v>
      </c>
    </row>
    <row r="152" spans="1:72" x14ac:dyDescent="0.2">
      <c r="A152" t="s">
        <v>72</v>
      </c>
      <c r="B152" t="s">
        <v>5330</v>
      </c>
      <c r="C152" t="s">
        <v>74</v>
      </c>
      <c r="D152" t="s">
        <v>74</v>
      </c>
      <c r="E152" t="s">
        <v>74</v>
      </c>
      <c r="F152" t="s">
        <v>5331</v>
      </c>
      <c r="G152" t="s">
        <v>74</v>
      </c>
      <c r="H152" t="s">
        <v>74</v>
      </c>
      <c r="I152" t="s">
        <v>5332</v>
      </c>
      <c r="J152" t="s">
        <v>310</v>
      </c>
      <c r="K152" t="s">
        <v>74</v>
      </c>
      <c r="L152" t="s">
        <v>74</v>
      </c>
      <c r="M152" t="s">
        <v>74</v>
      </c>
      <c r="N152" t="s">
        <v>74</v>
      </c>
      <c r="O152" t="s">
        <v>74</v>
      </c>
      <c r="P152" t="s">
        <v>74</v>
      </c>
      <c r="Q152" t="s">
        <v>74</v>
      </c>
      <c r="R152" t="s">
        <v>74</v>
      </c>
      <c r="S152" t="s">
        <v>74</v>
      </c>
      <c r="T152" t="s">
        <v>74</v>
      </c>
      <c r="U152" t="s">
        <v>74</v>
      </c>
      <c r="V152" t="s">
        <v>74</v>
      </c>
      <c r="W152" t="s">
        <v>74</v>
      </c>
      <c r="X152" t="s">
        <v>74</v>
      </c>
      <c r="Y152" t="s">
        <v>74</v>
      </c>
      <c r="Z152" t="s">
        <v>74</v>
      </c>
      <c r="AA152" t="s">
        <v>5333</v>
      </c>
      <c r="AB152" t="s">
        <v>5334</v>
      </c>
      <c r="AC152" t="s">
        <v>74</v>
      </c>
      <c r="AD152" t="s">
        <v>74</v>
      </c>
      <c r="AE152" t="s">
        <v>74</v>
      </c>
      <c r="AF152" t="s">
        <v>74</v>
      </c>
      <c r="AG152" t="s">
        <v>74</v>
      </c>
      <c r="AH152" t="s">
        <v>74</v>
      </c>
      <c r="AI152" t="s">
        <v>74</v>
      </c>
      <c r="AJ152" t="s">
        <v>74</v>
      </c>
      <c r="AK152" t="s">
        <v>74</v>
      </c>
      <c r="AL152" t="s">
        <v>74</v>
      </c>
      <c r="AM152" t="s">
        <v>74</v>
      </c>
      <c r="AN152" t="s">
        <v>74</v>
      </c>
      <c r="AO152" t="s">
        <v>313</v>
      </c>
      <c r="AP152" t="s">
        <v>314</v>
      </c>
      <c r="AQ152" t="s">
        <v>74</v>
      </c>
      <c r="AR152" t="s">
        <v>74</v>
      </c>
      <c r="AS152" t="s">
        <v>74</v>
      </c>
      <c r="AT152" t="s">
        <v>82</v>
      </c>
      <c r="AU152">
        <v>2008</v>
      </c>
      <c r="AV152">
        <v>14</v>
      </c>
      <c r="AW152">
        <v>12</v>
      </c>
      <c r="AX152" t="s">
        <v>74</v>
      </c>
      <c r="AY152" t="s">
        <v>74</v>
      </c>
      <c r="AZ152" t="s">
        <v>74</v>
      </c>
      <c r="BA152" t="s">
        <v>74</v>
      </c>
      <c r="BB152">
        <v>2823</v>
      </c>
      <c r="BC152">
        <v>2838</v>
      </c>
      <c r="BD152" t="s">
        <v>74</v>
      </c>
      <c r="BE152" t="s">
        <v>5335</v>
      </c>
      <c r="BF152" t="str">
        <f>HYPERLINK("http://dx.doi.org/10.1111/j.1365-2486.2008.01700.x","http://dx.doi.org/10.1111/j.1365-2486.2008.01700.x")</f>
        <v>http://dx.doi.org/10.1111/j.1365-2486.2008.01700.x</v>
      </c>
      <c r="BG152" t="s">
        <v>74</v>
      </c>
      <c r="BH152" t="s">
        <v>74</v>
      </c>
      <c r="BI152" t="s">
        <v>74</v>
      </c>
      <c r="BJ152" t="s">
        <v>74</v>
      </c>
      <c r="BK152" t="s">
        <v>74</v>
      </c>
      <c r="BL152" t="s">
        <v>74</v>
      </c>
      <c r="BM152" t="s">
        <v>74</v>
      </c>
      <c r="BN152" t="s">
        <v>74</v>
      </c>
      <c r="BO152" t="s">
        <v>74</v>
      </c>
      <c r="BP152" t="s">
        <v>74</v>
      </c>
      <c r="BQ152" t="s">
        <v>74</v>
      </c>
      <c r="BR152" t="s">
        <v>74</v>
      </c>
      <c r="BS152" t="s">
        <v>5336</v>
      </c>
      <c r="BT152" t="str">
        <f>HYPERLINK("https%3A%2F%2Fwww.webofscience.com%2Fwos%2Fwoscc%2Ffull-record%2FWOS:000261061000004","View Full Record in Web of Science")</f>
        <v>View Full Record in Web of Science</v>
      </c>
    </row>
    <row r="153" spans="1:72" x14ac:dyDescent="0.2">
      <c r="A153" t="s">
        <v>72</v>
      </c>
      <c r="B153" t="s">
        <v>5337</v>
      </c>
      <c r="C153" t="s">
        <v>74</v>
      </c>
      <c r="D153" t="s">
        <v>74</v>
      </c>
      <c r="E153" t="s">
        <v>74</v>
      </c>
      <c r="F153" t="s">
        <v>5338</v>
      </c>
      <c r="G153" t="s">
        <v>74</v>
      </c>
      <c r="H153" t="s">
        <v>74</v>
      </c>
      <c r="I153" t="s">
        <v>5339</v>
      </c>
      <c r="J153" t="s">
        <v>106</v>
      </c>
      <c r="K153" t="s">
        <v>74</v>
      </c>
      <c r="L153" t="s">
        <v>74</v>
      </c>
      <c r="M153" t="s">
        <v>74</v>
      </c>
      <c r="N153" t="s">
        <v>74</v>
      </c>
      <c r="O153" t="s">
        <v>74</v>
      </c>
      <c r="P153" t="s">
        <v>74</v>
      </c>
      <c r="Q153" t="s">
        <v>74</v>
      </c>
      <c r="R153" t="s">
        <v>74</v>
      </c>
      <c r="S153" t="s">
        <v>74</v>
      </c>
      <c r="T153" t="s">
        <v>74</v>
      </c>
      <c r="U153" t="s">
        <v>74</v>
      </c>
      <c r="V153" t="s">
        <v>74</v>
      </c>
      <c r="W153" t="s">
        <v>74</v>
      </c>
      <c r="X153" t="s">
        <v>74</v>
      </c>
      <c r="Y153" t="s">
        <v>74</v>
      </c>
      <c r="Z153" t="s">
        <v>74</v>
      </c>
      <c r="AA153" t="s">
        <v>74</v>
      </c>
      <c r="AB153" t="s">
        <v>74</v>
      </c>
      <c r="AC153" t="s">
        <v>74</v>
      </c>
      <c r="AD153" t="s">
        <v>74</v>
      </c>
      <c r="AE153" t="s">
        <v>74</v>
      </c>
      <c r="AF153" t="s">
        <v>74</v>
      </c>
      <c r="AG153" t="s">
        <v>74</v>
      </c>
      <c r="AH153" t="s">
        <v>74</v>
      </c>
      <c r="AI153" t="s">
        <v>74</v>
      </c>
      <c r="AJ153" t="s">
        <v>74</v>
      </c>
      <c r="AK153" t="s">
        <v>74</v>
      </c>
      <c r="AL153" t="s">
        <v>74</v>
      </c>
      <c r="AM153" t="s">
        <v>74</v>
      </c>
      <c r="AN153" t="s">
        <v>74</v>
      </c>
      <c r="AO153" t="s">
        <v>107</v>
      </c>
      <c r="AP153" t="s">
        <v>74</v>
      </c>
      <c r="AQ153" t="s">
        <v>74</v>
      </c>
      <c r="AR153" t="s">
        <v>74</v>
      </c>
      <c r="AS153" t="s">
        <v>74</v>
      </c>
      <c r="AT153" t="s">
        <v>82</v>
      </c>
      <c r="AU153">
        <v>2008</v>
      </c>
      <c r="AV153">
        <v>30</v>
      </c>
      <c r="AW153">
        <v>12</v>
      </c>
      <c r="AX153" t="s">
        <v>74</v>
      </c>
      <c r="AY153" t="s">
        <v>74</v>
      </c>
      <c r="AZ153" t="s">
        <v>74</v>
      </c>
      <c r="BA153" t="s">
        <v>74</v>
      </c>
      <c r="BB153">
        <v>1323</v>
      </c>
      <c r="BC153">
        <v>1327</v>
      </c>
      <c r="BD153" t="s">
        <v>74</v>
      </c>
      <c r="BE153" t="s">
        <v>5340</v>
      </c>
      <c r="BF153" t="str">
        <f>HYPERLINK("http://dx.doi.org/10.1093/plankt/fbn093","http://dx.doi.org/10.1093/plankt/fbn093")</f>
        <v>http://dx.doi.org/10.1093/plankt/fbn093</v>
      </c>
      <c r="BG153" t="s">
        <v>74</v>
      </c>
      <c r="BH153" t="s">
        <v>74</v>
      </c>
      <c r="BI153" t="s">
        <v>74</v>
      </c>
      <c r="BJ153" t="s">
        <v>74</v>
      </c>
      <c r="BK153" t="s">
        <v>74</v>
      </c>
      <c r="BL153" t="s">
        <v>74</v>
      </c>
      <c r="BM153" t="s">
        <v>74</v>
      </c>
      <c r="BN153" t="s">
        <v>74</v>
      </c>
      <c r="BO153" t="s">
        <v>74</v>
      </c>
      <c r="BP153" t="s">
        <v>74</v>
      </c>
      <c r="BQ153" t="s">
        <v>74</v>
      </c>
      <c r="BR153" t="s">
        <v>74</v>
      </c>
      <c r="BS153" t="s">
        <v>5341</v>
      </c>
      <c r="BT153" t="str">
        <f>HYPERLINK("https%3A%2F%2Fwww.webofscience.com%2Fwos%2Fwoscc%2Ffull-record%2FWOS:000261170400001","View Full Record in Web of Science")</f>
        <v>View Full Record in Web of Science</v>
      </c>
    </row>
    <row r="154" spans="1:72" x14ac:dyDescent="0.2">
      <c r="A154" t="s">
        <v>72</v>
      </c>
      <c r="B154" t="s">
        <v>5366</v>
      </c>
      <c r="C154" t="s">
        <v>74</v>
      </c>
      <c r="D154" t="s">
        <v>74</v>
      </c>
      <c r="E154" t="s">
        <v>74</v>
      </c>
      <c r="F154" t="s">
        <v>5367</v>
      </c>
      <c r="G154" t="s">
        <v>74</v>
      </c>
      <c r="H154" t="s">
        <v>74</v>
      </c>
      <c r="I154" t="s">
        <v>5368</v>
      </c>
      <c r="J154" t="s">
        <v>423</v>
      </c>
      <c r="K154" t="s">
        <v>74</v>
      </c>
      <c r="L154" t="s">
        <v>74</v>
      </c>
      <c r="M154" t="s">
        <v>74</v>
      </c>
      <c r="N154" t="s">
        <v>74</v>
      </c>
      <c r="O154" t="s">
        <v>74</v>
      </c>
      <c r="P154" t="s">
        <v>74</v>
      </c>
      <c r="Q154" t="s">
        <v>74</v>
      </c>
      <c r="R154" t="s">
        <v>74</v>
      </c>
      <c r="S154" t="s">
        <v>74</v>
      </c>
      <c r="T154" t="s">
        <v>74</v>
      </c>
      <c r="U154" t="s">
        <v>74</v>
      </c>
      <c r="V154" t="s">
        <v>74</v>
      </c>
      <c r="W154" t="s">
        <v>74</v>
      </c>
      <c r="X154" t="s">
        <v>74</v>
      </c>
      <c r="Y154" t="s">
        <v>74</v>
      </c>
      <c r="Z154" t="s">
        <v>74</v>
      </c>
      <c r="AA154" t="s">
        <v>5369</v>
      </c>
      <c r="AB154" t="s">
        <v>5370</v>
      </c>
      <c r="AC154" t="s">
        <v>74</v>
      </c>
      <c r="AD154" t="s">
        <v>74</v>
      </c>
      <c r="AE154" t="s">
        <v>74</v>
      </c>
      <c r="AF154" t="s">
        <v>74</v>
      </c>
      <c r="AG154" t="s">
        <v>74</v>
      </c>
      <c r="AH154" t="s">
        <v>74</v>
      </c>
      <c r="AI154" t="s">
        <v>74</v>
      </c>
      <c r="AJ154" t="s">
        <v>74</v>
      </c>
      <c r="AK154" t="s">
        <v>74</v>
      </c>
      <c r="AL154" t="s">
        <v>74</v>
      </c>
      <c r="AM154" t="s">
        <v>74</v>
      </c>
      <c r="AN154" t="s">
        <v>74</v>
      </c>
      <c r="AO154" t="s">
        <v>425</v>
      </c>
      <c r="AP154" t="s">
        <v>74</v>
      </c>
      <c r="AQ154" t="s">
        <v>74</v>
      </c>
      <c r="AR154" t="s">
        <v>74</v>
      </c>
      <c r="AS154" t="s">
        <v>74</v>
      </c>
      <c r="AT154" t="s">
        <v>406</v>
      </c>
      <c r="AU154">
        <v>2008</v>
      </c>
      <c r="AV154">
        <v>53</v>
      </c>
      <c r="AW154">
        <v>10</v>
      </c>
      <c r="AX154" t="s">
        <v>74</v>
      </c>
      <c r="AY154" t="s">
        <v>74</v>
      </c>
      <c r="AZ154" t="s">
        <v>74</v>
      </c>
      <c r="BA154" t="s">
        <v>74</v>
      </c>
      <c r="BB154">
        <v>1942</v>
      </c>
      <c r="BC154">
        <v>1953</v>
      </c>
      <c r="BD154" t="s">
        <v>74</v>
      </c>
      <c r="BE154" t="s">
        <v>5371</v>
      </c>
      <c r="BF154" t="str">
        <f>HYPERLINK("http://dx.doi.org/10.1111/j.1365-2427.2008.02018.x","http://dx.doi.org/10.1111/j.1365-2427.2008.02018.x")</f>
        <v>http://dx.doi.org/10.1111/j.1365-2427.2008.02018.x</v>
      </c>
      <c r="BG154" t="s">
        <v>74</v>
      </c>
      <c r="BH154" t="s">
        <v>74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 t="s">
        <v>74</v>
      </c>
      <c r="BO154" t="s">
        <v>74</v>
      </c>
      <c r="BP154" t="s">
        <v>74</v>
      </c>
      <c r="BQ154" t="s">
        <v>74</v>
      </c>
      <c r="BR154" t="s">
        <v>74</v>
      </c>
      <c r="BS154" t="s">
        <v>5372</v>
      </c>
      <c r="BT154" t="str">
        <f>HYPERLINK("https%3A%2F%2Fwww.webofscience.com%2Fwos%2Fwoscc%2Ffull-record%2FWOS:000259148200003","View Full Record in Web of Science")</f>
        <v>View Full Record in Web of Science</v>
      </c>
    </row>
    <row r="155" spans="1:72" x14ac:dyDescent="0.2">
      <c r="A155" t="s">
        <v>72</v>
      </c>
      <c r="B155" t="s">
        <v>5261</v>
      </c>
      <c r="C155" t="s">
        <v>74</v>
      </c>
      <c r="D155" t="s">
        <v>74</v>
      </c>
      <c r="E155" t="s">
        <v>74</v>
      </c>
      <c r="F155" t="s">
        <v>5262</v>
      </c>
      <c r="G155" t="s">
        <v>74</v>
      </c>
      <c r="H155" t="s">
        <v>74</v>
      </c>
      <c r="I155" t="s">
        <v>5373</v>
      </c>
      <c r="J155" t="s">
        <v>5374</v>
      </c>
      <c r="K155" t="s">
        <v>74</v>
      </c>
      <c r="L155" t="s">
        <v>74</v>
      </c>
      <c r="M155" t="s">
        <v>74</v>
      </c>
      <c r="N155" t="s">
        <v>74</v>
      </c>
      <c r="O155" t="s">
        <v>74</v>
      </c>
      <c r="P155" t="s">
        <v>74</v>
      </c>
      <c r="Q155" t="s">
        <v>74</v>
      </c>
      <c r="R155" t="s">
        <v>74</v>
      </c>
      <c r="S155" t="s">
        <v>74</v>
      </c>
      <c r="T155" t="s">
        <v>74</v>
      </c>
      <c r="U155" t="s">
        <v>74</v>
      </c>
      <c r="V155" t="s">
        <v>74</v>
      </c>
      <c r="W155" t="s">
        <v>74</v>
      </c>
      <c r="X155" t="s">
        <v>74</v>
      </c>
      <c r="Y155" t="s">
        <v>74</v>
      </c>
      <c r="Z155" t="s">
        <v>74</v>
      </c>
      <c r="AA155" t="s">
        <v>4817</v>
      </c>
      <c r="AB155" t="s">
        <v>4818</v>
      </c>
      <c r="AC155" t="s">
        <v>74</v>
      </c>
      <c r="AD155" t="s">
        <v>74</v>
      </c>
      <c r="AE155" t="s">
        <v>74</v>
      </c>
      <c r="AF155" t="s">
        <v>74</v>
      </c>
      <c r="AG155" t="s">
        <v>74</v>
      </c>
      <c r="AH155" t="s">
        <v>74</v>
      </c>
      <c r="AI155" t="s">
        <v>74</v>
      </c>
      <c r="AJ155" t="s">
        <v>74</v>
      </c>
      <c r="AK155" t="s">
        <v>74</v>
      </c>
      <c r="AL155" t="s">
        <v>74</v>
      </c>
      <c r="AM155" t="s">
        <v>74</v>
      </c>
      <c r="AN155" t="s">
        <v>74</v>
      </c>
      <c r="AO155" t="s">
        <v>5375</v>
      </c>
      <c r="AP155" t="s">
        <v>5376</v>
      </c>
      <c r="AQ155" t="s">
        <v>74</v>
      </c>
      <c r="AR155" t="s">
        <v>74</v>
      </c>
      <c r="AS155" t="s">
        <v>74</v>
      </c>
      <c r="AT155" t="s">
        <v>624</v>
      </c>
      <c r="AU155">
        <v>2008</v>
      </c>
      <c r="AV155">
        <v>10</v>
      </c>
      <c r="AW155">
        <v>5</v>
      </c>
      <c r="AX155" t="s">
        <v>74</v>
      </c>
      <c r="AY155" t="s">
        <v>74</v>
      </c>
      <c r="AZ155" t="s">
        <v>74</v>
      </c>
      <c r="BA155" t="s">
        <v>74</v>
      </c>
      <c r="BB155">
        <v>699</v>
      </c>
      <c r="BC155">
        <v>720</v>
      </c>
      <c r="BD155" t="s">
        <v>74</v>
      </c>
      <c r="BE155" t="s">
        <v>74</v>
      </c>
      <c r="BF155" t="s">
        <v>74</v>
      </c>
      <c r="BG155" t="s">
        <v>74</v>
      </c>
      <c r="BH155" t="s">
        <v>74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 t="s">
        <v>74</v>
      </c>
      <c r="BO155" t="s">
        <v>74</v>
      </c>
      <c r="BP155" t="s">
        <v>74</v>
      </c>
      <c r="BQ155" t="s">
        <v>74</v>
      </c>
      <c r="BR155" t="s">
        <v>74</v>
      </c>
      <c r="BS155" t="s">
        <v>5377</v>
      </c>
      <c r="BT155" t="str">
        <f>HYPERLINK("https%3A%2F%2Fwww.webofscience.com%2Fwos%2Fwoscc%2Ffull-record%2FWOS:000258747100004","View Full Record in Web of Science")</f>
        <v>View Full Record in Web of Science</v>
      </c>
    </row>
    <row r="156" spans="1:72" x14ac:dyDescent="0.2">
      <c r="A156" t="s">
        <v>72</v>
      </c>
      <c r="B156" t="s">
        <v>5457</v>
      </c>
      <c r="C156" t="s">
        <v>74</v>
      </c>
      <c r="D156" t="s">
        <v>74</v>
      </c>
      <c r="E156" t="s">
        <v>74</v>
      </c>
      <c r="F156" t="s">
        <v>5458</v>
      </c>
      <c r="G156" t="s">
        <v>74</v>
      </c>
      <c r="H156" t="s">
        <v>74</v>
      </c>
      <c r="I156" t="s">
        <v>5459</v>
      </c>
      <c r="J156" t="s">
        <v>1992</v>
      </c>
      <c r="K156" t="s">
        <v>74</v>
      </c>
      <c r="L156" t="s">
        <v>74</v>
      </c>
      <c r="M156" t="s">
        <v>74</v>
      </c>
      <c r="N156" t="s">
        <v>74</v>
      </c>
      <c r="O156" t="s">
        <v>74</v>
      </c>
      <c r="P156" t="s">
        <v>74</v>
      </c>
      <c r="Q156" t="s">
        <v>74</v>
      </c>
      <c r="R156" t="s">
        <v>74</v>
      </c>
      <c r="S156" t="s">
        <v>74</v>
      </c>
      <c r="T156" t="s">
        <v>74</v>
      </c>
      <c r="U156" t="s">
        <v>74</v>
      </c>
      <c r="V156" t="s">
        <v>74</v>
      </c>
      <c r="W156" t="s">
        <v>74</v>
      </c>
      <c r="X156" t="s">
        <v>74</v>
      </c>
      <c r="Y156" t="s">
        <v>74</v>
      </c>
      <c r="Z156" t="s">
        <v>74</v>
      </c>
      <c r="AA156" t="s">
        <v>5460</v>
      </c>
      <c r="AB156" t="s">
        <v>5461</v>
      </c>
      <c r="AC156" t="s">
        <v>74</v>
      </c>
      <c r="AD156" t="s">
        <v>74</v>
      </c>
      <c r="AE156" t="s">
        <v>74</v>
      </c>
      <c r="AF156" t="s">
        <v>74</v>
      </c>
      <c r="AG156" t="s">
        <v>74</v>
      </c>
      <c r="AH156" t="s">
        <v>74</v>
      </c>
      <c r="AI156" t="s">
        <v>74</v>
      </c>
      <c r="AJ156" t="s">
        <v>74</v>
      </c>
      <c r="AK156" t="s">
        <v>74</v>
      </c>
      <c r="AL156" t="s">
        <v>74</v>
      </c>
      <c r="AM156" t="s">
        <v>74</v>
      </c>
      <c r="AN156" t="s">
        <v>74</v>
      </c>
      <c r="AO156" t="s">
        <v>1995</v>
      </c>
      <c r="AP156" t="s">
        <v>1996</v>
      </c>
      <c r="AQ156" t="s">
        <v>74</v>
      </c>
      <c r="AR156" t="s">
        <v>74</v>
      </c>
      <c r="AS156" t="s">
        <v>74</v>
      </c>
      <c r="AT156" t="s">
        <v>5462</v>
      </c>
      <c r="AU156">
        <v>2007</v>
      </c>
      <c r="AV156" t="s">
        <v>74</v>
      </c>
      <c r="AW156">
        <v>1656</v>
      </c>
      <c r="AX156" t="s">
        <v>74</v>
      </c>
      <c r="AY156" t="s">
        <v>74</v>
      </c>
      <c r="AZ156" t="s">
        <v>74</v>
      </c>
      <c r="BA156" t="s">
        <v>74</v>
      </c>
      <c r="BB156">
        <v>1</v>
      </c>
      <c r="BC156">
        <v>49</v>
      </c>
      <c r="BD156" t="s">
        <v>74</v>
      </c>
      <c r="BE156" t="s">
        <v>74</v>
      </c>
      <c r="BF156" t="s">
        <v>74</v>
      </c>
      <c r="BG156" t="s">
        <v>74</v>
      </c>
      <c r="BH156" t="s">
        <v>74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 t="s">
        <v>74</v>
      </c>
      <c r="BO156" t="s">
        <v>74</v>
      </c>
      <c r="BP156" t="s">
        <v>74</v>
      </c>
      <c r="BQ156" t="s">
        <v>74</v>
      </c>
      <c r="BR156" t="s">
        <v>74</v>
      </c>
      <c r="BS156" t="s">
        <v>5463</v>
      </c>
      <c r="BT156" t="str">
        <f>HYPERLINK("https%3A%2F%2Fwww.webofscience.com%2Fwos%2Fwoscc%2Ffull-record%2FWOS:000251533200001","View Full Record in Web of Science")</f>
        <v>View Full Record in Web of Science</v>
      </c>
    </row>
    <row r="157" spans="1:72" x14ac:dyDescent="0.2">
      <c r="A157" t="s">
        <v>72</v>
      </c>
      <c r="B157" t="s">
        <v>5504</v>
      </c>
      <c r="C157" t="s">
        <v>74</v>
      </c>
      <c r="D157" t="s">
        <v>74</v>
      </c>
      <c r="E157" t="s">
        <v>74</v>
      </c>
      <c r="F157" t="s">
        <v>5505</v>
      </c>
      <c r="G157" t="s">
        <v>74</v>
      </c>
      <c r="H157" t="s">
        <v>74</v>
      </c>
      <c r="I157" t="s">
        <v>5506</v>
      </c>
      <c r="J157" t="s">
        <v>1224</v>
      </c>
      <c r="K157" t="s">
        <v>74</v>
      </c>
      <c r="L157" t="s">
        <v>74</v>
      </c>
      <c r="M157" t="s">
        <v>74</v>
      </c>
      <c r="N157" t="s">
        <v>74</v>
      </c>
      <c r="O157" t="s">
        <v>74</v>
      </c>
      <c r="P157" t="s">
        <v>74</v>
      </c>
      <c r="Q157" t="s">
        <v>74</v>
      </c>
      <c r="R157" t="s">
        <v>74</v>
      </c>
      <c r="S157" t="s">
        <v>74</v>
      </c>
      <c r="T157" t="s">
        <v>74</v>
      </c>
      <c r="U157" t="s">
        <v>74</v>
      </c>
      <c r="V157" t="s">
        <v>74</v>
      </c>
      <c r="W157" t="s">
        <v>74</v>
      </c>
      <c r="X157" t="s">
        <v>74</v>
      </c>
      <c r="Y157" t="s">
        <v>74</v>
      </c>
      <c r="Z157" t="s">
        <v>74</v>
      </c>
      <c r="AA157" t="s">
        <v>5106</v>
      </c>
      <c r="AB157" t="s">
        <v>5507</v>
      </c>
      <c r="AC157" t="s">
        <v>74</v>
      </c>
      <c r="AD157" t="s">
        <v>74</v>
      </c>
      <c r="AE157" t="s">
        <v>74</v>
      </c>
      <c r="AF157" t="s">
        <v>74</v>
      </c>
      <c r="AG157" t="s">
        <v>74</v>
      </c>
      <c r="AH157" t="s">
        <v>74</v>
      </c>
      <c r="AI157" t="s">
        <v>74</v>
      </c>
      <c r="AJ157" t="s">
        <v>74</v>
      </c>
      <c r="AK157" t="s">
        <v>74</v>
      </c>
      <c r="AL157" t="s">
        <v>74</v>
      </c>
      <c r="AM157" t="s">
        <v>74</v>
      </c>
      <c r="AN157" t="s">
        <v>74</v>
      </c>
      <c r="AO157" t="s">
        <v>1226</v>
      </c>
      <c r="AP157" t="s">
        <v>74</v>
      </c>
      <c r="AQ157" t="s">
        <v>74</v>
      </c>
      <c r="AR157" t="s">
        <v>74</v>
      </c>
      <c r="AS157" t="s">
        <v>74</v>
      </c>
      <c r="AT157" t="s">
        <v>451</v>
      </c>
      <c r="AU157">
        <v>2007</v>
      </c>
      <c r="AV157">
        <v>46</v>
      </c>
      <c r="AW157">
        <v>5</v>
      </c>
      <c r="AX157" t="s">
        <v>74</v>
      </c>
      <c r="AY157" t="s">
        <v>74</v>
      </c>
      <c r="AZ157" t="s">
        <v>74</v>
      </c>
      <c r="BA157" t="s">
        <v>74</v>
      </c>
      <c r="BB157">
        <v>583</v>
      </c>
      <c r="BC157">
        <v>592</v>
      </c>
      <c r="BD157" t="s">
        <v>74</v>
      </c>
      <c r="BE157" t="s">
        <v>5508</v>
      </c>
      <c r="BF157" t="str">
        <f>HYPERLINK("http://dx.doi.org/10.2216/07-14.1","http://dx.doi.org/10.2216/07-14.1")</f>
        <v>http://dx.doi.org/10.2216/07-14.1</v>
      </c>
      <c r="BG157" t="s">
        <v>74</v>
      </c>
      <c r="BH157" t="s">
        <v>74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 t="s">
        <v>74</v>
      </c>
      <c r="BO157" t="s">
        <v>74</v>
      </c>
      <c r="BP157" t="s">
        <v>74</v>
      </c>
      <c r="BQ157" t="s">
        <v>74</v>
      </c>
      <c r="BR157" t="s">
        <v>74</v>
      </c>
      <c r="BS157" t="s">
        <v>5509</v>
      </c>
      <c r="BT157" t="str">
        <f>HYPERLINK("https%3A%2F%2Fwww.webofscience.com%2Fwos%2Fwoscc%2Ffull-record%2FWOS:000249353600009","View Full Record in Web of Science")</f>
        <v>View Full Record in Web of Science</v>
      </c>
    </row>
    <row r="158" spans="1:72" x14ac:dyDescent="0.2">
      <c r="A158" t="s">
        <v>72</v>
      </c>
      <c r="B158" t="s">
        <v>5532</v>
      </c>
      <c r="C158" t="s">
        <v>74</v>
      </c>
      <c r="D158" t="s">
        <v>74</v>
      </c>
      <c r="E158" t="s">
        <v>74</v>
      </c>
      <c r="F158" t="s">
        <v>5533</v>
      </c>
      <c r="G158" t="s">
        <v>74</v>
      </c>
      <c r="H158" t="s">
        <v>74</v>
      </c>
      <c r="I158" t="s">
        <v>5534</v>
      </c>
      <c r="J158" t="s">
        <v>106</v>
      </c>
      <c r="K158" t="s">
        <v>74</v>
      </c>
      <c r="L158" t="s">
        <v>74</v>
      </c>
      <c r="M158" t="s">
        <v>74</v>
      </c>
      <c r="N158" t="s">
        <v>74</v>
      </c>
      <c r="O158" t="s">
        <v>74</v>
      </c>
      <c r="P158" t="s">
        <v>74</v>
      </c>
      <c r="Q158" t="s">
        <v>74</v>
      </c>
      <c r="R158" t="s">
        <v>74</v>
      </c>
      <c r="S158" t="s">
        <v>74</v>
      </c>
      <c r="T158" t="s">
        <v>74</v>
      </c>
      <c r="U158" t="s">
        <v>74</v>
      </c>
      <c r="V158" t="s">
        <v>74</v>
      </c>
      <c r="W158" t="s">
        <v>74</v>
      </c>
      <c r="X158" t="s">
        <v>74</v>
      </c>
      <c r="Y158" t="s">
        <v>74</v>
      </c>
      <c r="Z158" t="s">
        <v>74</v>
      </c>
      <c r="AA158" t="s">
        <v>5535</v>
      </c>
      <c r="AB158" t="s">
        <v>5536</v>
      </c>
      <c r="AC158" t="s">
        <v>74</v>
      </c>
      <c r="AD158" t="s">
        <v>74</v>
      </c>
      <c r="AE158" t="s">
        <v>74</v>
      </c>
      <c r="AF158" t="s">
        <v>74</v>
      </c>
      <c r="AG158" t="s">
        <v>74</v>
      </c>
      <c r="AH158" t="s">
        <v>74</v>
      </c>
      <c r="AI158" t="s">
        <v>74</v>
      </c>
      <c r="AJ158" t="s">
        <v>74</v>
      </c>
      <c r="AK158" t="s">
        <v>74</v>
      </c>
      <c r="AL158" t="s">
        <v>74</v>
      </c>
      <c r="AM158" t="s">
        <v>74</v>
      </c>
      <c r="AN158" t="s">
        <v>74</v>
      </c>
      <c r="AO158" t="s">
        <v>107</v>
      </c>
      <c r="AP158" t="s">
        <v>108</v>
      </c>
      <c r="AQ158" t="s">
        <v>74</v>
      </c>
      <c r="AR158" t="s">
        <v>74</v>
      </c>
      <c r="AS158" t="s">
        <v>74</v>
      </c>
      <c r="AT158" t="s">
        <v>624</v>
      </c>
      <c r="AU158">
        <v>2007</v>
      </c>
      <c r="AV158">
        <v>29</v>
      </c>
      <c r="AW158">
        <v>7</v>
      </c>
      <c r="AX158" t="s">
        <v>74</v>
      </c>
      <c r="AY158" t="s">
        <v>74</v>
      </c>
      <c r="AZ158" t="s">
        <v>74</v>
      </c>
      <c r="BA158" t="s">
        <v>74</v>
      </c>
      <c r="BB158">
        <v>583</v>
      </c>
      <c r="BC158">
        <v>598</v>
      </c>
      <c r="BD158" t="s">
        <v>74</v>
      </c>
      <c r="BE158" t="s">
        <v>5537</v>
      </c>
      <c r="BF158" t="str">
        <f>HYPERLINK("http://dx.doi.org/10.1093/plankt/fbm040","http://dx.doi.org/10.1093/plankt/fbm040")</f>
        <v>http://dx.doi.org/10.1093/plankt/fbm040</v>
      </c>
      <c r="BG158" t="s">
        <v>74</v>
      </c>
      <c r="BH158" t="s">
        <v>74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 t="s">
        <v>74</v>
      </c>
      <c r="BO158" t="s">
        <v>74</v>
      </c>
      <c r="BP158" t="s">
        <v>74</v>
      </c>
      <c r="BQ158" t="s">
        <v>74</v>
      </c>
      <c r="BR158" t="s">
        <v>74</v>
      </c>
      <c r="BS158" t="s">
        <v>5538</v>
      </c>
      <c r="BT158" t="str">
        <f>HYPERLINK("https%3A%2F%2Fwww.webofscience.com%2Fwos%2Fwoscc%2Ffull-record%2FWOS:000248086500002","View Full Record in Web of Science")</f>
        <v>View Full Record in Web of Science</v>
      </c>
    </row>
    <row r="159" spans="1:72" x14ac:dyDescent="0.2">
      <c r="A159" t="s">
        <v>72</v>
      </c>
      <c r="B159" t="s">
        <v>5600</v>
      </c>
      <c r="C159" t="s">
        <v>74</v>
      </c>
      <c r="D159" t="s">
        <v>74</v>
      </c>
      <c r="E159" t="s">
        <v>74</v>
      </c>
      <c r="F159" t="s">
        <v>5601</v>
      </c>
      <c r="G159" t="s">
        <v>74</v>
      </c>
      <c r="H159" t="s">
        <v>74</v>
      </c>
      <c r="I159" t="s">
        <v>5602</v>
      </c>
      <c r="J159" t="s">
        <v>124</v>
      </c>
      <c r="K159" t="s">
        <v>74</v>
      </c>
      <c r="L159" t="s">
        <v>74</v>
      </c>
      <c r="M159" t="s">
        <v>74</v>
      </c>
      <c r="N159" t="s">
        <v>74</v>
      </c>
      <c r="O159" t="s">
        <v>5603</v>
      </c>
      <c r="P159" t="s">
        <v>5604</v>
      </c>
      <c r="Q159" t="s">
        <v>5605</v>
      </c>
      <c r="R159" t="s">
        <v>5606</v>
      </c>
      <c r="S159" t="s">
        <v>74</v>
      </c>
      <c r="T159" t="s">
        <v>74</v>
      </c>
      <c r="U159" t="s">
        <v>74</v>
      </c>
      <c r="V159" t="s">
        <v>74</v>
      </c>
      <c r="W159" t="s">
        <v>74</v>
      </c>
      <c r="X159" t="s">
        <v>74</v>
      </c>
      <c r="Y159" t="s">
        <v>74</v>
      </c>
      <c r="Z159" t="s">
        <v>74</v>
      </c>
      <c r="AA159" t="s">
        <v>5607</v>
      </c>
      <c r="AB159" t="s">
        <v>5608</v>
      </c>
      <c r="AC159" t="s">
        <v>74</v>
      </c>
      <c r="AD159" t="s">
        <v>74</v>
      </c>
      <c r="AE159" t="s">
        <v>74</v>
      </c>
      <c r="AF159" t="s">
        <v>74</v>
      </c>
      <c r="AG159" t="s">
        <v>74</v>
      </c>
      <c r="AH159" t="s">
        <v>74</v>
      </c>
      <c r="AI159" t="s">
        <v>74</v>
      </c>
      <c r="AJ159" t="s">
        <v>74</v>
      </c>
      <c r="AK159" t="s">
        <v>74</v>
      </c>
      <c r="AL159" t="s">
        <v>74</v>
      </c>
      <c r="AM159" t="s">
        <v>74</v>
      </c>
      <c r="AN159" t="s">
        <v>74</v>
      </c>
      <c r="AO159" t="s">
        <v>127</v>
      </c>
      <c r="AP159" t="s">
        <v>128</v>
      </c>
      <c r="AQ159" t="s">
        <v>74</v>
      </c>
      <c r="AR159" t="s">
        <v>74</v>
      </c>
      <c r="AS159" t="s">
        <v>74</v>
      </c>
      <c r="AT159" t="s">
        <v>157</v>
      </c>
      <c r="AU159">
        <v>2007</v>
      </c>
      <c r="AV159">
        <v>578</v>
      </c>
      <c r="AW159">
        <v>1</v>
      </c>
      <c r="AX159" t="s">
        <v>74</v>
      </c>
      <c r="AY159" t="s">
        <v>74</v>
      </c>
      <c r="AZ159" t="s">
        <v>74</v>
      </c>
      <c r="BA159" t="s">
        <v>74</v>
      </c>
      <c r="BB159">
        <v>17</v>
      </c>
      <c r="BC159">
        <v>27</v>
      </c>
      <c r="BD159" t="s">
        <v>74</v>
      </c>
      <c r="BE159" t="s">
        <v>5609</v>
      </c>
      <c r="BF159" t="str">
        <f>HYPERLINK("http://dx.doi.org/10.1007/s10750-006-0429-0","http://dx.doi.org/10.1007/s10750-006-0429-0")</f>
        <v>http://dx.doi.org/10.1007/s10750-006-0429-0</v>
      </c>
      <c r="BG159" t="s">
        <v>74</v>
      </c>
      <c r="BH159" t="s">
        <v>74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 t="s">
        <v>74</v>
      </c>
      <c r="BO159" t="s">
        <v>74</v>
      </c>
      <c r="BP159" t="s">
        <v>74</v>
      </c>
      <c r="BQ159" t="s">
        <v>74</v>
      </c>
      <c r="BR159" t="s">
        <v>74</v>
      </c>
      <c r="BS159" t="s">
        <v>5610</v>
      </c>
      <c r="BT159" t="str">
        <f>HYPERLINK("https%3A%2F%2Fwww.webofscience.com%2Fwos%2Fwoscc%2Ffull-record%2FWOS:000244308300003","View Full Record in Web of Science")</f>
        <v>View Full Record in Web of Science</v>
      </c>
    </row>
    <row r="160" spans="1:72" x14ac:dyDescent="0.2">
      <c r="A160" t="s">
        <v>72</v>
      </c>
      <c r="B160" t="s">
        <v>5618</v>
      </c>
      <c r="C160" t="s">
        <v>74</v>
      </c>
      <c r="D160" t="s">
        <v>74</v>
      </c>
      <c r="E160" t="s">
        <v>74</v>
      </c>
      <c r="F160" t="s">
        <v>5619</v>
      </c>
      <c r="G160" t="s">
        <v>74</v>
      </c>
      <c r="H160" t="s">
        <v>74</v>
      </c>
      <c r="I160" t="s">
        <v>5620</v>
      </c>
      <c r="J160" t="s">
        <v>2769</v>
      </c>
      <c r="K160" t="s">
        <v>74</v>
      </c>
      <c r="L160" t="s">
        <v>74</v>
      </c>
      <c r="M160" t="s">
        <v>74</v>
      </c>
      <c r="N160" t="s">
        <v>74</v>
      </c>
      <c r="O160" t="s">
        <v>74</v>
      </c>
      <c r="P160" t="s">
        <v>74</v>
      </c>
      <c r="Q160" t="s">
        <v>74</v>
      </c>
      <c r="R160" t="s">
        <v>74</v>
      </c>
      <c r="S160" t="s">
        <v>74</v>
      </c>
      <c r="T160" t="s">
        <v>74</v>
      </c>
      <c r="U160" t="s">
        <v>74</v>
      </c>
      <c r="V160" t="s">
        <v>74</v>
      </c>
      <c r="W160" t="s">
        <v>74</v>
      </c>
      <c r="X160" t="s">
        <v>74</v>
      </c>
      <c r="Y160" t="s">
        <v>74</v>
      </c>
      <c r="Z160" t="s">
        <v>74</v>
      </c>
      <c r="AA160" t="s">
        <v>7165</v>
      </c>
      <c r="AB160" t="s">
        <v>5621</v>
      </c>
      <c r="AC160" t="s">
        <v>74</v>
      </c>
      <c r="AD160" t="s">
        <v>74</v>
      </c>
      <c r="AE160" t="s">
        <v>74</v>
      </c>
      <c r="AF160" t="s">
        <v>74</v>
      </c>
      <c r="AG160" t="s">
        <v>74</v>
      </c>
      <c r="AH160" t="s">
        <v>74</v>
      </c>
      <c r="AI160" t="s">
        <v>74</v>
      </c>
      <c r="AJ160" t="s">
        <v>74</v>
      </c>
      <c r="AK160" t="s">
        <v>74</v>
      </c>
      <c r="AL160" t="s">
        <v>74</v>
      </c>
      <c r="AM160" t="s">
        <v>74</v>
      </c>
      <c r="AN160" t="s">
        <v>74</v>
      </c>
      <c r="AO160" t="s">
        <v>2772</v>
      </c>
      <c r="AP160" t="s">
        <v>2773</v>
      </c>
      <c r="AQ160" t="s">
        <v>74</v>
      </c>
      <c r="AR160" t="s">
        <v>74</v>
      </c>
      <c r="AS160" t="s">
        <v>74</v>
      </c>
      <c r="AT160" t="s">
        <v>5622</v>
      </c>
      <c r="AU160">
        <v>2007</v>
      </c>
      <c r="AV160">
        <v>46</v>
      </c>
      <c r="AW160">
        <v>2</v>
      </c>
      <c r="AX160" t="s">
        <v>74</v>
      </c>
      <c r="AY160" t="s">
        <v>74</v>
      </c>
      <c r="AZ160" t="s">
        <v>74</v>
      </c>
      <c r="BA160" t="s">
        <v>74</v>
      </c>
      <c r="BB160">
        <v>117</v>
      </c>
      <c r="BC160">
        <v>123</v>
      </c>
      <c r="BD160" t="s">
        <v>74</v>
      </c>
      <c r="BE160" t="s">
        <v>5623</v>
      </c>
      <c r="BF160" t="str">
        <f>HYPERLINK("http://dx.doi.org/10.3354/ame046117","http://dx.doi.org/10.3354/ame046117")</f>
        <v>http://dx.doi.org/10.3354/ame046117</v>
      </c>
      <c r="BG160" t="s">
        <v>74</v>
      </c>
      <c r="BH160" t="s">
        <v>74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 t="s">
        <v>74</v>
      </c>
      <c r="BR160" t="s">
        <v>74</v>
      </c>
      <c r="BS160" t="s">
        <v>5624</v>
      </c>
      <c r="BT160" t="str">
        <f>HYPERLINK("https%3A%2F%2Fwww.webofscience.com%2Fwos%2Fwoscc%2Ffull-record%2FWOS:000244426800002","View Full Record in Web of Science")</f>
        <v>View Full Record in Web of Science</v>
      </c>
    </row>
    <row r="161" spans="1:72" x14ac:dyDescent="0.2">
      <c r="A161" t="s">
        <v>72</v>
      </c>
      <c r="B161" t="s">
        <v>5636</v>
      </c>
      <c r="C161" t="s">
        <v>74</v>
      </c>
      <c r="D161" t="s">
        <v>74</v>
      </c>
      <c r="E161" t="s">
        <v>74</v>
      </c>
      <c r="F161" t="s">
        <v>5637</v>
      </c>
      <c r="G161" t="s">
        <v>74</v>
      </c>
      <c r="H161" t="s">
        <v>74</v>
      </c>
      <c r="I161" t="s">
        <v>5638</v>
      </c>
      <c r="J161" t="s">
        <v>244</v>
      </c>
      <c r="K161" t="s">
        <v>74</v>
      </c>
      <c r="L161" t="s">
        <v>74</v>
      </c>
      <c r="M161" t="s">
        <v>74</v>
      </c>
      <c r="N161" t="s">
        <v>74</v>
      </c>
      <c r="O161" t="s">
        <v>74</v>
      </c>
      <c r="P161" t="s">
        <v>74</v>
      </c>
      <c r="Q161" t="s">
        <v>74</v>
      </c>
      <c r="R161" t="s">
        <v>74</v>
      </c>
      <c r="S161" t="s">
        <v>74</v>
      </c>
      <c r="T161" t="s">
        <v>74</v>
      </c>
      <c r="U161" t="s">
        <v>74</v>
      </c>
      <c r="V161" t="s">
        <v>74</v>
      </c>
      <c r="W161" t="s">
        <v>74</v>
      </c>
      <c r="X161" t="s">
        <v>74</v>
      </c>
      <c r="Y161" t="s">
        <v>74</v>
      </c>
      <c r="Z161" t="s">
        <v>74</v>
      </c>
      <c r="AA161" t="s">
        <v>5639</v>
      </c>
      <c r="AB161" t="s">
        <v>5640</v>
      </c>
      <c r="AC161" t="s">
        <v>74</v>
      </c>
      <c r="AD161" t="s">
        <v>74</v>
      </c>
      <c r="AE161" t="s">
        <v>74</v>
      </c>
      <c r="AF161" t="s">
        <v>74</v>
      </c>
      <c r="AG161" t="s">
        <v>74</v>
      </c>
      <c r="AH161" t="s">
        <v>74</v>
      </c>
      <c r="AI161" t="s">
        <v>74</v>
      </c>
      <c r="AJ161" t="s">
        <v>74</v>
      </c>
      <c r="AK161" t="s">
        <v>74</v>
      </c>
      <c r="AL161" t="s">
        <v>74</v>
      </c>
      <c r="AM161" t="s">
        <v>74</v>
      </c>
      <c r="AN161" t="s">
        <v>74</v>
      </c>
      <c r="AO161" t="s">
        <v>247</v>
      </c>
      <c r="AP161" t="s">
        <v>248</v>
      </c>
      <c r="AQ161" t="s">
        <v>74</v>
      </c>
      <c r="AR161" t="s">
        <v>74</v>
      </c>
      <c r="AS161" t="s">
        <v>74</v>
      </c>
      <c r="AT161" t="s">
        <v>74</v>
      </c>
      <c r="AU161">
        <v>2007</v>
      </c>
      <c r="AV161">
        <v>58</v>
      </c>
      <c r="AW161">
        <v>8</v>
      </c>
      <c r="AX161" t="s">
        <v>74</v>
      </c>
      <c r="AY161" t="s">
        <v>74</v>
      </c>
      <c r="AZ161" t="s">
        <v>74</v>
      </c>
      <c r="BA161" t="s">
        <v>74</v>
      </c>
      <c r="BB161">
        <v>743</v>
      </c>
      <c r="BC161">
        <v>755</v>
      </c>
      <c r="BD161" t="s">
        <v>74</v>
      </c>
      <c r="BE161" t="s">
        <v>5641</v>
      </c>
      <c r="BF161" t="str">
        <f>HYPERLINK("http://dx.doi.org/10.1071/MF06176","http://dx.doi.org/10.1071/MF06176")</f>
        <v>http://dx.doi.org/10.1071/MF06176</v>
      </c>
      <c r="BG161" t="s">
        <v>74</v>
      </c>
      <c r="BH161" t="s">
        <v>74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 t="s">
        <v>74</v>
      </c>
      <c r="BO161" t="s">
        <v>74</v>
      </c>
      <c r="BP161" t="s">
        <v>74</v>
      </c>
      <c r="BQ161" t="s">
        <v>74</v>
      </c>
      <c r="BR161" t="s">
        <v>74</v>
      </c>
      <c r="BS161" t="s">
        <v>5642</v>
      </c>
      <c r="BT161" t="str">
        <f>HYPERLINK("https%3A%2F%2Fwww.webofscience.com%2Fwos%2Fwoscc%2Ffull-record%2FWOS:000248985000007","View Full Record in Web of Science")</f>
        <v>View Full Record in Web of Science</v>
      </c>
    </row>
    <row r="162" spans="1:72" x14ac:dyDescent="0.2">
      <c r="A162" t="s">
        <v>72</v>
      </c>
      <c r="B162" t="s">
        <v>5643</v>
      </c>
      <c r="C162" t="s">
        <v>74</v>
      </c>
      <c r="D162" t="s">
        <v>74</v>
      </c>
      <c r="E162" t="s">
        <v>74</v>
      </c>
      <c r="F162" t="s">
        <v>5644</v>
      </c>
      <c r="G162" t="s">
        <v>74</v>
      </c>
      <c r="H162" t="s">
        <v>74</v>
      </c>
      <c r="I162" t="s">
        <v>5645</v>
      </c>
      <c r="J162" t="s">
        <v>1224</v>
      </c>
      <c r="K162" t="s">
        <v>74</v>
      </c>
      <c r="L162" t="s">
        <v>74</v>
      </c>
      <c r="M162" t="s">
        <v>74</v>
      </c>
      <c r="N162" t="s">
        <v>74</v>
      </c>
      <c r="O162" t="s">
        <v>74</v>
      </c>
      <c r="P162" t="s">
        <v>74</v>
      </c>
      <c r="Q162" t="s">
        <v>74</v>
      </c>
      <c r="R162" t="s">
        <v>74</v>
      </c>
      <c r="S162" t="s">
        <v>74</v>
      </c>
      <c r="T162" t="s">
        <v>74</v>
      </c>
      <c r="U162" t="s">
        <v>74</v>
      </c>
      <c r="V162" t="s">
        <v>74</v>
      </c>
      <c r="W162" t="s">
        <v>74</v>
      </c>
      <c r="X162" t="s">
        <v>74</v>
      </c>
      <c r="Y162" t="s">
        <v>74</v>
      </c>
      <c r="Z162" t="s">
        <v>74</v>
      </c>
      <c r="AA162" t="s">
        <v>5646</v>
      </c>
      <c r="AB162" t="s">
        <v>5647</v>
      </c>
      <c r="AC162" t="s">
        <v>74</v>
      </c>
      <c r="AD162" t="s">
        <v>74</v>
      </c>
      <c r="AE162" t="s">
        <v>74</v>
      </c>
      <c r="AF162" t="s">
        <v>74</v>
      </c>
      <c r="AG162" t="s">
        <v>74</v>
      </c>
      <c r="AH162" t="s">
        <v>74</v>
      </c>
      <c r="AI162" t="s">
        <v>74</v>
      </c>
      <c r="AJ162" t="s">
        <v>74</v>
      </c>
      <c r="AK162" t="s">
        <v>74</v>
      </c>
      <c r="AL162" t="s">
        <v>74</v>
      </c>
      <c r="AM162" t="s">
        <v>74</v>
      </c>
      <c r="AN162" t="s">
        <v>74</v>
      </c>
      <c r="AO162" t="s">
        <v>1226</v>
      </c>
      <c r="AP162" t="s">
        <v>74</v>
      </c>
      <c r="AQ162" t="s">
        <v>74</v>
      </c>
      <c r="AR162" t="s">
        <v>74</v>
      </c>
      <c r="AS162" t="s">
        <v>74</v>
      </c>
      <c r="AT162" t="s">
        <v>315</v>
      </c>
      <c r="AU162">
        <v>2007</v>
      </c>
      <c r="AV162">
        <v>46</v>
      </c>
      <c r="AW162">
        <v>1</v>
      </c>
      <c r="AX162" t="s">
        <v>74</v>
      </c>
      <c r="AY162" t="s">
        <v>74</v>
      </c>
      <c r="AZ162" t="s">
        <v>74</v>
      </c>
      <c r="BA162" t="s">
        <v>74</v>
      </c>
      <c r="BB162">
        <v>3</v>
      </c>
      <c r="BC162">
        <v>9</v>
      </c>
      <c r="BD162" t="s">
        <v>74</v>
      </c>
      <c r="BE162" t="s">
        <v>5648</v>
      </c>
      <c r="BF162" t="str">
        <f>HYPERLINK("http://dx.doi.org/10.2216/06-01.1","http://dx.doi.org/10.2216/06-01.1")</f>
        <v>http://dx.doi.org/10.2216/06-01.1</v>
      </c>
      <c r="BG162" t="s">
        <v>74</v>
      </c>
      <c r="BH162" t="s">
        <v>74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 t="s">
        <v>74</v>
      </c>
      <c r="BO162" t="s">
        <v>74</v>
      </c>
      <c r="BP162" t="s">
        <v>74</v>
      </c>
      <c r="BQ162" t="s">
        <v>74</v>
      </c>
      <c r="BR162" t="s">
        <v>74</v>
      </c>
      <c r="BS162" t="s">
        <v>5649</v>
      </c>
      <c r="BT162" t="str">
        <f>HYPERLINK("https%3A%2F%2Fwww.webofscience.com%2Fwos%2Fwoscc%2Ffull-record%2FWOS:000243447300002","View Full Record in Web of Science")</f>
        <v>View Full Record in Web of Science</v>
      </c>
    </row>
    <row r="163" spans="1:72" x14ac:dyDescent="0.2">
      <c r="A163" t="s">
        <v>72</v>
      </c>
      <c r="B163" t="s">
        <v>5669</v>
      </c>
      <c r="C163" t="s">
        <v>74</v>
      </c>
      <c r="D163" t="s">
        <v>74</v>
      </c>
      <c r="E163" t="s">
        <v>74</v>
      </c>
      <c r="F163" t="s">
        <v>5670</v>
      </c>
      <c r="G163" t="s">
        <v>74</v>
      </c>
      <c r="H163" t="s">
        <v>74</v>
      </c>
      <c r="I163" t="s">
        <v>5671</v>
      </c>
      <c r="J163" t="s">
        <v>88</v>
      </c>
      <c r="K163" t="s">
        <v>74</v>
      </c>
      <c r="L163" t="s">
        <v>74</v>
      </c>
      <c r="M163" t="s">
        <v>74</v>
      </c>
      <c r="N163" t="s">
        <v>74</v>
      </c>
      <c r="O163" t="s">
        <v>74</v>
      </c>
      <c r="P163" t="s">
        <v>74</v>
      </c>
      <c r="Q163" t="s">
        <v>74</v>
      </c>
      <c r="R163" t="s">
        <v>74</v>
      </c>
      <c r="S163" t="s">
        <v>74</v>
      </c>
      <c r="T163" t="s">
        <v>74</v>
      </c>
      <c r="U163" t="s">
        <v>74</v>
      </c>
      <c r="V163" t="s">
        <v>74</v>
      </c>
      <c r="W163" t="s">
        <v>74</v>
      </c>
      <c r="X163" t="s">
        <v>74</v>
      </c>
      <c r="Y163" t="s">
        <v>74</v>
      </c>
      <c r="Z163" t="s">
        <v>74</v>
      </c>
      <c r="AA163" t="s">
        <v>74</v>
      </c>
      <c r="AB163" t="s">
        <v>74</v>
      </c>
      <c r="AC163" t="s">
        <v>74</v>
      </c>
      <c r="AD163" t="s">
        <v>74</v>
      </c>
      <c r="AE163" t="s">
        <v>74</v>
      </c>
      <c r="AF163" t="s">
        <v>74</v>
      </c>
      <c r="AG163" t="s">
        <v>74</v>
      </c>
      <c r="AH163" t="s">
        <v>74</v>
      </c>
      <c r="AI163" t="s">
        <v>74</v>
      </c>
      <c r="AJ163" t="s">
        <v>74</v>
      </c>
      <c r="AK163" t="s">
        <v>74</v>
      </c>
      <c r="AL163" t="s">
        <v>74</v>
      </c>
      <c r="AM163" t="s">
        <v>74</v>
      </c>
      <c r="AN163" t="s">
        <v>74</v>
      </c>
      <c r="AO163" t="s">
        <v>89</v>
      </c>
      <c r="AP163" t="s">
        <v>74</v>
      </c>
      <c r="AQ163" t="s">
        <v>74</v>
      </c>
      <c r="AR163" t="s">
        <v>74</v>
      </c>
      <c r="AS163" t="s">
        <v>74</v>
      </c>
      <c r="AT163" t="s">
        <v>82</v>
      </c>
      <c r="AU163">
        <v>2006</v>
      </c>
      <c r="AV163">
        <v>63</v>
      </c>
      <c r="AW163">
        <v>12</v>
      </c>
      <c r="AX163" t="s">
        <v>74</v>
      </c>
      <c r="AY163" t="s">
        <v>74</v>
      </c>
      <c r="AZ163" t="s">
        <v>74</v>
      </c>
      <c r="BA163" t="s">
        <v>74</v>
      </c>
      <c r="BB163">
        <v>2687</v>
      </c>
      <c r="BC163">
        <v>2699</v>
      </c>
      <c r="BD163" t="s">
        <v>74</v>
      </c>
      <c r="BE163" t="s">
        <v>5672</v>
      </c>
      <c r="BF163" t="str">
        <f>HYPERLINK("http://dx.doi.org/10.1139/F06-153","http://dx.doi.org/10.1139/F06-153")</f>
        <v>http://dx.doi.org/10.1139/F06-153</v>
      </c>
      <c r="BG163" t="s">
        <v>74</v>
      </c>
      <c r="BH163" t="s">
        <v>74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 t="s">
        <v>74</v>
      </c>
      <c r="BO163" t="s">
        <v>74</v>
      </c>
      <c r="BP163" t="s">
        <v>74</v>
      </c>
      <c r="BQ163" t="s">
        <v>74</v>
      </c>
      <c r="BR163" t="s">
        <v>74</v>
      </c>
      <c r="BS163" t="s">
        <v>5673</v>
      </c>
      <c r="BT163" t="str">
        <f>HYPERLINK("https%3A%2F%2Fwww.webofscience.com%2Fwos%2Fwoscc%2Ffull-record%2FWOS:000243945200008","View Full Record in Web of Science")</f>
        <v>View Full Record in Web of Science</v>
      </c>
    </row>
    <row r="164" spans="1:72" x14ac:dyDescent="0.2">
      <c r="A164" t="s">
        <v>72</v>
      </c>
      <c r="B164" t="s">
        <v>5734</v>
      </c>
      <c r="C164" t="s">
        <v>74</v>
      </c>
      <c r="D164" t="s">
        <v>74</v>
      </c>
      <c r="E164" t="s">
        <v>74</v>
      </c>
      <c r="F164" t="s">
        <v>5735</v>
      </c>
      <c r="G164" t="s">
        <v>74</v>
      </c>
      <c r="H164" t="s">
        <v>74</v>
      </c>
      <c r="I164" t="s">
        <v>5736</v>
      </c>
      <c r="J164" t="s">
        <v>227</v>
      </c>
      <c r="K164" t="s">
        <v>74</v>
      </c>
      <c r="L164" t="s">
        <v>74</v>
      </c>
      <c r="M164" t="s">
        <v>74</v>
      </c>
      <c r="N164" t="s">
        <v>74</v>
      </c>
      <c r="O164" t="s">
        <v>74</v>
      </c>
      <c r="P164" t="s">
        <v>74</v>
      </c>
      <c r="Q164" t="s">
        <v>74</v>
      </c>
      <c r="R164" t="s">
        <v>74</v>
      </c>
      <c r="S164" t="s">
        <v>74</v>
      </c>
      <c r="T164" t="s">
        <v>74</v>
      </c>
      <c r="U164" t="s">
        <v>74</v>
      </c>
      <c r="V164" t="s">
        <v>74</v>
      </c>
      <c r="W164" t="s">
        <v>74</v>
      </c>
      <c r="X164" t="s">
        <v>74</v>
      </c>
      <c r="Y164" t="s">
        <v>74</v>
      </c>
      <c r="Z164" t="s">
        <v>74</v>
      </c>
      <c r="AA164" t="s">
        <v>74</v>
      </c>
      <c r="AB164" t="s">
        <v>237</v>
      </c>
      <c r="AC164" t="s">
        <v>74</v>
      </c>
      <c r="AD164" t="s">
        <v>74</v>
      </c>
      <c r="AE164" t="s">
        <v>74</v>
      </c>
      <c r="AF164" t="s">
        <v>74</v>
      </c>
      <c r="AG164" t="s">
        <v>74</v>
      </c>
      <c r="AH164" t="s">
        <v>74</v>
      </c>
      <c r="AI164" t="s">
        <v>74</v>
      </c>
      <c r="AJ164" t="s">
        <v>74</v>
      </c>
      <c r="AK164" t="s">
        <v>74</v>
      </c>
      <c r="AL164" t="s">
        <v>74</v>
      </c>
      <c r="AM164" t="s">
        <v>74</v>
      </c>
      <c r="AN164" t="s">
        <v>74</v>
      </c>
      <c r="AO164" t="s">
        <v>230</v>
      </c>
      <c r="AP164" t="s">
        <v>74</v>
      </c>
      <c r="AQ164" t="s">
        <v>74</v>
      </c>
      <c r="AR164" t="s">
        <v>74</v>
      </c>
      <c r="AS164" t="s">
        <v>74</v>
      </c>
      <c r="AT164" t="s">
        <v>624</v>
      </c>
      <c r="AU164">
        <v>2006</v>
      </c>
      <c r="AV164">
        <v>51</v>
      </c>
      <c r="AW164">
        <v>4</v>
      </c>
      <c r="AX164" t="s">
        <v>74</v>
      </c>
      <c r="AY164" t="s">
        <v>74</v>
      </c>
      <c r="AZ164" t="s">
        <v>74</v>
      </c>
      <c r="BA164" t="s">
        <v>74</v>
      </c>
      <c r="BB164">
        <v>1708</v>
      </c>
      <c r="BC164">
        <v>1715</v>
      </c>
      <c r="BD164" t="s">
        <v>74</v>
      </c>
      <c r="BE164" t="s">
        <v>5737</v>
      </c>
      <c r="BF164" t="str">
        <f>HYPERLINK("http://dx.doi.org/10.4319/lo.2006.51.4.1708","http://dx.doi.org/10.4319/lo.2006.51.4.1708")</f>
        <v>http://dx.doi.org/10.4319/lo.2006.51.4.1708</v>
      </c>
      <c r="BG164" t="s">
        <v>74</v>
      </c>
      <c r="BH164" t="s">
        <v>74</v>
      </c>
      <c r="BI164" t="s">
        <v>74</v>
      </c>
      <c r="BJ164" t="s">
        <v>74</v>
      </c>
      <c r="BK164" t="s">
        <v>74</v>
      </c>
      <c r="BL164" t="s">
        <v>74</v>
      </c>
      <c r="BM164" t="s">
        <v>74</v>
      </c>
      <c r="BN164" t="s">
        <v>74</v>
      </c>
      <c r="BO164" t="s">
        <v>74</v>
      </c>
      <c r="BP164" t="s">
        <v>74</v>
      </c>
      <c r="BQ164" t="s">
        <v>74</v>
      </c>
      <c r="BR164" t="s">
        <v>74</v>
      </c>
      <c r="BS164" t="s">
        <v>5738</v>
      </c>
      <c r="BT164" t="str">
        <f>HYPERLINK("https%3A%2F%2Fwww.webofscience.com%2Fwos%2Fwoscc%2Ffull-record%2FWOS:000239262200015","View Full Record in Web of Science")</f>
        <v>View Full Record in Web of Science</v>
      </c>
    </row>
    <row r="165" spans="1:72" x14ac:dyDescent="0.2">
      <c r="A165" t="s">
        <v>72</v>
      </c>
      <c r="B165" t="s">
        <v>5739</v>
      </c>
      <c r="C165" t="s">
        <v>74</v>
      </c>
      <c r="D165" t="s">
        <v>74</v>
      </c>
      <c r="E165" t="s">
        <v>74</v>
      </c>
      <c r="F165" t="s">
        <v>5739</v>
      </c>
      <c r="G165" t="s">
        <v>74</v>
      </c>
      <c r="H165" t="s">
        <v>74</v>
      </c>
      <c r="I165" t="s">
        <v>5740</v>
      </c>
      <c r="J165" t="s">
        <v>695</v>
      </c>
      <c r="K165" t="s">
        <v>74</v>
      </c>
      <c r="L165" t="s">
        <v>74</v>
      </c>
      <c r="M165" t="s">
        <v>74</v>
      </c>
      <c r="N165" t="s">
        <v>74</v>
      </c>
      <c r="O165" t="s">
        <v>74</v>
      </c>
      <c r="P165" t="s">
        <v>74</v>
      </c>
      <c r="Q165" t="s">
        <v>74</v>
      </c>
      <c r="R165" t="s">
        <v>74</v>
      </c>
      <c r="S165" t="s">
        <v>74</v>
      </c>
      <c r="T165" t="s">
        <v>74</v>
      </c>
      <c r="U165" t="s">
        <v>74</v>
      </c>
      <c r="V165" t="s">
        <v>74</v>
      </c>
      <c r="W165" t="s">
        <v>74</v>
      </c>
      <c r="X165" t="s">
        <v>74</v>
      </c>
      <c r="Y165" t="s">
        <v>74</v>
      </c>
      <c r="Z165" t="s">
        <v>74</v>
      </c>
      <c r="AA165" t="s">
        <v>5741</v>
      </c>
      <c r="AB165" t="s">
        <v>2920</v>
      </c>
      <c r="AC165" t="s">
        <v>74</v>
      </c>
      <c r="AD165" t="s">
        <v>74</v>
      </c>
      <c r="AE165" t="s">
        <v>74</v>
      </c>
      <c r="AF165" t="s">
        <v>74</v>
      </c>
      <c r="AG165" t="s">
        <v>74</v>
      </c>
      <c r="AH165" t="s">
        <v>74</v>
      </c>
      <c r="AI165" t="s">
        <v>74</v>
      </c>
      <c r="AJ165" t="s">
        <v>74</v>
      </c>
      <c r="AK165" t="s">
        <v>74</v>
      </c>
      <c r="AL165" t="s">
        <v>74</v>
      </c>
      <c r="AM165" t="s">
        <v>74</v>
      </c>
      <c r="AN165" t="s">
        <v>74</v>
      </c>
      <c r="AO165" t="s">
        <v>697</v>
      </c>
      <c r="AP165" t="s">
        <v>698</v>
      </c>
      <c r="AQ165" t="s">
        <v>74</v>
      </c>
      <c r="AR165" t="s">
        <v>74</v>
      </c>
      <c r="AS165" t="s">
        <v>74</v>
      </c>
      <c r="AT165" t="s">
        <v>416</v>
      </c>
      <c r="AU165">
        <v>2006</v>
      </c>
      <c r="AV165">
        <v>76</v>
      </c>
      <c r="AW165">
        <v>1</v>
      </c>
      <c r="AX165" t="s">
        <v>74</v>
      </c>
      <c r="AY165" t="s">
        <v>74</v>
      </c>
      <c r="AZ165" t="s">
        <v>74</v>
      </c>
      <c r="BA165" t="s">
        <v>74</v>
      </c>
      <c r="BB165">
        <v>57</v>
      </c>
      <c r="BC165">
        <v>72</v>
      </c>
      <c r="BD165" t="s">
        <v>74</v>
      </c>
      <c r="BE165" t="s">
        <v>5742</v>
      </c>
      <c r="BF165" t="str">
        <f>HYPERLINK("http://dx.doi.org/10.1890/04-1824","http://dx.doi.org/10.1890/04-1824")</f>
        <v>http://dx.doi.org/10.1890/04-1824</v>
      </c>
      <c r="BG165" t="s">
        <v>74</v>
      </c>
      <c r="BH165" t="s">
        <v>74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 t="s">
        <v>74</v>
      </c>
      <c r="BR165" t="s">
        <v>74</v>
      </c>
      <c r="BS165" t="s">
        <v>5743</v>
      </c>
      <c r="BT165" t="str">
        <f>HYPERLINK("https%3A%2F%2Fwww.webofscience.com%2Fwos%2Fwoscc%2Ffull-record%2FWOS:000236562100005","View Full Record in Web of Science")</f>
        <v>View Full Record in Web of Science</v>
      </c>
    </row>
    <row r="166" spans="1:72" x14ac:dyDescent="0.2">
      <c r="A166" t="s">
        <v>72</v>
      </c>
      <c r="B166" t="s">
        <v>5777</v>
      </c>
      <c r="C166" t="s">
        <v>74</v>
      </c>
      <c r="D166" t="s">
        <v>74</v>
      </c>
      <c r="E166" t="s">
        <v>74</v>
      </c>
      <c r="F166" t="s">
        <v>5777</v>
      </c>
      <c r="G166" t="s">
        <v>74</v>
      </c>
      <c r="H166" t="s">
        <v>74</v>
      </c>
      <c r="I166" t="s">
        <v>5778</v>
      </c>
      <c r="J166" t="s">
        <v>106</v>
      </c>
      <c r="K166" t="s">
        <v>74</v>
      </c>
      <c r="L166" t="s">
        <v>74</v>
      </c>
      <c r="M166" t="s">
        <v>74</v>
      </c>
      <c r="N166" t="s">
        <v>74</v>
      </c>
      <c r="O166" t="s">
        <v>74</v>
      </c>
      <c r="P166" t="s">
        <v>74</v>
      </c>
      <c r="Q166" t="s">
        <v>74</v>
      </c>
      <c r="R166" t="s">
        <v>74</v>
      </c>
      <c r="S166" t="s">
        <v>74</v>
      </c>
      <c r="T166" t="s">
        <v>74</v>
      </c>
      <c r="U166" t="s">
        <v>74</v>
      </c>
      <c r="V166" t="s">
        <v>74</v>
      </c>
      <c r="W166" t="s">
        <v>74</v>
      </c>
      <c r="X166" t="s">
        <v>74</v>
      </c>
      <c r="Y166" t="s">
        <v>74</v>
      </c>
      <c r="Z166" t="s">
        <v>74</v>
      </c>
      <c r="AA166" t="s">
        <v>74</v>
      </c>
      <c r="AB166" t="s">
        <v>237</v>
      </c>
      <c r="AC166" t="s">
        <v>74</v>
      </c>
      <c r="AD166" t="s">
        <v>74</v>
      </c>
      <c r="AE166" t="s">
        <v>74</v>
      </c>
      <c r="AF166" t="s">
        <v>74</v>
      </c>
      <c r="AG166" t="s">
        <v>74</v>
      </c>
      <c r="AH166" t="s">
        <v>74</v>
      </c>
      <c r="AI166" t="s">
        <v>74</v>
      </c>
      <c r="AJ166" t="s">
        <v>74</v>
      </c>
      <c r="AK166" t="s">
        <v>74</v>
      </c>
      <c r="AL166" t="s">
        <v>74</v>
      </c>
      <c r="AM166" t="s">
        <v>74</v>
      </c>
      <c r="AN166" t="s">
        <v>74</v>
      </c>
      <c r="AO166" t="s">
        <v>107</v>
      </c>
      <c r="AP166" t="s">
        <v>74</v>
      </c>
      <c r="AQ166" t="s">
        <v>74</v>
      </c>
      <c r="AR166" t="s">
        <v>74</v>
      </c>
      <c r="AS166" t="s">
        <v>74</v>
      </c>
      <c r="AT166" t="s">
        <v>315</v>
      </c>
      <c r="AU166">
        <v>2006</v>
      </c>
      <c r="AV166">
        <v>28</v>
      </c>
      <c r="AW166">
        <v>1</v>
      </c>
      <c r="AX166" t="s">
        <v>74</v>
      </c>
      <c r="AY166" t="s">
        <v>74</v>
      </c>
      <c r="AZ166" t="s">
        <v>74</v>
      </c>
      <c r="BA166" t="s">
        <v>74</v>
      </c>
      <c r="BB166">
        <v>55</v>
      </c>
      <c r="BC166">
        <v>63</v>
      </c>
      <c r="BD166" t="s">
        <v>74</v>
      </c>
      <c r="BE166" t="s">
        <v>5779</v>
      </c>
      <c r="BF166" t="str">
        <f>HYPERLINK("http://dx.doi.org/10.1093/plankt/fbi100","http://dx.doi.org/10.1093/plankt/fbi100")</f>
        <v>http://dx.doi.org/10.1093/plankt/fbi100</v>
      </c>
      <c r="BG166" t="s">
        <v>74</v>
      </c>
      <c r="BH166" t="s">
        <v>74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 t="s">
        <v>74</v>
      </c>
      <c r="BO166" t="s">
        <v>74</v>
      </c>
      <c r="BP166" t="s">
        <v>74</v>
      </c>
      <c r="BQ166" t="s">
        <v>74</v>
      </c>
      <c r="BR166" t="s">
        <v>74</v>
      </c>
      <c r="BS166" t="s">
        <v>5780</v>
      </c>
      <c r="BT166" t="str">
        <f>HYPERLINK("https%3A%2F%2Fwww.webofscience.com%2Fwos%2Fwoscc%2Ffull-record%2FWOS:000235606600004","View Full Record in Web of Science")</f>
        <v>View Full Record in Web of Science</v>
      </c>
    </row>
    <row r="167" spans="1:72" x14ac:dyDescent="0.2">
      <c r="A167" t="s">
        <v>72</v>
      </c>
      <c r="B167" t="s">
        <v>5788</v>
      </c>
      <c r="C167" t="s">
        <v>74</v>
      </c>
      <c r="D167" t="s">
        <v>74</v>
      </c>
      <c r="E167" t="s">
        <v>74</v>
      </c>
      <c r="F167" t="s">
        <v>5788</v>
      </c>
      <c r="G167" t="s">
        <v>74</v>
      </c>
      <c r="H167" t="s">
        <v>74</v>
      </c>
      <c r="I167" t="s">
        <v>5789</v>
      </c>
      <c r="J167" t="s">
        <v>97</v>
      </c>
      <c r="K167" t="s">
        <v>74</v>
      </c>
      <c r="L167" t="s">
        <v>74</v>
      </c>
      <c r="M167" t="s">
        <v>74</v>
      </c>
      <c r="N167" t="s">
        <v>74</v>
      </c>
      <c r="O167" t="s">
        <v>74</v>
      </c>
      <c r="P167" t="s">
        <v>74</v>
      </c>
      <c r="Q167" t="s">
        <v>74</v>
      </c>
      <c r="R167" t="s">
        <v>74</v>
      </c>
      <c r="S167" t="s">
        <v>74</v>
      </c>
      <c r="T167" t="s">
        <v>74</v>
      </c>
      <c r="U167" t="s">
        <v>74</v>
      </c>
      <c r="V167" t="s">
        <v>74</v>
      </c>
      <c r="W167" t="s">
        <v>74</v>
      </c>
      <c r="X167" t="s">
        <v>74</v>
      </c>
      <c r="Y167" t="s">
        <v>74</v>
      </c>
      <c r="Z167" t="s">
        <v>74</v>
      </c>
      <c r="AA167" t="s">
        <v>5790</v>
      </c>
      <c r="AB167" t="s">
        <v>74</v>
      </c>
      <c r="AC167" t="s">
        <v>74</v>
      </c>
      <c r="AD167" t="s">
        <v>74</v>
      </c>
      <c r="AE167" t="s">
        <v>74</v>
      </c>
      <c r="AF167" t="s">
        <v>74</v>
      </c>
      <c r="AG167" t="s">
        <v>74</v>
      </c>
      <c r="AH167" t="s">
        <v>74</v>
      </c>
      <c r="AI167" t="s">
        <v>74</v>
      </c>
      <c r="AJ167" t="s">
        <v>74</v>
      </c>
      <c r="AK167" t="s">
        <v>74</v>
      </c>
      <c r="AL167" t="s">
        <v>74</v>
      </c>
      <c r="AM167" t="s">
        <v>74</v>
      </c>
      <c r="AN167" t="s">
        <v>74</v>
      </c>
      <c r="AO167" t="s">
        <v>98</v>
      </c>
      <c r="AP167" t="s">
        <v>99</v>
      </c>
      <c r="AQ167" t="s">
        <v>74</v>
      </c>
      <c r="AR167" t="s">
        <v>74</v>
      </c>
      <c r="AS167" t="s">
        <v>74</v>
      </c>
      <c r="AT167" t="s">
        <v>82</v>
      </c>
      <c r="AU167">
        <v>2005</v>
      </c>
      <c r="AV167">
        <v>39</v>
      </c>
      <c r="AW167">
        <v>4</v>
      </c>
      <c r="AX167" t="s">
        <v>74</v>
      </c>
      <c r="AY167" t="s">
        <v>74</v>
      </c>
      <c r="AZ167" t="s">
        <v>74</v>
      </c>
      <c r="BA167" t="s">
        <v>74</v>
      </c>
      <c r="BB167">
        <v>447</v>
      </c>
      <c r="BC167">
        <v>454</v>
      </c>
      <c r="BD167" t="s">
        <v>74</v>
      </c>
      <c r="BE167" t="s">
        <v>5791</v>
      </c>
      <c r="BF167" t="str">
        <f>HYPERLINK("http://dx.doi.org/10.1007/s10452-005-9003-5","http://dx.doi.org/10.1007/s10452-005-9003-5")</f>
        <v>http://dx.doi.org/10.1007/s10452-005-9003-5</v>
      </c>
      <c r="BG167" t="s">
        <v>74</v>
      </c>
      <c r="BH167" t="s">
        <v>74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 t="s">
        <v>74</v>
      </c>
      <c r="BO167" t="s">
        <v>74</v>
      </c>
      <c r="BP167" t="s">
        <v>74</v>
      </c>
      <c r="BQ167" t="s">
        <v>74</v>
      </c>
      <c r="BR167" t="s">
        <v>74</v>
      </c>
      <c r="BS167" t="s">
        <v>5792</v>
      </c>
      <c r="BT167" t="str">
        <f>HYPERLINK("https%3A%2F%2Fwww.webofscience.com%2Fwos%2Fwoscc%2Ffull-record%2FWOS:000233733400006","View Full Record in Web of Science")</f>
        <v>View Full Record in Web of Science</v>
      </c>
    </row>
    <row r="168" spans="1:72" x14ac:dyDescent="0.2">
      <c r="A168" t="s">
        <v>72</v>
      </c>
      <c r="B168" t="s">
        <v>5802</v>
      </c>
      <c r="C168" t="s">
        <v>74</v>
      </c>
      <c r="D168" t="s">
        <v>74</v>
      </c>
      <c r="E168" t="s">
        <v>74</v>
      </c>
      <c r="F168" t="s">
        <v>5802</v>
      </c>
      <c r="G168" t="s">
        <v>74</v>
      </c>
      <c r="H168" t="s">
        <v>74</v>
      </c>
      <c r="I168" t="s">
        <v>5803</v>
      </c>
      <c r="J168" t="s">
        <v>836</v>
      </c>
      <c r="K168" t="s">
        <v>74</v>
      </c>
      <c r="L168" t="s">
        <v>74</v>
      </c>
      <c r="M168" t="s">
        <v>74</v>
      </c>
      <c r="N168" t="s">
        <v>74</v>
      </c>
      <c r="O168" t="s">
        <v>74</v>
      </c>
      <c r="P168" t="s">
        <v>74</v>
      </c>
      <c r="Q168" t="s">
        <v>74</v>
      </c>
      <c r="R168" t="s">
        <v>74</v>
      </c>
      <c r="S168" t="s">
        <v>74</v>
      </c>
      <c r="T168" t="s">
        <v>74</v>
      </c>
      <c r="U168" t="s">
        <v>74</v>
      </c>
      <c r="V168" t="s">
        <v>74</v>
      </c>
      <c r="W168" t="s">
        <v>74</v>
      </c>
      <c r="X168" t="s">
        <v>74</v>
      </c>
      <c r="Y168" t="s">
        <v>74</v>
      </c>
      <c r="Z168" t="s">
        <v>74</v>
      </c>
      <c r="AA168" t="s">
        <v>74</v>
      </c>
      <c r="AB168" t="s">
        <v>74</v>
      </c>
      <c r="AC168" t="s">
        <v>74</v>
      </c>
      <c r="AD168" t="s">
        <v>74</v>
      </c>
      <c r="AE168" t="s">
        <v>74</v>
      </c>
      <c r="AF168" t="s">
        <v>74</v>
      </c>
      <c r="AG168" t="s">
        <v>74</v>
      </c>
      <c r="AH168" t="s">
        <v>74</v>
      </c>
      <c r="AI168" t="s">
        <v>74</v>
      </c>
      <c r="AJ168" t="s">
        <v>74</v>
      </c>
      <c r="AK168" t="s">
        <v>74</v>
      </c>
      <c r="AL168" t="s">
        <v>74</v>
      </c>
      <c r="AM168" t="s">
        <v>74</v>
      </c>
      <c r="AN168" t="s">
        <v>74</v>
      </c>
      <c r="AO168" t="s">
        <v>837</v>
      </c>
      <c r="AP168" t="s">
        <v>838</v>
      </c>
      <c r="AQ168" t="s">
        <v>74</v>
      </c>
      <c r="AR168" t="s">
        <v>74</v>
      </c>
      <c r="AS168" t="s">
        <v>74</v>
      </c>
      <c r="AT168" t="s">
        <v>335</v>
      </c>
      <c r="AU168">
        <v>2005</v>
      </c>
      <c r="AV168">
        <v>4</v>
      </c>
      <c r="AW168">
        <v>6</v>
      </c>
      <c r="AX168" t="s">
        <v>74</v>
      </c>
      <c r="AY168" t="s">
        <v>74</v>
      </c>
      <c r="AZ168" t="s">
        <v>74</v>
      </c>
      <c r="BA168" t="s">
        <v>74</v>
      </c>
      <c r="BB168">
        <v>1033</v>
      </c>
      <c r="BC168">
        <v>1043</v>
      </c>
      <c r="BD168" t="s">
        <v>74</v>
      </c>
      <c r="BE168" t="s">
        <v>5804</v>
      </c>
      <c r="BF168" t="str">
        <f>HYPERLINK("http://dx.doi.org/10.1016/j.hal.2005.03.001","http://dx.doi.org/10.1016/j.hal.2005.03.001")</f>
        <v>http://dx.doi.org/10.1016/j.hal.2005.03.001</v>
      </c>
      <c r="BG168" t="s">
        <v>74</v>
      </c>
      <c r="BH168" t="s">
        <v>74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 t="s">
        <v>74</v>
      </c>
      <c r="BO168" t="s">
        <v>74</v>
      </c>
      <c r="BP168" t="s">
        <v>74</v>
      </c>
      <c r="BQ168" t="s">
        <v>74</v>
      </c>
      <c r="BR168" t="s">
        <v>74</v>
      </c>
      <c r="BS168" t="s">
        <v>5805</v>
      </c>
      <c r="BT168" t="str">
        <f>HYPERLINK("https%3A%2F%2Fwww.webofscience.com%2Fwos%2Fwoscc%2Ffull-record%2FWOS:000233325900007","View Full Record in Web of Science")</f>
        <v>View Full Record in Web of Science</v>
      </c>
    </row>
    <row r="169" spans="1:72" x14ac:dyDescent="0.2">
      <c r="A169" t="s">
        <v>72</v>
      </c>
      <c r="B169" t="s">
        <v>5823</v>
      </c>
      <c r="C169" t="s">
        <v>74</v>
      </c>
      <c r="D169" t="s">
        <v>74</v>
      </c>
      <c r="E169" t="s">
        <v>74</v>
      </c>
      <c r="F169" t="s">
        <v>5823</v>
      </c>
      <c r="G169" t="s">
        <v>74</v>
      </c>
      <c r="H169" t="s">
        <v>74</v>
      </c>
      <c r="I169" t="s">
        <v>5824</v>
      </c>
      <c r="J169" t="s">
        <v>106</v>
      </c>
      <c r="K169" t="s">
        <v>74</v>
      </c>
      <c r="L169" t="s">
        <v>74</v>
      </c>
      <c r="M169" t="s">
        <v>74</v>
      </c>
      <c r="N169" t="s">
        <v>74</v>
      </c>
      <c r="O169" t="s">
        <v>74</v>
      </c>
      <c r="P169" t="s">
        <v>74</v>
      </c>
      <c r="Q169" t="s">
        <v>74</v>
      </c>
      <c r="R169" t="s">
        <v>74</v>
      </c>
      <c r="S169" t="s">
        <v>74</v>
      </c>
      <c r="T169" t="s">
        <v>74</v>
      </c>
      <c r="U169" t="s">
        <v>74</v>
      </c>
      <c r="V169" t="s">
        <v>74</v>
      </c>
      <c r="W169" t="s">
        <v>74</v>
      </c>
      <c r="X169" t="s">
        <v>74</v>
      </c>
      <c r="Y169" t="s">
        <v>74</v>
      </c>
      <c r="Z169" t="s">
        <v>74</v>
      </c>
      <c r="AA169" t="s">
        <v>74</v>
      </c>
      <c r="AB169" t="s">
        <v>5825</v>
      </c>
      <c r="AC169" t="s">
        <v>74</v>
      </c>
      <c r="AD169" t="s">
        <v>74</v>
      </c>
      <c r="AE169" t="s">
        <v>74</v>
      </c>
      <c r="AF169" t="s">
        <v>74</v>
      </c>
      <c r="AG169" t="s">
        <v>74</v>
      </c>
      <c r="AH169" t="s">
        <v>74</v>
      </c>
      <c r="AI169" t="s">
        <v>74</v>
      </c>
      <c r="AJ169" t="s">
        <v>74</v>
      </c>
      <c r="AK169" t="s">
        <v>74</v>
      </c>
      <c r="AL169" t="s">
        <v>74</v>
      </c>
      <c r="AM169" t="s">
        <v>74</v>
      </c>
      <c r="AN169" t="s">
        <v>74</v>
      </c>
      <c r="AO169" t="s">
        <v>107</v>
      </c>
      <c r="AP169" t="s">
        <v>74</v>
      </c>
      <c r="AQ169" t="s">
        <v>74</v>
      </c>
      <c r="AR169" t="s">
        <v>74</v>
      </c>
      <c r="AS169" t="s">
        <v>74</v>
      </c>
      <c r="AT169" t="s">
        <v>520</v>
      </c>
      <c r="AU169">
        <v>2005</v>
      </c>
      <c r="AV169">
        <v>27</v>
      </c>
      <c r="AW169">
        <v>8</v>
      </c>
      <c r="AX169" t="s">
        <v>74</v>
      </c>
      <c r="AY169" t="s">
        <v>74</v>
      </c>
      <c r="AZ169" t="s">
        <v>74</v>
      </c>
      <c r="BA169" t="s">
        <v>74</v>
      </c>
      <c r="BB169">
        <v>811</v>
      </c>
      <c r="BC169">
        <v>823</v>
      </c>
      <c r="BD169" t="s">
        <v>74</v>
      </c>
      <c r="BE169" t="s">
        <v>5826</v>
      </c>
      <c r="BF169" t="str">
        <f>HYPERLINK("http://dx.doi.org/10.1093/plankt/fbi055","http://dx.doi.org/10.1093/plankt/fbi055")</f>
        <v>http://dx.doi.org/10.1093/plankt/fbi055</v>
      </c>
      <c r="BG169" t="s">
        <v>74</v>
      </c>
      <c r="BH169" t="s">
        <v>74</v>
      </c>
      <c r="BI169" t="s">
        <v>74</v>
      </c>
      <c r="BJ169" t="s">
        <v>74</v>
      </c>
      <c r="BK169" t="s">
        <v>74</v>
      </c>
      <c r="BL169" t="s">
        <v>74</v>
      </c>
      <c r="BM169" t="s">
        <v>74</v>
      </c>
      <c r="BN169" t="s">
        <v>74</v>
      </c>
      <c r="BO169" t="s">
        <v>74</v>
      </c>
      <c r="BP169" t="s">
        <v>74</v>
      </c>
      <c r="BQ169" t="s">
        <v>74</v>
      </c>
      <c r="BR169" t="s">
        <v>74</v>
      </c>
      <c r="BS169" t="s">
        <v>5827</v>
      </c>
      <c r="BT169" t="str">
        <f>HYPERLINK("https%3A%2F%2Fwww.webofscience.com%2Fwos%2Fwoscc%2Ffull-record%2FWOS:000232593000009","View Full Record in Web of Science")</f>
        <v>View Full Record in Web of Science</v>
      </c>
    </row>
    <row r="170" spans="1:72" x14ac:dyDescent="0.2">
      <c r="A170" t="s">
        <v>72</v>
      </c>
      <c r="B170" t="s">
        <v>5828</v>
      </c>
      <c r="C170" t="s">
        <v>74</v>
      </c>
      <c r="D170" t="s">
        <v>74</v>
      </c>
      <c r="E170" t="s">
        <v>74</v>
      </c>
      <c r="F170" t="s">
        <v>5828</v>
      </c>
      <c r="G170" t="s">
        <v>74</v>
      </c>
      <c r="H170" t="s">
        <v>74</v>
      </c>
      <c r="I170" t="s">
        <v>5829</v>
      </c>
      <c r="J170" t="s">
        <v>180</v>
      </c>
      <c r="K170" t="s">
        <v>74</v>
      </c>
      <c r="L170" t="s">
        <v>74</v>
      </c>
      <c r="M170" t="s">
        <v>74</v>
      </c>
      <c r="N170" t="s">
        <v>74</v>
      </c>
      <c r="O170" t="s">
        <v>74</v>
      </c>
      <c r="P170" t="s">
        <v>74</v>
      </c>
      <c r="Q170" t="s">
        <v>74</v>
      </c>
      <c r="R170" t="s">
        <v>74</v>
      </c>
      <c r="S170" t="s">
        <v>74</v>
      </c>
      <c r="T170" t="s">
        <v>74</v>
      </c>
      <c r="U170" t="s">
        <v>74</v>
      </c>
      <c r="V170" t="s">
        <v>74</v>
      </c>
      <c r="W170" t="s">
        <v>74</v>
      </c>
      <c r="X170" t="s">
        <v>74</v>
      </c>
      <c r="Y170" t="s">
        <v>74</v>
      </c>
      <c r="Z170" t="s">
        <v>74</v>
      </c>
      <c r="AA170" t="s">
        <v>5830</v>
      </c>
      <c r="AB170" t="s">
        <v>5831</v>
      </c>
      <c r="AC170" t="s">
        <v>74</v>
      </c>
      <c r="AD170" t="s">
        <v>74</v>
      </c>
      <c r="AE170" t="s">
        <v>74</v>
      </c>
      <c r="AF170" t="s">
        <v>74</v>
      </c>
      <c r="AG170" t="s">
        <v>74</v>
      </c>
      <c r="AH170" t="s">
        <v>74</v>
      </c>
      <c r="AI170" t="s">
        <v>74</v>
      </c>
      <c r="AJ170" t="s">
        <v>74</v>
      </c>
      <c r="AK170" t="s">
        <v>74</v>
      </c>
      <c r="AL170" t="s">
        <v>74</v>
      </c>
      <c r="AM170" t="s">
        <v>74</v>
      </c>
      <c r="AN170" t="s">
        <v>74</v>
      </c>
      <c r="AO170" t="s">
        <v>182</v>
      </c>
      <c r="AP170" t="s">
        <v>183</v>
      </c>
      <c r="AQ170" t="s">
        <v>74</v>
      </c>
      <c r="AR170" t="s">
        <v>74</v>
      </c>
      <c r="AS170" t="s">
        <v>74</v>
      </c>
      <c r="AT170" t="s">
        <v>624</v>
      </c>
      <c r="AU170">
        <v>2005</v>
      </c>
      <c r="AV170">
        <v>110</v>
      </c>
      <c r="AW170">
        <v>1</v>
      </c>
      <c r="AX170" t="s">
        <v>74</v>
      </c>
      <c r="AY170" t="s">
        <v>74</v>
      </c>
      <c r="AZ170" t="s">
        <v>74</v>
      </c>
      <c r="BA170" t="s">
        <v>74</v>
      </c>
      <c r="BB170">
        <v>43</v>
      </c>
      <c r="BC170">
        <v>54</v>
      </c>
      <c r="BD170" t="s">
        <v>74</v>
      </c>
      <c r="BE170" t="s">
        <v>5832</v>
      </c>
      <c r="BF170" t="str">
        <f>HYPERLINK("http://dx.doi.org/10.1111/j.0030-1299.2005.13341.x","http://dx.doi.org/10.1111/j.0030-1299.2005.13341.x")</f>
        <v>http://dx.doi.org/10.1111/j.0030-1299.2005.13341.x</v>
      </c>
      <c r="BG170" t="s">
        <v>74</v>
      </c>
      <c r="BH170" t="s">
        <v>74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 t="s">
        <v>74</v>
      </c>
      <c r="BO170" t="s">
        <v>74</v>
      </c>
      <c r="BP170" t="s">
        <v>74</v>
      </c>
      <c r="BQ170" t="s">
        <v>74</v>
      </c>
      <c r="BR170" t="s">
        <v>74</v>
      </c>
      <c r="BS170" t="s">
        <v>5833</v>
      </c>
      <c r="BT170" t="str">
        <f>HYPERLINK("https%3A%2F%2Fwww.webofscience.com%2Fwos%2Fwoscc%2Ffull-record%2FWOS:000229069700004","View Full Record in Web of Science")</f>
        <v>View Full Record in Web of Science</v>
      </c>
    </row>
    <row r="171" spans="1:72" x14ac:dyDescent="0.2">
      <c r="A171" t="s">
        <v>72</v>
      </c>
      <c r="B171" t="s">
        <v>5851</v>
      </c>
      <c r="C171" t="s">
        <v>74</v>
      </c>
      <c r="D171" t="s">
        <v>74</v>
      </c>
      <c r="E171" t="s">
        <v>74</v>
      </c>
      <c r="F171" t="s">
        <v>5851</v>
      </c>
      <c r="G171" t="s">
        <v>74</v>
      </c>
      <c r="H171" t="s">
        <v>74</v>
      </c>
      <c r="I171" t="s">
        <v>5852</v>
      </c>
      <c r="J171" t="s">
        <v>423</v>
      </c>
      <c r="K171" t="s">
        <v>74</v>
      </c>
      <c r="L171" t="s">
        <v>74</v>
      </c>
      <c r="M171" t="s">
        <v>74</v>
      </c>
      <c r="N171" t="s">
        <v>74</v>
      </c>
      <c r="O171" t="s">
        <v>74</v>
      </c>
      <c r="P171" t="s">
        <v>74</v>
      </c>
      <c r="Q171" t="s">
        <v>74</v>
      </c>
      <c r="R171" t="s">
        <v>74</v>
      </c>
      <c r="S171" t="s">
        <v>74</v>
      </c>
      <c r="T171" t="s">
        <v>74</v>
      </c>
      <c r="U171" t="s">
        <v>74</v>
      </c>
      <c r="V171" t="s">
        <v>74</v>
      </c>
      <c r="W171" t="s">
        <v>74</v>
      </c>
      <c r="X171" t="s">
        <v>74</v>
      </c>
      <c r="Y171" t="s">
        <v>74</v>
      </c>
      <c r="Z171" t="s">
        <v>74</v>
      </c>
      <c r="AA171" t="s">
        <v>74</v>
      </c>
      <c r="AB171" t="s">
        <v>74</v>
      </c>
      <c r="AC171" t="s">
        <v>74</v>
      </c>
      <c r="AD171" t="s">
        <v>74</v>
      </c>
      <c r="AE171" t="s">
        <v>74</v>
      </c>
      <c r="AF171" t="s">
        <v>74</v>
      </c>
      <c r="AG171" t="s">
        <v>74</v>
      </c>
      <c r="AH171" t="s">
        <v>74</v>
      </c>
      <c r="AI171" t="s">
        <v>74</v>
      </c>
      <c r="AJ171" t="s">
        <v>74</v>
      </c>
      <c r="AK171" t="s">
        <v>74</v>
      </c>
      <c r="AL171" t="s">
        <v>74</v>
      </c>
      <c r="AM171" t="s">
        <v>74</v>
      </c>
      <c r="AN171" t="s">
        <v>74</v>
      </c>
      <c r="AO171" t="s">
        <v>425</v>
      </c>
      <c r="AP171" t="s">
        <v>426</v>
      </c>
      <c r="AQ171" t="s">
        <v>74</v>
      </c>
      <c r="AR171" t="s">
        <v>74</v>
      </c>
      <c r="AS171" t="s">
        <v>74</v>
      </c>
      <c r="AT171" t="s">
        <v>575</v>
      </c>
      <c r="AU171">
        <v>2005</v>
      </c>
      <c r="AV171">
        <v>50</v>
      </c>
      <c r="AW171">
        <v>5</v>
      </c>
      <c r="AX171" t="s">
        <v>74</v>
      </c>
      <c r="AY171" t="s">
        <v>74</v>
      </c>
      <c r="AZ171" t="s">
        <v>74</v>
      </c>
      <c r="BA171" t="s">
        <v>74</v>
      </c>
      <c r="BB171">
        <v>742</v>
      </c>
      <c r="BC171">
        <v>747</v>
      </c>
      <c r="BD171" t="s">
        <v>74</v>
      </c>
      <c r="BE171" t="s">
        <v>5853</v>
      </c>
      <c r="BF171" t="str">
        <f>HYPERLINK("http://dx.doi.org/10.1111/j.1365-2427.2005.01362.x","http://dx.doi.org/10.1111/j.1365-2427.2005.01362.x")</f>
        <v>http://dx.doi.org/10.1111/j.1365-2427.2005.01362.x</v>
      </c>
      <c r="BG171" t="s">
        <v>74</v>
      </c>
      <c r="BH171" t="s">
        <v>74</v>
      </c>
      <c r="BI171" t="s">
        <v>74</v>
      </c>
      <c r="BJ171" t="s">
        <v>74</v>
      </c>
      <c r="BK171" t="s">
        <v>74</v>
      </c>
      <c r="BL171" t="s">
        <v>74</v>
      </c>
      <c r="BM171" t="s">
        <v>74</v>
      </c>
      <c r="BN171" t="s">
        <v>74</v>
      </c>
      <c r="BO171" t="s">
        <v>74</v>
      </c>
      <c r="BP171" t="s">
        <v>74</v>
      </c>
      <c r="BQ171" t="s">
        <v>74</v>
      </c>
      <c r="BR171" t="s">
        <v>74</v>
      </c>
      <c r="BS171" t="s">
        <v>5854</v>
      </c>
      <c r="BT171" t="str">
        <f>HYPERLINK("https%3A%2F%2Fwww.webofscience.com%2Fwos%2Fwoscc%2Ffull-record%2FWOS:000228690300002","View Full Record in Web of Science")</f>
        <v>View Full Record in Web of Science</v>
      </c>
    </row>
    <row r="172" spans="1:72" x14ac:dyDescent="0.2">
      <c r="A172" t="s">
        <v>72</v>
      </c>
      <c r="B172" t="s">
        <v>5865</v>
      </c>
      <c r="C172" t="s">
        <v>74</v>
      </c>
      <c r="D172" t="s">
        <v>74</v>
      </c>
      <c r="E172" t="s">
        <v>74</v>
      </c>
      <c r="F172" t="s">
        <v>5865</v>
      </c>
      <c r="G172" t="s">
        <v>74</v>
      </c>
      <c r="H172" t="s">
        <v>74</v>
      </c>
      <c r="I172" t="s">
        <v>5866</v>
      </c>
      <c r="J172" t="s">
        <v>5867</v>
      </c>
      <c r="K172" t="s">
        <v>74</v>
      </c>
      <c r="L172" t="s">
        <v>74</v>
      </c>
      <c r="M172" t="s">
        <v>74</v>
      </c>
      <c r="N172" t="s">
        <v>74</v>
      </c>
      <c r="O172" t="s">
        <v>74</v>
      </c>
      <c r="P172" t="s">
        <v>74</v>
      </c>
      <c r="Q172" t="s">
        <v>74</v>
      </c>
      <c r="R172" t="s">
        <v>74</v>
      </c>
      <c r="S172" t="s">
        <v>74</v>
      </c>
      <c r="T172" t="s">
        <v>74</v>
      </c>
      <c r="U172" t="s">
        <v>74</v>
      </c>
      <c r="V172" t="s">
        <v>74</v>
      </c>
      <c r="W172" t="s">
        <v>74</v>
      </c>
      <c r="X172" t="s">
        <v>74</v>
      </c>
      <c r="Y172" t="s">
        <v>74</v>
      </c>
      <c r="Z172" t="s">
        <v>74</v>
      </c>
      <c r="AA172" t="s">
        <v>74</v>
      </c>
      <c r="AB172" t="s">
        <v>74</v>
      </c>
      <c r="AC172" t="s">
        <v>74</v>
      </c>
      <c r="AD172" t="s">
        <v>74</v>
      </c>
      <c r="AE172" t="s">
        <v>74</v>
      </c>
      <c r="AF172" t="s">
        <v>74</v>
      </c>
      <c r="AG172" t="s">
        <v>74</v>
      </c>
      <c r="AH172" t="s">
        <v>74</v>
      </c>
      <c r="AI172" t="s">
        <v>74</v>
      </c>
      <c r="AJ172" t="s">
        <v>74</v>
      </c>
      <c r="AK172" t="s">
        <v>74</v>
      </c>
      <c r="AL172" t="s">
        <v>74</v>
      </c>
      <c r="AM172" t="s">
        <v>74</v>
      </c>
      <c r="AN172" t="s">
        <v>74</v>
      </c>
      <c r="AO172" t="s">
        <v>5868</v>
      </c>
      <c r="AP172" t="s">
        <v>5869</v>
      </c>
      <c r="AQ172" t="s">
        <v>74</v>
      </c>
      <c r="AR172" t="s">
        <v>74</v>
      </c>
      <c r="AS172" t="s">
        <v>74</v>
      </c>
      <c r="AT172" t="s">
        <v>157</v>
      </c>
      <c r="AU172">
        <v>2005</v>
      </c>
      <c r="AV172">
        <v>59</v>
      </c>
      <c r="AW172">
        <v>3</v>
      </c>
      <c r="AX172" t="s">
        <v>74</v>
      </c>
      <c r="AY172" t="s">
        <v>74</v>
      </c>
      <c r="AZ172" t="s">
        <v>74</v>
      </c>
      <c r="BA172" t="s">
        <v>74</v>
      </c>
      <c r="BB172">
        <v>565</v>
      </c>
      <c r="BC172">
        <v>576</v>
      </c>
      <c r="BD172" t="s">
        <v>74</v>
      </c>
      <c r="BE172" t="s">
        <v>74</v>
      </c>
      <c r="BF172" t="s">
        <v>74</v>
      </c>
      <c r="BG172" t="s">
        <v>74</v>
      </c>
      <c r="BH172" t="s">
        <v>74</v>
      </c>
      <c r="BI172" t="s">
        <v>74</v>
      </c>
      <c r="BJ172" t="s">
        <v>74</v>
      </c>
      <c r="BK172" t="s">
        <v>74</v>
      </c>
      <c r="BL172" t="s">
        <v>74</v>
      </c>
      <c r="BM172" t="s">
        <v>74</v>
      </c>
      <c r="BN172">
        <v>15856699</v>
      </c>
      <c r="BO172" t="s">
        <v>74</v>
      </c>
      <c r="BP172" t="s">
        <v>74</v>
      </c>
      <c r="BQ172" t="s">
        <v>74</v>
      </c>
      <c r="BR172" t="s">
        <v>74</v>
      </c>
      <c r="BS172" t="s">
        <v>5870</v>
      </c>
      <c r="BT172" t="str">
        <f>HYPERLINK("https%3A%2F%2Fwww.webofscience.com%2Fwos%2Fwoscc%2Ffull-record%2FWOS:000227943400009","View Full Record in Web of Science")</f>
        <v>View Full Record in Web of Science</v>
      </c>
    </row>
    <row r="173" spans="1:72" x14ac:dyDescent="0.2">
      <c r="A173" t="s">
        <v>72</v>
      </c>
      <c r="B173" t="s">
        <v>5884</v>
      </c>
      <c r="C173" t="s">
        <v>74</v>
      </c>
      <c r="D173" t="s">
        <v>74</v>
      </c>
      <c r="E173" t="s">
        <v>74</v>
      </c>
      <c r="F173" t="s">
        <v>5884</v>
      </c>
      <c r="G173" t="s">
        <v>74</v>
      </c>
      <c r="H173" t="s">
        <v>74</v>
      </c>
      <c r="I173" t="s">
        <v>5885</v>
      </c>
      <c r="J173" t="s">
        <v>1063</v>
      </c>
      <c r="K173" t="s">
        <v>74</v>
      </c>
      <c r="L173" t="s">
        <v>74</v>
      </c>
      <c r="M173" t="s">
        <v>74</v>
      </c>
      <c r="N173" t="s">
        <v>74</v>
      </c>
      <c r="O173" t="s">
        <v>74</v>
      </c>
      <c r="P173" t="s">
        <v>74</v>
      </c>
      <c r="Q173" t="s">
        <v>74</v>
      </c>
      <c r="R173" t="s">
        <v>74</v>
      </c>
      <c r="S173" t="s">
        <v>74</v>
      </c>
      <c r="T173" t="s">
        <v>74</v>
      </c>
      <c r="U173" t="s">
        <v>74</v>
      </c>
      <c r="V173" t="s">
        <v>74</v>
      </c>
      <c r="W173" t="s">
        <v>74</v>
      </c>
      <c r="X173" t="s">
        <v>74</v>
      </c>
      <c r="Y173" t="s">
        <v>74</v>
      </c>
      <c r="Z173" t="s">
        <v>74</v>
      </c>
      <c r="AA173" t="s">
        <v>5886</v>
      </c>
      <c r="AB173" t="s">
        <v>5887</v>
      </c>
      <c r="AC173" t="s">
        <v>74</v>
      </c>
      <c r="AD173" t="s">
        <v>74</v>
      </c>
      <c r="AE173" t="s">
        <v>74</v>
      </c>
      <c r="AF173" t="s">
        <v>74</v>
      </c>
      <c r="AG173" t="s">
        <v>74</v>
      </c>
      <c r="AH173" t="s">
        <v>74</v>
      </c>
      <c r="AI173" t="s">
        <v>74</v>
      </c>
      <c r="AJ173" t="s">
        <v>74</v>
      </c>
      <c r="AK173" t="s">
        <v>74</v>
      </c>
      <c r="AL173" t="s">
        <v>74</v>
      </c>
      <c r="AM173" t="s">
        <v>74</v>
      </c>
      <c r="AN173" t="s">
        <v>74</v>
      </c>
      <c r="AO173" t="s">
        <v>1065</v>
      </c>
      <c r="AP173" t="s">
        <v>1066</v>
      </c>
      <c r="AQ173" t="s">
        <v>74</v>
      </c>
      <c r="AR173" t="s">
        <v>74</v>
      </c>
      <c r="AS173" t="s">
        <v>74</v>
      </c>
      <c r="AT173" t="s">
        <v>82</v>
      </c>
      <c r="AU173">
        <v>2004</v>
      </c>
      <c r="AV173">
        <v>57</v>
      </c>
      <c r="AW173">
        <v>11</v>
      </c>
      <c r="AX173" t="s">
        <v>74</v>
      </c>
      <c r="AY173" t="s">
        <v>74</v>
      </c>
      <c r="AZ173" t="s">
        <v>74</v>
      </c>
      <c r="BA173" t="s">
        <v>74</v>
      </c>
      <c r="BB173">
        <v>1629</v>
      </c>
      <c r="BC173">
        <v>1636</v>
      </c>
      <c r="BD173" t="s">
        <v>74</v>
      </c>
      <c r="BE173" t="s">
        <v>5888</v>
      </c>
      <c r="BF173" t="str">
        <f>HYPERLINK("http://dx.doi.org/10.1016/j.chemosphere.2004.06.041","http://dx.doi.org/10.1016/j.chemosphere.2004.06.041")</f>
        <v>http://dx.doi.org/10.1016/j.chemosphere.2004.06.041</v>
      </c>
      <c r="BG173" t="s">
        <v>74</v>
      </c>
      <c r="BH173" t="s">
        <v>74</v>
      </c>
      <c r="BI173" t="s">
        <v>74</v>
      </c>
      <c r="BJ173" t="s">
        <v>74</v>
      </c>
      <c r="BK173" t="s">
        <v>74</v>
      </c>
      <c r="BL173" t="s">
        <v>74</v>
      </c>
      <c r="BM173" t="s">
        <v>74</v>
      </c>
      <c r="BN173">
        <v>15519408</v>
      </c>
      <c r="BO173" t="s">
        <v>74</v>
      </c>
      <c r="BP173" t="s">
        <v>74</v>
      </c>
      <c r="BQ173" t="s">
        <v>74</v>
      </c>
      <c r="BR173" t="s">
        <v>74</v>
      </c>
      <c r="BS173" t="s">
        <v>5889</v>
      </c>
      <c r="BT173" t="str">
        <f>HYPERLINK("https%3A%2F%2Fwww.webofscience.com%2Fwos%2Fwoscc%2Ffull-record%2FWOS:000225053400006","View Full Record in Web of Science")</f>
        <v>View Full Record in Web of Science</v>
      </c>
    </row>
    <row r="174" spans="1:72" x14ac:dyDescent="0.2">
      <c r="A174" t="s">
        <v>72</v>
      </c>
      <c r="B174" t="s">
        <v>5905</v>
      </c>
      <c r="C174" t="s">
        <v>74</v>
      </c>
      <c r="D174" t="s">
        <v>74</v>
      </c>
      <c r="E174" t="s">
        <v>74</v>
      </c>
      <c r="F174" t="s">
        <v>5905</v>
      </c>
      <c r="G174" t="s">
        <v>74</v>
      </c>
      <c r="H174" t="s">
        <v>74</v>
      </c>
      <c r="I174" t="s">
        <v>5906</v>
      </c>
      <c r="J174" t="s">
        <v>106</v>
      </c>
      <c r="K174" t="s">
        <v>74</v>
      </c>
      <c r="L174" t="s">
        <v>74</v>
      </c>
      <c r="M174" t="s">
        <v>74</v>
      </c>
      <c r="N174" t="s">
        <v>74</v>
      </c>
      <c r="O174" t="s">
        <v>74</v>
      </c>
      <c r="P174" t="s">
        <v>74</v>
      </c>
      <c r="Q174" t="s">
        <v>74</v>
      </c>
      <c r="R174" t="s">
        <v>74</v>
      </c>
      <c r="S174" t="s">
        <v>74</v>
      </c>
      <c r="T174" t="s">
        <v>74</v>
      </c>
      <c r="U174" t="s">
        <v>74</v>
      </c>
      <c r="V174" t="s">
        <v>74</v>
      </c>
      <c r="W174" t="s">
        <v>74</v>
      </c>
      <c r="X174" t="s">
        <v>74</v>
      </c>
      <c r="Y174" t="s">
        <v>74</v>
      </c>
      <c r="Z174" t="s">
        <v>74</v>
      </c>
      <c r="AA174" t="s">
        <v>74</v>
      </c>
      <c r="AB174" t="s">
        <v>74</v>
      </c>
      <c r="AC174" t="s">
        <v>74</v>
      </c>
      <c r="AD174" t="s">
        <v>74</v>
      </c>
      <c r="AE174" t="s">
        <v>74</v>
      </c>
      <c r="AF174" t="s">
        <v>74</v>
      </c>
      <c r="AG174" t="s">
        <v>74</v>
      </c>
      <c r="AH174" t="s">
        <v>74</v>
      </c>
      <c r="AI174" t="s">
        <v>74</v>
      </c>
      <c r="AJ174" t="s">
        <v>74</v>
      </c>
      <c r="AK174" t="s">
        <v>74</v>
      </c>
      <c r="AL174" t="s">
        <v>74</v>
      </c>
      <c r="AM174" t="s">
        <v>74</v>
      </c>
      <c r="AN174" t="s">
        <v>74</v>
      </c>
      <c r="AO174" t="s">
        <v>107</v>
      </c>
      <c r="AP174" t="s">
        <v>108</v>
      </c>
      <c r="AQ174" t="s">
        <v>74</v>
      </c>
      <c r="AR174" t="s">
        <v>74</v>
      </c>
      <c r="AS174" t="s">
        <v>74</v>
      </c>
      <c r="AT174" t="s">
        <v>406</v>
      </c>
      <c r="AU174">
        <v>2004</v>
      </c>
      <c r="AV174">
        <v>26</v>
      </c>
      <c r="AW174">
        <v>10</v>
      </c>
      <c r="AX174" t="s">
        <v>74</v>
      </c>
      <c r="AY174" t="s">
        <v>74</v>
      </c>
      <c r="AZ174" t="s">
        <v>74</v>
      </c>
      <c r="BA174" t="s">
        <v>74</v>
      </c>
      <c r="BB174">
        <v>1229</v>
      </c>
      <c r="BC174">
        <v>1247</v>
      </c>
      <c r="BD174" t="s">
        <v>74</v>
      </c>
      <c r="BE174" t="s">
        <v>5907</v>
      </c>
      <c r="BF174" t="str">
        <f>HYPERLINK("http://dx.doi.org/10.1093/plankt/fbh114","http://dx.doi.org/10.1093/plankt/fbh114")</f>
        <v>http://dx.doi.org/10.1093/plankt/fbh114</v>
      </c>
      <c r="BG174" t="s">
        <v>74</v>
      </c>
      <c r="BH174" t="s">
        <v>74</v>
      </c>
      <c r="BI174" t="s">
        <v>74</v>
      </c>
      <c r="BJ174" t="s">
        <v>74</v>
      </c>
      <c r="BK174" t="s">
        <v>74</v>
      </c>
      <c r="BL174" t="s">
        <v>74</v>
      </c>
      <c r="BM174" t="s">
        <v>74</v>
      </c>
      <c r="BN174" t="s">
        <v>74</v>
      </c>
      <c r="BO174" t="s">
        <v>74</v>
      </c>
      <c r="BP174" t="s">
        <v>74</v>
      </c>
      <c r="BQ174" t="s">
        <v>74</v>
      </c>
      <c r="BR174" t="s">
        <v>74</v>
      </c>
      <c r="BS174" t="s">
        <v>5908</v>
      </c>
      <c r="BT174" t="str">
        <f>HYPERLINK("https%3A%2F%2Fwww.webofscience.com%2Fwos%2Fwoscc%2Ffull-record%2FWOS:000224078700009","View Full Record in Web of Science")</f>
        <v>View Full Record in Web of Science</v>
      </c>
    </row>
    <row r="175" spans="1:72" x14ac:dyDescent="0.2">
      <c r="A175" t="s">
        <v>72</v>
      </c>
      <c r="B175" t="s">
        <v>5909</v>
      </c>
      <c r="C175" t="s">
        <v>74</v>
      </c>
      <c r="D175" t="s">
        <v>74</v>
      </c>
      <c r="E175" t="s">
        <v>74</v>
      </c>
      <c r="F175" t="s">
        <v>5909</v>
      </c>
      <c r="G175" t="s">
        <v>74</v>
      </c>
      <c r="H175" t="s">
        <v>74</v>
      </c>
      <c r="I175" t="s">
        <v>5910</v>
      </c>
      <c r="J175" t="s">
        <v>3919</v>
      </c>
      <c r="K175" t="s">
        <v>74</v>
      </c>
      <c r="L175" t="s">
        <v>74</v>
      </c>
      <c r="M175" t="s">
        <v>74</v>
      </c>
      <c r="N175" t="s">
        <v>74</v>
      </c>
      <c r="O175" t="s">
        <v>74</v>
      </c>
      <c r="P175" t="s">
        <v>74</v>
      </c>
      <c r="Q175" t="s">
        <v>74</v>
      </c>
      <c r="R175" t="s">
        <v>74</v>
      </c>
      <c r="S175" t="s">
        <v>74</v>
      </c>
      <c r="T175" t="s">
        <v>74</v>
      </c>
      <c r="U175" t="s">
        <v>74</v>
      </c>
      <c r="V175" t="s">
        <v>74</v>
      </c>
      <c r="W175" t="s">
        <v>74</v>
      </c>
      <c r="X175" t="s">
        <v>74</v>
      </c>
      <c r="Y175" t="s">
        <v>74</v>
      </c>
      <c r="Z175" t="s">
        <v>74</v>
      </c>
      <c r="AA175" t="s">
        <v>5911</v>
      </c>
      <c r="AB175" t="s">
        <v>4942</v>
      </c>
      <c r="AC175" t="s">
        <v>74</v>
      </c>
      <c r="AD175" t="s">
        <v>74</v>
      </c>
      <c r="AE175" t="s">
        <v>74</v>
      </c>
      <c r="AF175" t="s">
        <v>74</v>
      </c>
      <c r="AG175" t="s">
        <v>74</v>
      </c>
      <c r="AH175" t="s">
        <v>74</v>
      </c>
      <c r="AI175" t="s">
        <v>74</v>
      </c>
      <c r="AJ175" t="s">
        <v>74</v>
      </c>
      <c r="AK175" t="s">
        <v>74</v>
      </c>
      <c r="AL175" t="s">
        <v>74</v>
      </c>
      <c r="AM175" t="s">
        <v>74</v>
      </c>
      <c r="AN175" t="s">
        <v>74</v>
      </c>
      <c r="AO175" t="s">
        <v>3920</v>
      </c>
      <c r="AP175" t="s">
        <v>74</v>
      </c>
      <c r="AQ175" t="s">
        <v>74</v>
      </c>
      <c r="AR175" t="s">
        <v>74</v>
      </c>
      <c r="AS175" t="s">
        <v>74</v>
      </c>
      <c r="AT175" t="s">
        <v>406</v>
      </c>
      <c r="AU175">
        <v>2004</v>
      </c>
      <c r="AV175">
        <v>70</v>
      </c>
      <c r="AW175">
        <v>10</v>
      </c>
      <c r="AX175" t="s">
        <v>74</v>
      </c>
      <c r="AY175" t="s">
        <v>74</v>
      </c>
      <c r="AZ175" t="s">
        <v>74</v>
      </c>
      <c r="BA175" t="s">
        <v>74</v>
      </c>
      <c r="BB175">
        <v>5787</v>
      </c>
      <c r="BC175">
        <v>5793</v>
      </c>
      <c r="BD175" t="s">
        <v>74</v>
      </c>
      <c r="BE175" t="s">
        <v>5912</v>
      </c>
      <c r="BF175" t="str">
        <f>HYPERLINK("http://dx.doi.org/10.1128/AEM.70.10.5787-5793.2004","http://dx.doi.org/10.1128/AEM.70.10.5787-5793.2004")</f>
        <v>http://dx.doi.org/10.1128/AEM.70.10.5787-5793.2004</v>
      </c>
      <c r="BG175" t="s">
        <v>74</v>
      </c>
      <c r="BH175" t="s">
        <v>74</v>
      </c>
      <c r="BI175" t="s">
        <v>74</v>
      </c>
      <c r="BJ175" t="s">
        <v>74</v>
      </c>
      <c r="BK175" t="s">
        <v>74</v>
      </c>
      <c r="BL175" t="s">
        <v>74</v>
      </c>
      <c r="BM175" t="s">
        <v>74</v>
      </c>
      <c r="BN175">
        <v>15466515</v>
      </c>
      <c r="BO175" t="s">
        <v>74</v>
      </c>
      <c r="BP175" t="s">
        <v>74</v>
      </c>
      <c r="BQ175" t="s">
        <v>74</v>
      </c>
      <c r="BR175" t="s">
        <v>74</v>
      </c>
      <c r="BS175" t="s">
        <v>5913</v>
      </c>
      <c r="BT175" t="str">
        <f>HYPERLINK("https%3A%2F%2Fwww.webofscience.com%2Fwos%2Fwoscc%2Ffull-record%2FWOS:000224356200010","View Full Record in Web of Science")</f>
        <v>View Full Record in Web of Science</v>
      </c>
    </row>
    <row r="176" spans="1:72" x14ac:dyDescent="0.2">
      <c r="A176" t="s">
        <v>72</v>
      </c>
      <c r="B176" t="s">
        <v>5914</v>
      </c>
      <c r="C176" t="s">
        <v>74</v>
      </c>
      <c r="D176" t="s">
        <v>74</v>
      </c>
      <c r="E176" t="s">
        <v>74</v>
      </c>
      <c r="F176" t="s">
        <v>5914</v>
      </c>
      <c r="G176" t="s">
        <v>74</v>
      </c>
      <c r="H176" t="s">
        <v>74</v>
      </c>
      <c r="I176" t="s">
        <v>5915</v>
      </c>
      <c r="J176" t="s">
        <v>5498</v>
      </c>
      <c r="K176" t="s">
        <v>74</v>
      </c>
      <c r="L176" t="s">
        <v>74</v>
      </c>
      <c r="M176" t="s">
        <v>74</v>
      </c>
      <c r="N176" t="s">
        <v>74</v>
      </c>
      <c r="O176" t="s">
        <v>74</v>
      </c>
      <c r="P176" t="s">
        <v>74</v>
      </c>
      <c r="Q176" t="s">
        <v>74</v>
      </c>
      <c r="R176" t="s">
        <v>74</v>
      </c>
      <c r="S176" t="s">
        <v>74</v>
      </c>
      <c r="T176" t="s">
        <v>74</v>
      </c>
      <c r="U176" t="s">
        <v>74</v>
      </c>
      <c r="V176" t="s">
        <v>74</v>
      </c>
      <c r="W176" t="s">
        <v>74</v>
      </c>
      <c r="X176" t="s">
        <v>74</v>
      </c>
      <c r="Y176" t="s">
        <v>74</v>
      </c>
      <c r="Z176" t="s">
        <v>74</v>
      </c>
      <c r="AA176" t="s">
        <v>74</v>
      </c>
      <c r="AB176" t="s">
        <v>74</v>
      </c>
      <c r="AC176" t="s">
        <v>74</v>
      </c>
      <c r="AD176" t="s">
        <v>74</v>
      </c>
      <c r="AE176" t="s">
        <v>74</v>
      </c>
      <c r="AF176" t="s">
        <v>74</v>
      </c>
      <c r="AG176" t="s">
        <v>74</v>
      </c>
      <c r="AH176" t="s">
        <v>74</v>
      </c>
      <c r="AI176" t="s">
        <v>74</v>
      </c>
      <c r="AJ176" t="s">
        <v>74</v>
      </c>
      <c r="AK176" t="s">
        <v>74</v>
      </c>
      <c r="AL176" t="s">
        <v>74</v>
      </c>
      <c r="AM176" t="s">
        <v>74</v>
      </c>
      <c r="AN176" t="s">
        <v>74</v>
      </c>
      <c r="AO176" t="s">
        <v>5500</v>
      </c>
      <c r="AP176" t="s">
        <v>74</v>
      </c>
      <c r="AQ176" t="s">
        <v>74</v>
      </c>
      <c r="AR176" t="s">
        <v>74</v>
      </c>
      <c r="AS176" t="s">
        <v>74</v>
      </c>
      <c r="AT176" t="s">
        <v>451</v>
      </c>
      <c r="AU176">
        <v>2004</v>
      </c>
      <c r="AV176">
        <v>35</v>
      </c>
      <c r="AW176">
        <v>3</v>
      </c>
      <c r="AX176" t="s">
        <v>74</v>
      </c>
      <c r="AY176" t="s">
        <v>74</v>
      </c>
      <c r="AZ176" t="s">
        <v>74</v>
      </c>
      <c r="BA176" t="s">
        <v>74</v>
      </c>
      <c r="BB176">
        <v>372</v>
      </c>
      <c r="BC176">
        <v>382</v>
      </c>
      <c r="BD176" t="s">
        <v>74</v>
      </c>
      <c r="BE176" t="s">
        <v>5916</v>
      </c>
      <c r="BF176" t="str">
        <f>HYPERLINK("http://dx.doi.org/10.1111/j.1749-7345.2004.tb00101.x","http://dx.doi.org/10.1111/j.1749-7345.2004.tb00101.x")</f>
        <v>http://dx.doi.org/10.1111/j.1749-7345.2004.tb00101.x</v>
      </c>
      <c r="BG176" t="s">
        <v>74</v>
      </c>
      <c r="BH176" t="s">
        <v>74</v>
      </c>
      <c r="BI176" t="s">
        <v>74</v>
      </c>
      <c r="BJ176" t="s">
        <v>74</v>
      </c>
      <c r="BK176" t="s">
        <v>74</v>
      </c>
      <c r="BL176" t="s">
        <v>74</v>
      </c>
      <c r="BM176" t="s">
        <v>74</v>
      </c>
      <c r="BN176" t="s">
        <v>74</v>
      </c>
      <c r="BO176" t="s">
        <v>74</v>
      </c>
      <c r="BP176" t="s">
        <v>74</v>
      </c>
      <c r="BQ176" t="s">
        <v>74</v>
      </c>
      <c r="BR176" t="s">
        <v>74</v>
      </c>
      <c r="BS176" t="s">
        <v>5917</v>
      </c>
      <c r="BT176" t="str">
        <f>HYPERLINK("https%3A%2F%2Fwww.webofscience.com%2Fwos%2Fwoscc%2Ffull-record%2FWOS:000223960100008","View Full Record in Web of Science")</f>
        <v>View Full Record in Web of Science</v>
      </c>
    </row>
    <row r="177" spans="1:72" x14ac:dyDescent="0.2">
      <c r="A177" t="s">
        <v>72</v>
      </c>
      <c r="B177" t="s">
        <v>5929</v>
      </c>
      <c r="C177" t="s">
        <v>74</v>
      </c>
      <c r="D177" t="s">
        <v>74</v>
      </c>
      <c r="E177" t="s">
        <v>74</v>
      </c>
      <c r="F177" t="s">
        <v>5929</v>
      </c>
      <c r="G177" t="s">
        <v>74</v>
      </c>
      <c r="H177" t="s">
        <v>74</v>
      </c>
      <c r="I177" t="s">
        <v>5930</v>
      </c>
      <c r="J177" t="s">
        <v>844</v>
      </c>
      <c r="K177" t="s">
        <v>74</v>
      </c>
      <c r="L177" t="s">
        <v>74</v>
      </c>
      <c r="M177" t="s">
        <v>74</v>
      </c>
      <c r="N177" t="s">
        <v>74</v>
      </c>
      <c r="O177" t="s">
        <v>74</v>
      </c>
      <c r="P177" t="s">
        <v>74</v>
      </c>
      <c r="Q177" t="s">
        <v>74</v>
      </c>
      <c r="R177" t="s">
        <v>74</v>
      </c>
      <c r="S177" t="s">
        <v>74</v>
      </c>
      <c r="T177" t="s">
        <v>74</v>
      </c>
      <c r="U177" t="s">
        <v>74</v>
      </c>
      <c r="V177" t="s">
        <v>74</v>
      </c>
      <c r="W177" t="s">
        <v>74</v>
      </c>
      <c r="X177" t="s">
        <v>74</v>
      </c>
      <c r="Y177" t="s">
        <v>74</v>
      </c>
      <c r="Z177" t="s">
        <v>74</v>
      </c>
      <c r="AA177" t="s">
        <v>5931</v>
      </c>
      <c r="AB177" t="s">
        <v>5932</v>
      </c>
      <c r="AC177" t="s">
        <v>74</v>
      </c>
      <c r="AD177" t="s">
        <v>74</v>
      </c>
      <c r="AE177" t="s">
        <v>74</v>
      </c>
      <c r="AF177" t="s">
        <v>74</v>
      </c>
      <c r="AG177" t="s">
        <v>74</v>
      </c>
      <c r="AH177" t="s">
        <v>74</v>
      </c>
      <c r="AI177" t="s">
        <v>74</v>
      </c>
      <c r="AJ177" t="s">
        <v>74</v>
      </c>
      <c r="AK177" t="s">
        <v>74</v>
      </c>
      <c r="AL177" t="s">
        <v>74</v>
      </c>
      <c r="AM177" t="s">
        <v>74</v>
      </c>
      <c r="AN177" t="s">
        <v>74</v>
      </c>
      <c r="AO177" t="s">
        <v>847</v>
      </c>
      <c r="AP177" t="s">
        <v>848</v>
      </c>
      <c r="AQ177" t="s">
        <v>74</v>
      </c>
      <c r="AR177" t="s">
        <v>74</v>
      </c>
      <c r="AS177" t="s">
        <v>74</v>
      </c>
      <c r="AT177" t="s">
        <v>569</v>
      </c>
      <c r="AU177">
        <v>2004</v>
      </c>
      <c r="AV177">
        <v>23</v>
      </c>
      <c r="AW177">
        <v>6</v>
      </c>
      <c r="AX177" t="s">
        <v>74</v>
      </c>
      <c r="AY177" t="s">
        <v>74</v>
      </c>
      <c r="AZ177" t="s">
        <v>74</v>
      </c>
      <c r="BA177" t="s">
        <v>74</v>
      </c>
      <c r="BB177">
        <v>1452</v>
      </c>
      <c r="BC177">
        <v>1462</v>
      </c>
      <c r="BD177" t="s">
        <v>74</v>
      </c>
      <c r="BE177" t="s">
        <v>5933</v>
      </c>
      <c r="BF177" t="str">
        <f>HYPERLINK("http://dx.doi.org/10.1897/03-250","http://dx.doi.org/10.1897/03-250")</f>
        <v>http://dx.doi.org/10.1897/03-250</v>
      </c>
      <c r="BG177" t="s">
        <v>74</v>
      </c>
      <c r="BH177" t="s">
        <v>74</v>
      </c>
      <c r="BI177" t="s">
        <v>74</v>
      </c>
      <c r="BJ177" t="s">
        <v>74</v>
      </c>
      <c r="BK177" t="s">
        <v>74</v>
      </c>
      <c r="BL177" t="s">
        <v>74</v>
      </c>
      <c r="BM177" t="s">
        <v>74</v>
      </c>
      <c r="BN177">
        <v>15376531</v>
      </c>
      <c r="BO177" t="s">
        <v>74</v>
      </c>
      <c r="BP177" t="s">
        <v>74</v>
      </c>
      <c r="BQ177" t="s">
        <v>74</v>
      </c>
      <c r="BR177" t="s">
        <v>74</v>
      </c>
      <c r="BS177" t="s">
        <v>5934</v>
      </c>
      <c r="BT177" t="str">
        <f>HYPERLINK("https%3A%2F%2Fwww.webofscience.com%2Fwos%2Fwoscc%2Ffull-record%2FWOS:000221825600012","View Full Record in Web of Science")</f>
        <v>View Full Record in Web of Science</v>
      </c>
    </row>
    <row r="178" spans="1:72" x14ac:dyDescent="0.2">
      <c r="A178" t="s">
        <v>72</v>
      </c>
      <c r="B178" t="s">
        <v>5954</v>
      </c>
      <c r="C178" t="s">
        <v>74</v>
      </c>
      <c r="D178" t="s">
        <v>74</v>
      </c>
      <c r="E178" t="s">
        <v>74</v>
      </c>
      <c r="F178" t="s">
        <v>5954</v>
      </c>
      <c r="G178" t="s">
        <v>74</v>
      </c>
      <c r="H178" t="s">
        <v>74</v>
      </c>
      <c r="I178" t="s">
        <v>5955</v>
      </c>
      <c r="J178" t="s">
        <v>106</v>
      </c>
      <c r="K178" t="s">
        <v>74</v>
      </c>
      <c r="L178" t="s">
        <v>74</v>
      </c>
      <c r="M178" t="s">
        <v>74</v>
      </c>
      <c r="N178" t="s">
        <v>74</v>
      </c>
      <c r="O178" t="s">
        <v>74</v>
      </c>
      <c r="P178" t="s">
        <v>74</v>
      </c>
      <c r="Q178" t="s">
        <v>74</v>
      </c>
      <c r="R178" t="s">
        <v>74</v>
      </c>
      <c r="S178" t="s">
        <v>74</v>
      </c>
      <c r="T178" t="s">
        <v>74</v>
      </c>
      <c r="U178" t="s">
        <v>74</v>
      </c>
      <c r="V178" t="s">
        <v>74</v>
      </c>
      <c r="W178" t="s">
        <v>74</v>
      </c>
      <c r="X178" t="s">
        <v>74</v>
      </c>
      <c r="Y178" t="s">
        <v>74</v>
      </c>
      <c r="Z178" t="s">
        <v>74</v>
      </c>
      <c r="AA178" t="s">
        <v>5956</v>
      </c>
      <c r="AB178" t="s">
        <v>5957</v>
      </c>
      <c r="AC178" t="s">
        <v>74</v>
      </c>
      <c r="AD178" t="s">
        <v>74</v>
      </c>
      <c r="AE178" t="s">
        <v>74</v>
      </c>
      <c r="AF178" t="s">
        <v>74</v>
      </c>
      <c r="AG178" t="s">
        <v>74</v>
      </c>
      <c r="AH178" t="s">
        <v>74</v>
      </c>
      <c r="AI178" t="s">
        <v>74</v>
      </c>
      <c r="AJ178" t="s">
        <v>74</v>
      </c>
      <c r="AK178" t="s">
        <v>74</v>
      </c>
      <c r="AL178" t="s">
        <v>74</v>
      </c>
      <c r="AM178" t="s">
        <v>74</v>
      </c>
      <c r="AN178" t="s">
        <v>74</v>
      </c>
      <c r="AO178" t="s">
        <v>107</v>
      </c>
      <c r="AP178" t="s">
        <v>108</v>
      </c>
      <c r="AQ178" t="s">
        <v>74</v>
      </c>
      <c r="AR178" t="s">
        <v>74</v>
      </c>
      <c r="AS178" t="s">
        <v>74</v>
      </c>
      <c r="AT178" t="s">
        <v>575</v>
      </c>
      <c r="AU178">
        <v>2004</v>
      </c>
      <c r="AV178">
        <v>26</v>
      </c>
      <c r="AW178">
        <v>5</v>
      </c>
      <c r="AX178" t="s">
        <v>74</v>
      </c>
      <c r="AY178" t="s">
        <v>74</v>
      </c>
      <c r="AZ178" t="s">
        <v>74</v>
      </c>
      <c r="BA178" t="s">
        <v>74</v>
      </c>
      <c r="BB178">
        <v>563</v>
      </c>
      <c r="BC178">
        <v>569</v>
      </c>
      <c r="BD178" t="s">
        <v>74</v>
      </c>
      <c r="BE178" t="s">
        <v>5958</v>
      </c>
      <c r="BF178" t="str">
        <f>HYPERLINK("http://dx.doi.org/10.1093/plankt/fbh053","http://dx.doi.org/10.1093/plankt/fbh053")</f>
        <v>http://dx.doi.org/10.1093/plankt/fbh053</v>
      </c>
      <c r="BG178" t="s">
        <v>74</v>
      </c>
      <c r="BH178" t="s">
        <v>74</v>
      </c>
      <c r="BI178" t="s">
        <v>74</v>
      </c>
      <c r="BJ178" t="s">
        <v>74</v>
      </c>
      <c r="BK178" t="s">
        <v>74</v>
      </c>
      <c r="BL178" t="s">
        <v>74</v>
      </c>
      <c r="BM178" t="s">
        <v>74</v>
      </c>
      <c r="BN178" t="s">
        <v>74</v>
      </c>
      <c r="BO178" t="s">
        <v>74</v>
      </c>
      <c r="BP178" t="s">
        <v>74</v>
      </c>
      <c r="BQ178" t="s">
        <v>74</v>
      </c>
      <c r="BR178" t="s">
        <v>74</v>
      </c>
      <c r="BS178" t="s">
        <v>5959</v>
      </c>
      <c r="BT178" t="str">
        <f>HYPERLINK("https%3A%2F%2Fwww.webofscience.com%2Fwos%2Fwoscc%2Ffull-record%2FWOS:000221296000006","View Full Record in Web of Science")</f>
        <v>View Full Record in Web of Science</v>
      </c>
    </row>
    <row r="179" spans="1:72" x14ac:dyDescent="0.2">
      <c r="A179" t="s">
        <v>72</v>
      </c>
      <c r="B179" t="s">
        <v>6040</v>
      </c>
      <c r="C179" t="s">
        <v>74</v>
      </c>
      <c r="D179" t="s">
        <v>74</v>
      </c>
      <c r="E179" t="s">
        <v>74</v>
      </c>
      <c r="F179" t="s">
        <v>6040</v>
      </c>
      <c r="G179" t="s">
        <v>74</v>
      </c>
      <c r="H179" t="s">
        <v>74</v>
      </c>
      <c r="I179" t="s">
        <v>6041</v>
      </c>
      <c r="J179" t="s">
        <v>934</v>
      </c>
      <c r="K179" t="s">
        <v>74</v>
      </c>
      <c r="L179" t="s">
        <v>74</v>
      </c>
      <c r="M179" t="s">
        <v>74</v>
      </c>
      <c r="N179" t="s">
        <v>74</v>
      </c>
      <c r="O179" t="s">
        <v>74</v>
      </c>
      <c r="P179" t="s">
        <v>74</v>
      </c>
      <c r="Q179" t="s">
        <v>74</v>
      </c>
      <c r="R179" t="s">
        <v>74</v>
      </c>
      <c r="S179" t="s">
        <v>74</v>
      </c>
      <c r="T179" t="s">
        <v>74</v>
      </c>
      <c r="U179" t="s">
        <v>74</v>
      </c>
      <c r="V179" t="s">
        <v>74</v>
      </c>
      <c r="W179" t="s">
        <v>74</v>
      </c>
      <c r="X179" t="s">
        <v>74</v>
      </c>
      <c r="Y179" t="s">
        <v>74</v>
      </c>
      <c r="Z179" t="s">
        <v>74</v>
      </c>
      <c r="AA179" t="s">
        <v>6042</v>
      </c>
      <c r="AB179" t="s">
        <v>6043</v>
      </c>
      <c r="AC179" t="s">
        <v>74</v>
      </c>
      <c r="AD179" t="s">
        <v>74</v>
      </c>
      <c r="AE179" t="s">
        <v>74</v>
      </c>
      <c r="AF179" t="s">
        <v>74</v>
      </c>
      <c r="AG179" t="s">
        <v>74</v>
      </c>
      <c r="AH179" t="s">
        <v>74</v>
      </c>
      <c r="AI179" t="s">
        <v>74</v>
      </c>
      <c r="AJ179" t="s">
        <v>74</v>
      </c>
      <c r="AK179" t="s">
        <v>74</v>
      </c>
      <c r="AL179" t="s">
        <v>74</v>
      </c>
      <c r="AM179" t="s">
        <v>74</v>
      </c>
      <c r="AN179" t="s">
        <v>74</v>
      </c>
      <c r="AO179" t="s">
        <v>936</v>
      </c>
      <c r="AP179" t="s">
        <v>937</v>
      </c>
      <c r="AQ179" t="s">
        <v>74</v>
      </c>
      <c r="AR179" t="s">
        <v>74</v>
      </c>
      <c r="AS179" t="s">
        <v>74</v>
      </c>
      <c r="AT179" t="s">
        <v>203</v>
      </c>
      <c r="AU179">
        <v>2003</v>
      </c>
      <c r="AV179">
        <v>62</v>
      </c>
      <c r="AW179">
        <v>4</v>
      </c>
      <c r="AX179" t="s">
        <v>74</v>
      </c>
      <c r="AY179" t="s">
        <v>74</v>
      </c>
      <c r="AZ179" t="s">
        <v>74</v>
      </c>
      <c r="BA179" t="s">
        <v>74</v>
      </c>
      <c r="BB179">
        <v>938</v>
      </c>
      <c r="BC179">
        <v>954</v>
      </c>
      <c r="BD179" t="s">
        <v>74</v>
      </c>
      <c r="BE179" t="s">
        <v>6044</v>
      </c>
      <c r="BF179" t="str">
        <f>HYPERLINK("http://dx.doi.org/10.1046/j.1095-8649.2003.00090.x","http://dx.doi.org/10.1046/j.1095-8649.2003.00090.x")</f>
        <v>http://dx.doi.org/10.1046/j.1095-8649.2003.00090.x</v>
      </c>
      <c r="BG179" t="s">
        <v>74</v>
      </c>
      <c r="BH179" t="s">
        <v>74</v>
      </c>
      <c r="BI179" t="s">
        <v>74</v>
      </c>
      <c r="BJ179" t="s">
        <v>74</v>
      </c>
      <c r="BK179" t="s">
        <v>74</v>
      </c>
      <c r="BL179" t="s">
        <v>74</v>
      </c>
      <c r="BM179" t="s">
        <v>74</v>
      </c>
      <c r="BN179" t="s">
        <v>74</v>
      </c>
      <c r="BO179" t="s">
        <v>74</v>
      </c>
      <c r="BP179" t="s">
        <v>74</v>
      </c>
      <c r="BQ179" t="s">
        <v>74</v>
      </c>
      <c r="BR179" t="s">
        <v>74</v>
      </c>
      <c r="BS179" t="s">
        <v>6045</v>
      </c>
      <c r="BT179" t="str">
        <f>HYPERLINK("https%3A%2F%2Fwww.webofscience.com%2Fwos%2Fwoscc%2Ffull-record%2FWOS:000185632100016","View Full Record in Web of Science")</f>
        <v>View Full Record in Web of Science</v>
      </c>
    </row>
    <row r="180" spans="1:72" x14ac:dyDescent="0.2">
      <c r="A180" t="s">
        <v>72</v>
      </c>
      <c r="B180" t="s">
        <v>6094</v>
      </c>
      <c r="C180" t="s">
        <v>74</v>
      </c>
      <c r="D180" t="s">
        <v>74</v>
      </c>
      <c r="E180" t="s">
        <v>74</v>
      </c>
      <c r="F180" t="s">
        <v>6094</v>
      </c>
      <c r="G180" t="s">
        <v>74</v>
      </c>
      <c r="H180" t="s">
        <v>74</v>
      </c>
      <c r="I180" t="s">
        <v>6095</v>
      </c>
      <c r="J180" t="s">
        <v>227</v>
      </c>
      <c r="K180" t="s">
        <v>74</v>
      </c>
      <c r="L180" t="s">
        <v>74</v>
      </c>
      <c r="M180" t="s">
        <v>74</v>
      </c>
      <c r="N180" t="s">
        <v>74</v>
      </c>
      <c r="O180" t="s">
        <v>74</v>
      </c>
      <c r="P180" t="s">
        <v>74</v>
      </c>
      <c r="Q180" t="s">
        <v>74</v>
      </c>
      <c r="R180" t="s">
        <v>74</v>
      </c>
      <c r="S180" t="s">
        <v>74</v>
      </c>
      <c r="T180" t="s">
        <v>74</v>
      </c>
      <c r="U180" t="s">
        <v>74</v>
      </c>
      <c r="V180" t="s">
        <v>74</v>
      </c>
      <c r="W180" t="s">
        <v>74</v>
      </c>
      <c r="X180" t="s">
        <v>74</v>
      </c>
      <c r="Y180" t="s">
        <v>74</v>
      </c>
      <c r="Z180" t="s">
        <v>74</v>
      </c>
      <c r="AA180" t="s">
        <v>78</v>
      </c>
      <c r="AB180" t="s">
        <v>6096</v>
      </c>
      <c r="AC180" t="s">
        <v>74</v>
      </c>
      <c r="AD180" t="s">
        <v>74</v>
      </c>
      <c r="AE180" t="s">
        <v>74</v>
      </c>
      <c r="AF180" t="s">
        <v>74</v>
      </c>
      <c r="AG180" t="s">
        <v>74</v>
      </c>
      <c r="AH180" t="s">
        <v>74</v>
      </c>
      <c r="AI180" t="s">
        <v>74</v>
      </c>
      <c r="AJ180" t="s">
        <v>74</v>
      </c>
      <c r="AK180" t="s">
        <v>74</v>
      </c>
      <c r="AL180" t="s">
        <v>74</v>
      </c>
      <c r="AM180" t="s">
        <v>74</v>
      </c>
      <c r="AN180" t="s">
        <v>74</v>
      </c>
      <c r="AO180" t="s">
        <v>230</v>
      </c>
      <c r="AP180" t="s">
        <v>231</v>
      </c>
      <c r="AQ180" t="s">
        <v>74</v>
      </c>
      <c r="AR180" t="s">
        <v>74</v>
      </c>
      <c r="AS180" t="s">
        <v>74</v>
      </c>
      <c r="AT180" t="s">
        <v>451</v>
      </c>
      <c r="AU180">
        <v>2002</v>
      </c>
      <c r="AV180">
        <v>47</v>
      </c>
      <c r="AW180">
        <v>5</v>
      </c>
      <c r="AX180" t="s">
        <v>74</v>
      </c>
      <c r="AY180" t="s">
        <v>74</v>
      </c>
      <c r="AZ180" t="s">
        <v>74</v>
      </c>
      <c r="BA180" t="s">
        <v>74</v>
      </c>
      <c r="BB180">
        <v>1447</v>
      </c>
      <c r="BC180">
        <v>1455</v>
      </c>
      <c r="BD180" t="s">
        <v>74</v>
      </c>
      <c r="BE180" t="s">
        <v>6097</v>
      </c>
      <c r="BF180" t="str">
        <f>HYPERLINK("http://dx.doi.org/10.4319/lo.2002.47.5.1447","http://dx.doi.org/10.4319/lo.2002.47.5.1447")</f>
        <v>http://dx.doi.org/10.4319/lo.2002.47.5.1447</v>
      </c>
      <c r="BG180" t="s">
        <v>74</v>
      </c>
      <c r="BH180" t="s">
        <v>74</v>
      </c>
      <c r="BI180" t="s">
        <v>74</v>
      </c>
      <c r="BJ180" t="s">
        <v>74</v>
      </c>
      <c r="BK180" t="s">
        <v>74</v>
      </c>
      <c r="BL180" t="s">
        <v>74</v>
      </c>
      <c r="BM180" t="s">
        <v>74</v>
      </c>
      <c r="BN180" t="s">
        <v>74</v>
      </c>
      <c r="BO180" t="s">
        <v>74</v>
      </c>
      <c r="BP180" t="s">
        <v>74</v>
      </c>
      <c r="BQ180" t="s">
        <v>74</v>
      </c>
      <c r="BR180" t="s">
        <v>74</v>
      </c>
      <c r="BS180" t="s">
        <v>6098</v>
      </c>
      <c r="BT180" t="str">
        <f>HYPERLINK("https%3A%2F%2Fwww.webofscience.com%2Fwos%2Fwoscc%2Ffull-record%2FWOS:000178081800016","View Full Record in Web of Science")</f>
        <v>View Full Record in Web of Science</v>
      </c>
    </row>
    <row r="181" spans="1:72" x14ac:dyDescent="0.2">
      <c r="A181" t="s">
        <v>72</v>
      </c>
      <c r="B181" t="s">
        <v>6128</v>
      </c>
      <c r="C181" t="s">
        <v>74</v>
      </c>
      <c r="D181" t="s">
        <v>74</v>
      </c>
      <c r="E181" t="s">
        <v>74</v>
      </c>
      <c r="F181" t="s">
        <v>6128</v>
      </c>
      <c r="G181" t="s">
        <v>74</v>
      </c>
      <c r="H181" t="s">
        <v>74</v>
      </c>
      <c r="I181" t="s">
        <v>6129</v>
      </c>
      <c r="J181" t="s">
        <v>6130</v>
      </c>
      <c r="K181" t="s">
        <v>74</v>
      </c>
      <c r="L181" t="s">
        <v>74</v>
      </c>
      <c r="M181" t="s">
        <v>74</v>
      </c>
      <c r="N181" t="s">
        <v>74</v>
      </c>
      <c r="O181" t="s">
        <v>6131</v>
      </c>
      <c r="P181" t="s">
        <v>6132</v>
      </c>
      <c r="Q181" t="s">
        <v>6133</v>
      </c>
      <c r="R181" t="s">
        <v>74</v>
      </c>
      <c r="S181" t="s">
        <v>74</v>
      </c>
      <c r="T181" t="s">
        <v>74</v>
      </c>
      <c r="U181" t="s">
        <v>74</v>
      </c>
      <c r="V181" t="s">
        <v>74</v>
      </c>
      <c r="W181" t="s">
        <v>74</v>
      </c>
      <c r="X181" t="s">
        <v>74</v>
      </c>
      <c r="Y181" t="s">
        <v>74</v>
      </c>
      <c r="Z181" t="s">
        <v>74</v>
      </c>
      <c r="AA181" t="s">
        <v>6134</v>
      </c>
      <c r="AB181" t="s">
        <v>6135</v>
      </c>
      <c r="AC181" t="s">
        <v>74</v>
      </c>
      <c r="AD181" t="s">
        <v>74</v>
      </c>
      <c r="AE181" t="s">
        <v>74</v>
      </c>
      <c r="AF181" t="s">
        <v>74</v>
      </c>
      <c r="AG181" t="s">
        <v>74</v>
      </c>
      <c r="AH181" t="s">
        <v>74</v>
      </c>
      <c r="AI181" t="s">
        <v>74</v>
      </c>
      <c r="AJ181" t="s">
        <v>74</v>
      </c>
      <c r="AK181" t="s">
        <v>74</v>
      </c>
      <c r="AL181" t="s">
        <v>74</v>
      </c>
      <c r="AM181" t="s">
        <v>74</v>
      </c>
      <c r="AN181" t="s">
        <v>74</v>
      </c>
      <c r="AO181" t="s">
        <v>6136</v>
      </c>
      <c r="AP181" t="s">
        <v>74</v>
      </c>
      <c r="AQ181" t="s">
        <v>74</v>
      </c>
      <c r="AR181" t="s">
        <v>74</v>
      </c>
      <c r="AS181" t="s">
        <v>74</v>
      </c>
      <c r="AT181" t="s">
        <v>4535</v>
      </c>
      <c r="AU181">
        <v>2001</v>
      </c>
      <c r="AV181">
        <v>56</v>
      </c>
      <c r="AW181">
        <v>11</v>
      </c>
      <c r="AX181" t="s">
        <v>74</v>
      </c>
      <c r="AY181" t="s">
        <v>74</v>
      </c>
      <c r="AZ181" t="s">
        <v>632</v>
      </c>
      <c r="BA181" t="s">
        <v>74</v>
      </c>
      <c r="BB181">
        <v>2209</v>
      </c>
      <c r="BC181">
        <v>2217</v>
      </c>
      <c r="BD181" t="s">
        <v>74</v>
      </c>
      <c r="BE181" t="s">
        <v>6137</v>
      </c>
      <c r="BF181" t="str">
        <f>HYPERLINK("http://dx.doi.org/10.1016/S0584-8547(01)00325-1","http://dx.doi.org/10.1016/S0584-8547(01)00325-1")</f>
        <v>http://dx.doi.org/10.1016/S0584-8547(01)00325-1</v>
      </c>
      <c r="BG181" t="s">
        <v>74</v>
      </c>
      <c r="BH181" t="s">
        <v>74</v>
      </c>
      <c r="BI181" t="s">
        <v>74</v>
      </c>
      <c r="BJ181" t="s">
        <v>74</v>
      </c>
      <c r="BK181" t="s">
        <v>74</v>
      </c>
      <c r="BL181" t="s">
        <v>74</v>
      </c>
      <c r="BM181" t="s">
        <v>74</v>
      </c>
      <c r="BN181" t="s">
        <v>74</v>
      </c>
      <c r="BO181" t="s">
        <v>74</v>
      </c>
      <c r="BP181" t="s">
        <v>74</v>
      </c>
      <c r="BQ181" t="s">
        <v>74</v>
      </c>
      <c r="BR181" t="s">
        <v>74</v>
      </c>
      <c r="BS181" t="s">
        <v>6138</v>
      </c>
      <c r="BT181" t="str">
        <f>HYPERLINK("https%3A%2F%2Fwww.webofscience.com%2Fwos%2Fwoscc%2Ffull-record%2FWOS:000172711200025","View Full Record in Web of Science")</f>
        <v>View Full Record in Web of Science</v>
      </c>
    </row>
    <row r="182" spans="1:72" x14ac:dyDescent="0.2">
      <c r="A182" t="s">
        <v>72</v>
      </c>
      <c r="B182" t="s">
        <v>6159</v>
      </c>
      <c r="C182" t="s">
        <v>74</v>
      </c>
      <c r="D182" t="s">
        <v>74</v>
      </c>
      <c r="E182" t="s">
        <v>74</v>
      </c>
      <c r="F182" t="s">
        <v>6159</v>
      </c>
      <c r="G182" t="s">
        <v>74</v>
      </c>
      <c r="H182" t="s">
        <v>74</v>
      </c>
      <c r="I182" t="s">
        <v>6160</v>
      </c>
      <c r="J182" t="s">
        <v>2769</v>
      </c>
      <c r="K182" t="s">
        <v>74</v>
      </c>
      <c r="L182" t="s">
        <v>74</v>
      </c>
      <c r="M182" t="s">
        <v>74</v>
      </c>
      <c r="N182" t="s">
        <v>74</v>
      </c>
      <c r="O182" t="s">
        <v>74</v>
      </c>
      <c r="P182" t="s">
        <v>74</v>
      </c>
      <c r="Q182" t="s">
        <v>74</v>
      </c>
      <c r="R182" t="s">
        <v>74</v>
      </c>
      <c r="S182" t="s">
        <v>74</v>
      </c>
      <c r="T182" t="s">
        <v>74</v>
      </c>
      <c r="U182" t="s">
        <v>74</v>
      </c>
      <c r="V182" t="s">
        <v>74</v>
      </c>
      <c r="W182" t="s">
        <v>74</v>
      </c>
      <c r="X182" t="s">
        <v>74</v>
      </c>
      <c r="Y182" t="s">
        <v>74</v>
      </c>
      <c r="Z182" t="s">
        <v>74</v>
      </c>
      <c r="AA182" t="s">
        <v>3396</v>
      </c>
      <c r="AB182" t="s">
        <v>6161</v>
      </c>
      <c r="AC182" t="s">
        <v>74</v>
      </c>
      <c r="AD182" t="s">
        <v>74</v>
      </c>
      <c r="AE182" t="s">
        <v>74</v>
      </c>
      <c r="AF182" t="s">
        <v>74</v>
      </c>
      <c r="AG182" t="s">
        <v>74</v>
      </c>
      <c r="AH182" t="s">
        <v>74</v>
      </c>
      <c r="AI182" t="s">
        <v>74</v>
      </c>
      <c r="AJ182" t="s">
        <v>74</v>
      </c>
      <c r="AK182" t="s">
        <v>74</v>
      </c>
      <c r="AL182" t="s">
        <v>74</v>
      </c>
      <c r="AM182" t="s">
        <v>74</v>
      </c>
      <c r="AN182" t="s">
        <v>74</v>
      </c>
      <c r="AO182" t="s">
        <v>2772</v>
      </c>
      <c r="AP182" t="s">
        <v>2773</v>
      </c>
      <c r="AQ182" t="s">
        <v>74</v>
      </c>
      <c r="AR182" t="s">
        <v>74</v>
      </c>
      <c r="AS182" t="s">
        <v>74</v>
      </c>
      <c r="AT182" t="s">
        <v>6162</v>
      </c>
      <c r="AU182">
        <v>2001</v>
      </c>
      <c r="AV182">
        <v>25</v>
      </c>
      <c r="AW182">
        <v>1</v>
      </c>
      <c r="AX182" t="s">
        <v>74</v>
      </c>
      <c r="AY182" t="s">
        <v>74</v>
      </c>
      <c r="AZ182" t="s">
        <v>74</v>
      </c>
      <c r="BA182" t="s">
        <v>74</v>
      </c>
      <c r="BB182">
        <v>55</v>
      </c>
      <c r="BC182">
        <v>63</v>
      </c>
      <c r="BD182" t="s">
        <v>74</v>
      </c>
      <c r="BE182" t="s">
        <v>6163</v>
      </c>
      <c r="BF182" t="str">
        <f>HYPERLINK("http://dx.doi.org/10.3354/ame025055","http://dx.doi.org/10.3354/ame025055")</f>
        <v>http://dx.doi.org/10.3354/ame025055</v>
      </c>
      <c r="BG182" t="s">
        <v>74</v>
      </c>
      <c r="BH182" t="s">
        <v>74</v>
      </c>
      <c r="BI182" t="s">
        <v>74</v>
      </c>
      <c r="BJ182" t="s">
        <v>74</v>
      </c>
      <c r="BK182" t="s">
        <v>74</v>
      </c>
      <c r="BL182" t="s">
        <v>74</v>
      </c>
      <c r="BM182" t="s">
        <v>74</v>
      </c>
      <c r="BN182" t="s">
        <v>74</v>
      </c>
      <c r="BO182" t="s">
        <v>74</v>
      </c>
      <c r="BP182" t="s">
        <v>74</v>
      </c>
      <c r="BQ182" t="s">
        <v>74</v>
      </c>
      <c r="BR182" t="s">
        <v>74</v>
      </c>
      <c r="BS182" t="s">
        <v>6164</v>
      </c>
      <c r="BT182" t="str">
        <f>HYPERLINK("https%3A%2F%2Fwww.webofscience.com%2Fwos%2Fwoscc%2Ffull-record%2FWOS:000170816500006","View Full Record in Web of Science")</f>
        <v>View Full Record in Web of Science</v>
      </c>
    </row>
    <row r="183" spans="1:72" x14ac:dyDescent="0.2">
      <c r="A183" t="s">
        <v>72</v>
      </c>
      <c r="B183" t="s">
        <v>6165</v>
      </c>
      <c r="C183" t="s">
        <v>74</v>
      </c>
      <c r="D183" t="s">
        <v>74</v>
      </c>
      <c r="E183" t="s">
        <v>74</v>
      </c>
      <c r="F183" t="s">
        <v>6165</v>
      </c>
      <c r="G183" t="s">
        <v>74</v>
      </c>
      <c r="H183" t="s">
        <v>74</v>
      </c>
      <c r="I183" t="s">
        <v>6166</v>
      </c>
      <c r="J183" t="s">
        <v>6167</v>
      </c>
      <c r="K183" t="s">
        <v>74</v>
      </c>
      <c r="L183" t="s">
        <v>74</v>
      </c>
      <c r="M183" t="s">
        <v>74</v>
      </c>
      <c r="N183" t="s">
        <v>74</v>
      </c>
      <c r="O183" t="s">
        <v>74</v>
      </c>
      <c r="P183" t="s">
        <v>74</v>
      </c>
      <c r="Q183" t="s">
        <v>74</v>
      </c>
      <c r="R183" t="s">
        <v>74</v>
      </c>
      <c r="S183" t="s">
        <v>74</v>
      </c>
      <c r="T183" t="s">
        <v>74</v>
      </c>
      <c r="U183" t="s">
        <v>74</v>
      </c>
      <c r="V183" t="s">
        <v>74</v>
      </c>
      <c r="W183" t="s">
        <v>74</v>
      </c>
      <c r="X183" t="s">
        <v>74</v>
      </c>
      <c r="Y183" t="s">
        <v>74</v>
      </c>
      <c r="Z183" t="s">
        <v>74</v>
      </c>
      <c r="AA183" t="s">
        <v>74</v>
      </c>
      <c r="AB183" t="s">
        <v>74</v>
      </c>
      <c r="AC183" t="s">
        <v>74</v>
      </c>
      <c r="AD183" t="s">
        <v>74</v>
      </c>
      <c r="AE183" t="s">
        <v>74</v>
      </c>
      <c r="AF183" t="s">
        <v>74</v>
      </c>
      <c r="AG183" t="s">
        <v>74</v>
      </c>
      <c r="AH183" t="s">
        <v>74</v>
      </c>
      <c r="AI183" t="s">
        <v>74</v>
      </c>
      <c r="AJ183" t="s">
        <v>74</v>
      </c>
      <c r="AK183" t="s">
        <v>74</v>
      </c>
      <c r="AL183" t="s">
        <v>74</v>
      </c>
      <c r="AM183" t="s">
        <v>74</v>
      </c>
      <c r="AN183" t="s">
        <v>74</v>
      </c>
      <c r="AO183" t="s">
        <v>6168</v>
      </c>
      <c r="AP183" t="s">
        <v>6169</v>
      </c>
      <c r="AQ183" t="s">
        <v>74</v>
      </c>
      <c r="AR183" t="s">
        <v>74</v>
      </c>
      <c r="AS183" t="s">
        <v>74</v>
      </c>
      <c r="AT183" t="s">
        <v>203</v>
      </c>
      <c r="AU183">
        <v>2001</v>
      </c>
      <c r="AV183">
        <v>22</v>
      </c>
      <c r="AW183">
        <v>4</v>
      </c>
      <c r="AX183" t="s">
        <v>74</v>
      </c>
      <c r="AY183" t="s">
        <v>74</v>
      </c>
      <c r="AZ183" t="s">
        <v>74</v>
      </c>
      <c r="BA183" t="s">
        <v>74</v>
      </c>
      <c r="BB183">
        <v>429</v>
      </c>
      <c r="BC183">
        <v>438</v>
      </c>
      <c r="BD183" t="s">
        <v>74</v>
      </c>
      <c r="BE183" t="s">
        <v>6170</v>
      </c>
      <c r="BF183" t="str">
        <f>HYPERLINK("http://dx.doi.org/10.1080/09593332208618267","http://dx.doi.org/10.1080/09593332208618267")</f>
        <v>http://dx.doi.org/10.1080/09593332208618267</v>
      </c>
      <c r="BG183" t="s">
        <v>74</v>
      </c>
      <c r="BH183" t="s">
        <v>74</v>
      </c>
      <c r="BI183" t="s">
        <v>74</v>
      </c>
      <c r="BJ183" t="s">
        <v>74</v>
      </c>
      <c r="BK183" t="s">
        <v>74</v>
      </c>
      <c r="BL183" t="s">
        <v>74</v>
      </c>
      <c r="BM183" t="s">
        <v>74</v>
      </c>
      <c r="BN183">
        <v>11329805</v>
      </c>
      <c r="BO183" t="s">
        <v>74</v>
      </c>
      <c r="BP183" t="s">
        <v>74</v>
      </c>
      <c r="BQ183" t="s">
        <v>74</v>
      </c>
      <c r="BR183" t="s">
        <v>74</v>
      </c>
      <c r="BS183" t="s">
        <v>6171</v>
      </c>
      <c r="BT183" t="str">
        <f>HYPERLINK("https%3A%2F%2Fwww.webofscience.com%2Fwos%2Fwoscc%2Ffull-record%2FWOS:000168506200007","View Full Record in Web of Science")</f>
        <v>View Full Record in Web of Science</v>
      </c>
    </row>
    <row r="184" spans="1:72" x14ac:dyDescent="0.2">
      <c r="A184" t="s">
        <v>72</v>
      </c>
      <c r="B184" t="s">
        <v>6190</v>
      </c>
      <c r="C184" t="s">
        <v>74</v>
      </c>
      <c r="D184" t="s">
        <v>74</v>
      </c>
      <c r="E184" t="s">
        <v>74</v>
      </c>
      <c r="F184" t="s">
        <v>6190</v>
      </c>
      <c r="G184" t="s">
        <v>74</v>
      </c>
      <c r="H184" t="s">
        <v>74</v>
      </c>
      <c r="I184" t="s">
        <v>6191</v>
      </c>
      <c r="J184" t="s">
        <v>124</v>
      </c>
      <c r="K184" t="s">
        <v>74</v>
      </c>
      <c r="L184" t="s">
        <v>74</v>
      </c>
      <c r="M184" t="s">
        <v>74</v>
      </c>
      <c r="N184" t="s">
        <v>74</v>
      </c>
      <c r="O184" t="s">
        <v>74</v>
      </c>
      <c r="P184" t="s">
        <v>74</v>
      </c>
      <c r="Q184" t="s">
        <v>74</v>
      </c>
      <c r="R184" t="s">
        <v>74</v>
      </c>
      <c r="S184" t="s">
        <v>74</v>
      </c>
      <c r="T184" t="s">
        <v>74</v>
      </c>
      <c r="U184" t="s">
        <v>74</v>
      </c>
      <c r="V184" t="s">
        <v>74</v>
      </c>
      <c r="W184" t="s">
        <v>74</v>
      </c>
      <c r="X184" t="s">
        <v>74</v>
      </c>
      <c r="Y184" t="s">
        <v>74</v>
      </c>
      <c r="Z184" t="s">
        <v>74</v>
      </c>
      <c r="AA184" t="s">
        <v>74</v>
      </c>
      <c r="AB184" t="s">
        <v>6003</v>
      </c>
      <c r="AC184" t="s">
        <v>74</v>
      </c>
      <c r="AD184" t="s">
        <v>74</v>
      </c>
      <c r="AE184" t="s">
        <v>74</v>
      </c>
      <c r="AF184" t="s">
        <v>74</v>
      </c>
      <c r="AG184" t="s">
        <v>74</v>
      </c>
      <c r="AH184" t="s">
        <v>74</v>
      </c>
      <c r="AI184" t="s">
        <v>74</v>
      </c>
      <c r="AJ184" t="s">
        <v>74</v>
      </c>
      <c r="AK184" t="s">
        <v>74</v>
      </c>
      <c r="AL184" t="s">
        <v>74</v>
      </c>
      <c r="AM184" t="s">
        <v>74</v>
      </c>
      <c r="AN184" t="s">
        <v>74</v>
      </c>
      <c r="AO184" t="s">
        <v>127</v>
      </c>
      <c r="AP184" t="s">
        <v>128</v>
      </c>
      <c r="AQ184" t="s">
        <v>74</v>
      </c>
      <c r="AR184" t="s">
        <v>74</v>
      </c>
      <c r="AS184" t="s">
        <v>74</v>
      </c>
      <c r="AT184" t="s">
        <v>335</v>
      </c>
      <c r="AU184">
        <v>2000</v>
      </c>
      <c r="AV184">
        <v>438</v>
      </c>
      <c r="AW184" t="s">
        <v>5469</v>
      </c>
      <c r="AX184" t="s">
        <v>74</v>
      </c>
      <c r="AY184" t="s">
        <v>74</v>
      </c>
      <c r="AZ184" t="s">
        <v>74</v>
      </c>
      <c r="BA184" t="s">
        <v>74</v>
      </c>
      <c r="BB184">
        <v>75</v>
      </c>
      <c r="BC184">
        <v>90</v>
      </c>
      <c r="BD184" t="s">
        <v>74</v>
      </c>
      <c r="BE184" t="s">
        <v>6192</v>
      </c>
      <c r="BF184" t="str">
        <f>HYPERLINK("http://dx.doi.org/10.1023/A:1004161928957","http://dx.doi.org/10.1023/A:1004161928957")</f>
        <v>http://dx.doi.org/10.1023/A:1004161928957</v>
      </c>
      <c r="BG184" t="s">
        <v>74</v>
      </c>
      <c r="BH184" t="s">
        <v>74</v>
      </c>
      <c r="BI184" t="s">
        <v>74</v>
      </c>
      <c r="BJ184" t="s">
        <v>74</v>
      </c>
      <c r="BK184" t="s">
        <v>74</v>
      </c>
      <c r="BL184" t="s">
        <v>74</v>
      </c>
      <c r="BM184" t="s">
        <v>74</v>
      </c>
      <c r="BN184" t="s">
        <v>74</v>
      </c>
      <c r="BO184" t="s">
        <v>74</v>
      </c>
      <c r="BP184" t="s">
        <v>74</v>
      </c>
      <c r="BQ184" t="s">
        <v>74</v>
      </c>
      <c r="BR184" t="s">
        <v>74</v>
      </c>
      <c r="BS184" t="s">
        <v>6193</v>
      </c>
      <c r="BT184" t="str">
        <f>HYPERLINK("https%3A%2F%2Fwww.webofscience.com%2Fwos%2Fwoscc%2Ffull-record%2FWOS:000166048100006","View Full Record in Web of Science")</f>
        <v>View Full Record in Web of Science</v>
      </c>
    </row>
    <row r="185" spans="1:72" x14ac:dyDescent="0.2">
      <c r="A185" t="s">
        <v>72</v>
      </c>
      <c r="B185" t="s">
        <v>6211</v>
      </c>
      <c r="C185" t="s">
        <v>74</v>
      </c>
      <c r="D185" t="s">
        <v>74</v>
      </c>
      <c r="E185" t="s">
        <v>74</v>
      </c>
      <c r="F185" t="s">
        <v>6211</v>
      </c>
      <c r="G185" t="s">
        <v>74</v>
      </c>
      <c r="H185" t="s">
        <v>74</v>
      </c>
      <c r="I185" t="s">
        <v>6212</v>
      </c>
      <c r="J185" t="s">
        <v>1523</v>
      </c>
      <c r="K185" t="s">
        <v>74</v>
      </c>
      <c r="L185" t="s">
        <v>74</v>
      </c>
      <c r="M185" t="s">
        <v>74</v>
      </c>
      <c r="N185" t="s">
        <v>74</v>
      </c>
      <c r="O185" t="s">
        <v>74</v>
      </c>
      <c r="P185" t="s">
        <v>74</v>
      </c>
      <c r="Q185" t="s">
        <v>74</v>
      </c>
      <c r="R185" t="s">
        <v>74</v>
      </c>
      <c r="S185" t="s">
        <v>74</v>
      </c>
      <c r="T185" t="s">
        <v>74</v>
      </c>
      <c r="U185" t="s">
        <v>74</v>
      </c>
      <c r="V185" t="s">
        <v>74</v>
      </c>
      <c r="W185" t="s">
        <v>74</v>
      </c>
      <c r="X185" t="s">
        <v>74</v>
      </c>
      <c r="Y185" t="s">
        <v>74</v>
      </c>
      <c r="Z185" t="s">
        <v>74</v>
      </c>
      <c r="AA185" t="s">
        <v>74</v>
      </c>
      <c r="AB185" t="s">
        <v>74</v>
      </c>
      <c r="AC185" t="s">
        <v>74</v>
      </c>
      <c r="AD185" t="s">
        <v>74</v>
      </c>
      <c r="AE185" t="s">
        <v>74</v>
      </c>
      <c r="AF185" t="s">
        <v>74</v>
      </c>
      <c r="AG185" t="s">
        <v>74</v>
      </c>
      <c r="AH185" t="s">
        <v>74</v>
      </c>
      <c r="AI185" t="s">
        <v>74</v>
      </c>
      <c r="AJ185" t="s">
        <v>74</v>
      </c>
      <c r="AK185" t="s">
        <v>74</v>
      </c>
      <c r="AL185" t="s">
        <v>74</v>
      </c>
      <c r="AM185" t="s">
        <v>74</v>
      </c>
      <c r="AN185" t="s">
        <v>74</v>
      </c>
      <c r="AO185" t="s">
        <v>1524</v>
      </c>
      <c r="AP185" t="s">
        <v>1525</v>
      </c>
      <c r="AQ185" t="s">
        <v>74</v>
      </c>
      <c r="AR185" t="s">
        <v>74</v>
      </c>
      <c r="AS185" t="s">
        <v>74</v>
      </c>
      <c r="AT185" t="s">
        <v>157</v>
      </c>
      <c r="AU185">
        <v>2000</v>
      </c>
      <c r="AV185">
        <v>81</v>
      </c>
      <c r="AW185">
        <v>3</v>
      </c>
      <c r="AX185" t="s">
        <v>74</v>
      </c>
      <c r="AY185" t="s">
        <v>74</v>
      </c>
      <c r="AZ185" t="s">
        <v>74</v>
      </c>
      <c r="BA185" t="s">
        <v>74</v>
      </c>
      <c r="BB185">
        <v>826</v>
      </c>
      <c r="BC185">
        <v>841</v>
      </c>
      <c r="BD185" t="s">
        <v>74</v>
      </c>
      <c r="BE185" t="s">
        <v>7181</v>
      </c>
      <c r="BF185" t="str">
        <f>HYPERLINK("http://dx.doi.org/10.1890/0012-9658(2000)081[0826:AFTOIR]2.0.CO;2","http://dx.doi.org/10.1890/0012-9658(2000)081[0826:AFTOIR]2.0.CO;2")</f>
        <v>http://dx.doi.org/10.1890/0012-9658(2000)081[0826:AFTOIR]2.0.CO;2</v>
      </c>
      <c r="BG185" t="s">
        <v>74</v>
      </c>
      <c r="BH185" t="s">
        <v>74</v>
      </c>
      <c r="BI185" t="s">
        <v>74</v>
      </c>
      <c r="BJ185" t="s">
        <v>74</v>
      </c>
      <c r="BK185" t="s">
        <v>74</v>
      </c>
      <c r="BL185" t="s">
        <v>74</v>
      </c>
      <c r="BM185" t="s">
        <v>74</v>
      </c>
      <c r="BN185" t="s">
        <v>74</v>
      </c>
      <c r="BO185" t="s">
        <v>74</v>
      </c>
      <c r="BP185" t="s">
        <v>74</v>
      </c>
      <c r="BQ185" t="s">
        <v>74</v>
      </c>
      <c r="BR185" t="s">
        <v>74</v>
      </c>
      <c r="BS185" t="s">
        <v>6213</v>
      </c>
      <c r="BT185" t="str">
        <f>HYPERLINK("https%3A%2F%2Fwww.webofscience.com%2Fwos%2Fwoscc%2Ffull-record%2FWOS:000085611400019","View Full Record in Web of Science")</f>
        <v>View Full Record in Web of Science</v>
      </c>
    </row>
    <row r="186" spans="1:72" x14ac:dyDescent="0.2">
      <c r="A186" t="s">
        <v>72</v>
      </c>
      <c r="B186" t="s">
        <v>6214</v>
      </c>
      <c r="C186" t="s">
        <v>74</v>
      </c>
      <c r="D186" t="s">
        <v>74</v>
      </c>
      <c r="E186" t="s">
        <v>74</v>
      </c>
      <c r="F186" t="s">
        <v>6214</v>
      </c>
      <c r="G186" t="s">
        <v>74</v>
      </c>
      <c r="H186" t="s">
        <v>74</v>
      </c>
      <c r="I186" t="s">
        <v>6215</v>
      </c>
      <c r="J186" t="s">
        <v>6216</v>
      </c>
      <c r="K186" t="s">
        <v>74</v>
      </c>
      <c r="L186" t="s">
        <v>74</v>
      </c>
      <c r="M186" t="s">
        <v>74</v>
      </c>
      <c r="N186" t="s">
        <v>74</v>
      </c>
      <c r="O186" t="s">
        <v>74</v>
      </c>
      <c r="P186" t="s">
        <v>74</v>
      </c>
      <c r="Q186" t="s">
        <v>74</v>
      </c>
      <c r="R186" t="s">
        <v>74</v>
      </c>
      <c r="S186" t="s">
        <v>74</v>
      </c>
      <c r="T186" t="s">
        <v>74</v>
      </c>
      <c r="U186" t="s">
        <v>74</v>
      </c>
      <c r="V186" t="s">
        <v>74</v>
      </c>
      <c r="W186" t="s">
        <v>74</v>
      </c>
      <c r="X186" t="s">
        <v>74</v>
      </c>
      <c r="Y186" t="s">
        <v>74</v>
      </c>
      <c r="Z186" t="s">
        <v>74</v>
      </c>
      <c r="AA186" t="s">
        <v>6217</v>
      </c>
      <c r="AB186" t="s">
        <v>74</v>
      </c>
      <c r="AC186" t="s">
        <v>74</v>
      </c>
      <c r="AD186" t="s">
        <v>74</v>
      </c>
      <c r="AE186" t="s">
        <v>74</v>
      </c>
      <c r="AF186" t="s">
        <v>74</v>
      </c>
      <c r="AG186" t="s">
        <v>74</v>
      </c>
      <c r="AH186" t="s">
        <v>74</v>
      </c>
      <c r="AI186" t="s">
        <v>74</v>
      </c>
      <c r="AJ186" t="s">
        <v>74</v>
      </c>
      <c r="AK186" t="s">
        <v>74</v>
      </c>
      <c r="AL186" t="s">
        <v>74</v>
      </c>
      <c r="AM186" t="s">
        <v>74</v>
      </c>
      <c r="AN186" t="s">
        <v>74</v>
      </c>
      <c r="AO186" t="s">
        <v>6218</v>
      </c>
      <c r="AP186" t="s">
        <v>6219</v>
      </c>
      <c r="AQ186" t="s">
        <v>74</v>
      </c>
      <c r="AR186" t="s">
        <v>74</v>
      </c>
      <c r="AS186" t="s">
        <v>74</v>
      </c>
      <c r="AT186" t="s">
        <v>416</v>
      </c>
      <c r="AU186">
        <v>2000</v>
      </c>
      <c r="AV186">
        <v>250</v>
      </c>
      <c r="AW186" t="s">
        <v>74</v>
      </c>
      <c r="AX186">
        <v>2</v>
      </c>
      <c r="AY186" t="s">
        <v>74</v>
      </c>
      <c r="AZ186" t="s">
        <v>74</v>
      </c>
      <c r="BA186" t="s">
        <v>74</v>
      </c>
      <c r="BB186">
        <v>141</v>
      </c>
      <c r="BC186">
        <v>160</v>
      </c>
      <c r="BD186" t="s">
        <v>74</v>
      </c>
      <c r="BE186" t="s">
        <v>6220</v>
      </c>
      <c r="BF186" t="str">
        <f>HYPERLINK("http://dx.doi.org/10.1017/S0952836900002016","http://dx.doi.org/10.1017/S0952836900002016")</f>
        <v>http://dx.doi.org/10.1017/S0952836900002016</v>
      </c>
      <c r="BG186" t="s">
        <v>74</v>
      </c>
      <c r="BH186" t="s">
        <v>74</v>
      </c>
      <c r="BI186" t="s">
        <v>74</v>
      </c>
      <c r="BJ186" t="s">
        <v>74</v>
      </c>
      <c r="BK186" t="s">
        <v>74</v>
      </c>
      <c r="BL186" t="s">
        <v>74</v>
      </c>
      <c r="BM186" t="s">
        <v>74</v>
      </c>
      <c r="BN186" t="s">
        <v>74</v>
      </c>
      <c r="BO186" t="s">
        <v>74</v>
      </c>
      <c r="BP186" t="s">
        <v>74</v>
      </c>
      <c r="BQ186" t="s">
        <v>74</v>
      </c>
      <c r="BR186" t="s">
        <v>74</v>
      </c>
      <c r="BS186" t="s">
        <v>6221</v>
      </c>
      <c r="BT186" t="str">
        <f>HYPERLINK("https%3A%2F%2Fwww.webofscience.com%2Fwos%2Fwoscc%2Ffull-record%2FWOS:000085859900001","View Full Record in Web of Science")</f>
        <v>View Full Record in Web of Science</v>
      </c>
    </row>
    <row r="187" spans="1:72" x14ac:dyDescent="0.2">
      <c r="A187" t="s">
        <v>72</v>
      </c>
      <c r="B187" t="s">
        <v>6234</v>
      </c>
      <c r="C187" t="s">
        <v>74</v>
      </c>
      <c r="D187" t="s">
        <v>74</v>
      </c>
      <c r="E187" t="s">
        <v>74</v>
      </c>
      <c r="F187" t="s">
        <v>6234</v>
      </c>
      <c r="G187" t="s">
        <v>74</v>
      </c>
      <c r="H187" t="s">
        <v>74</v>
      </c>
      <c r="I187" t="s">
        <v>6235</v>
      </c>
      <c r="J187" t="s">
        <v>1523</v>
      </c>
      <c r="K187" t="s">
        <v>74</v>
      </c>
      <c r="L187" t="s">
        <v>74</v>
      </c>
      <c r="M187" t="s">
        <v>74</v>
      </c>
      <c r="N187" t="s">
        <v>74</v>
      </c>
      <c r="O187" t="s">
        <v>74</v>
      </c>
      <c r="P187" t="s">
        <v>74</v>
      </c>
      <c r="Q187" t="s">
        <v>74</v>
      </c>
      <c r="R187" t="s">
        <v>74</v>
      </c>
      <c r="S187" t="s">
        <v>74</v>
      </c>
      <c r="T187" t="s">
        <v>74</v>
      </c>
      <c r="U187" t="s">
        <v>74</v>
      </c>
      <c r="V187" t="s">
        <v>74</v>
      </c>
      <c r="W187" t="s">
        <v>74</v>
      </c>
      <c r="X187" t="s">
        <v>74</v>
      </c>
      <c r="Y187" t="s">
        <v>74</v>
      </c>
      <c r="Z187" t="s">
        <v>74</v>
      </c>
      <c r="AA187" t="s">
        <v>6236</v>
      </c>
      <c r="AB187" t="s">
        <v>6237</v>
      </c>
      <c r="AC187" t="s">
        <v>74</v>
      </c>
      <c r="AD187" t="s">
        <v>74</v>
      </c>
      <c r="AE187" t="s">
        <v>74</v>
      </c>
      <c r="AF187" t="s">
        <v>74</v>
      </c>
      <c r="AG187" t="s">
        <v>74</v>
      </c>
      <c r="AH187" t="s">
        <v>74</v>
      </c>
      <c r="AI187" t="s">
        <v>74</v>
      </c>
      <c r="AJ187" t="s">
        <v>74</v>
      </c>
      <c r="AK187" t="s">
        <v>74</v>
      </c>
      <c r="AL187" t="s">
        <v>74</v>
      </c>
      <c r="AM187" t="s">
        <v>74</v>
      </c>
      <c r="AN187" t="s">
        <v>74</v>
      </c>
      <c r="AO187" t="s">
        <v>1524</v>
      </c>
      <c r="AP187" t="s">
        <v>1525</v>
      </c>
      <c r="AQ187" t="s">
        <v>74</v>
      </c>
      <c r="AR187" t="s">
        <v>74</v>
      </c>
      <c r="AS187" t="s">
        <v>74</v>
      </c>
      <c r="AT187" t="s">
        <v>315</v>
      </c>
      <c r="AU187">
        <v>2000</v>
      </c>
      <c r="AV187">
        <v>81</v>
      </c>
      <c r="AW187">
        <v>1</v>
      </c>
      <c r="AX187" t="s">
        <v>74</v>
      </c>
      <c r="AY187" t="s">
        <v>74</v>
      </c>
      <c r="AZ187" t="s">
        <v>74</v>
      </c>
      <c r="BA187" t="s">
        <v>74</v>
      </c>
      <c r="BB187">
        <v>150</v>
      </c>
      <c r="BC187">
        <v>163</v>
      </c>
      <c r="BD187" t="s">
        <v>74</v>
      </c>
      <c r="BE187" t="s">
        <v>6238</v>
      </c>
      <c r="BF187" t="str">
        <f>HYPERLINK("http://dx.doi.org/10.1890/0012-9658(2000)081[0150:LHAMAD]2.0.CO;2","http://dx.doi.org/10.1890/0012-9658(2000)081[0150:LHAMAD]2.0.CO;2")</f>
        <v>http://dx.doi.org/10.1890/0012-9658(2000)081[0150:LHAMAD]2.0.CO;2</v>
      </c>
      <c r="BG187" t="s">
        <v>74</v>
      </c>
      <c r="BH187" t="s">
        <v>74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 t="s">
        <v>74</v>
      </c>
      <c r="BR187" t="s">
        <v>74</v>
      </c>
      <c r="BS187" t="s">
        <v>6239</v>
      </c>
      <c r="BT187" t="str">
        <f>HYPERLINK("https%3A%2F%2Fwww.webofscience.com%2Fwos%2Fwoscc%2Ffull-record%2FWOS:000084913400014","View Full Record in Web of Science")</f>
        <v>View Full Record in Web of Science</v>
      </c>
    </row>
    <row r="188" spans="1:72" x14ac:dyDescent="0.2">
      <c r="A188" t="s">
        <v>72</v>
      </c>
      <c r="B188" t="s">
        <v>6240</v>
      </c>
      <c r="C188" t="s">
        <v>74</v>
      </c>
      <c r="D188" t="s">
        <v>74</v>
      </c>
      <c r="E188" t="s">
        <v>74</v>
      </c>
      <c r="F188" t="s">
        <v>6240</v>
      </c>
      <c r="G188" t="s">
        <v>74</v>
      </c>
      <c r="H188" t="s">
        <v>74</v>
      </c>
      <c r="I188" t="s">
        <v>6241</v>
      </c>
      <c r="J188" t="s">
        <v>6154</v>
      </c>
      <c r="K188" t="s">
        <v>74</v>
      </c>
      <c r="L188" t="s">
        <v>74</v>
      </c>
      <c r="M188" t="s">
        <v>74</v>
      </c>
      <c r="N188" t="s">
        <v>74</v>
      </c>
      <c r="O188" t="s">
        <v>74</v>
      </c>
      <c r="P188" t="s">
        <v>74</v>
      </c>
      <c r="Q188" t="s">
        <v>74</v>
      </c>
      <c r="R188" t="s">
        <v>74</v>
      </c>
      <c r="S188" t="s">
        <v>74</v>
      </c>
      <c r="T188" t="s">
        <v>74</v>
      </c>
      <c r="U188" t="s">
        <v>74</v>
      </c>
      <c r="V188" t="s">
        <v>74</v>
      </c>
      <c r="W188" t="s">
        <v>74</v>
      </c>
      <c r="X188" t="s">
        <v>74</v>
      </c>
      <c r="Y188" t="s">
        <v>74</v>
      </c>
      <c r="Z188" t="s">
        <v>74</v>
      </c>
      <c r="AA188" t="s">
        <v>74</v>
      </c>
      <c r="AB188" t="s">
        <v>74</v>
      </c>
      <c r="AC188" t="s">
        <v>74</v>
      </c>
      <c r="AD188" t="s">
        <v>74</v>
      </c>
      <c r="AE188" t="s">
        <v>74</v>
      </c>
      <c r="AF188" t="s">
        <v>74</v>
      </c>
      <c r="AG188" t="s">
        <v>74</v>
      </c>
      <c r="AH188" t="s">
        <v>74</v>
      </c>
      <c r="AI188" t="s">
        <v>74</v>
      </c>
      <c r="AJ188" t="s">
        <v>74</v>
      </c>
      <c r="AK188" t="s">
        <v>74</v>
      </c>
      <c r="AL188" t="s">
        <v>74</v>
      </c>
      <c r="AM188" t="s">
        <v>74</v>
      </c>
      <c r="AN188" t="s">
        <v>74</v>
      </c>
      <c r="AO188" t="s">
        <v>6155</v>
      </c>
      <c r="AP188" t="s">
        <v>74</v>
      </c>
      <c r="AQ188" t="s">
        <v>74</v>
      </c>
      <c r="AR188" t="s">
        <v>74</v>
      </c>
      <c r="AS188" t="s">
        <v>74</v>
      </c>
      <c r="AT188" t="s">
        <v>82</v>
      </c>
      <c r="AU188">
        <v>1999</v>
      </c>
      <c r="AV188">
        <v>14</v>
      </c>
      <c r="AW188">
        <v>5</v>
      </c>
      <c r="AX188" t="s">
        <v>74</v>
      </c>
      <c r="AY188" t="s">
        <v>74</v>
      </c>
      <c r="AZ188" t="s">
        <v>74</v>
      </c>
      <c r="BA188" t="s">
        <v>74</v>
      </c>
      <c r="BB188">
        <v>523</v>
      </c>
      <c r="BC188">
        <v>530</v>
      </c>
      <c r="BD188" t="s">
        <v>74</v>
      </c>
      <c r="BE188" t="s">
        <v>6242</v>
      </c>
      <c r="BF188" t="str">
        <f>HYPERLINK("http://dx.doi.org/10.1002/(SICI)1522-7278(199912)14:5&lt;523::AID-TOX6&gt;3.0.CO;2-2","http://dx.doi.org/10.1002/(SICI)1522-7278(199912)14:5&lt;523::AID-TOX6&gt;3.0.CO;2-2")</f>
        <v>http://dx.doi.org/10.1002/(SICI)1522-7278(199912)14:5&lt;523::AID-TOX6&gt;3.0.CO;2-2</v>
      </c>
      <c r="BG188" t="s">
        <v>74</v>
      </c>
      <c r="BH188" t="s">
        <v>74</v>
      </c>
      <c r="BI188" t="s">
        <v>74</v>
      </c>
      <c r="BJ188" t="s">
        <v>74</v>
      </c>
      <c r="BK188" t="s">
        <v>74</v>
      </c>
      <c r="BL188" t="s">
        <v>74</v>
      </c>
      <c r="BM188" t="s">
        <v>74</v>
      </c>
      <c r="BN188" t="s">
        <v>74</v>
      </c>
      <c r="BO188" t="s">
        <v>74</v>
      </c>
      <c r="BP188" t="s">
        <v>74</v>
      </c>
      <c r="BQ188" t="s">
        <v>74</v>
      </c>
      <c r="BR188" t="s">
        <v>74</v>
      </c>
      <c r="BS188" t="s">
        <v>6243</v>
      </c>
      <c r="BT188" t="str">
        <f>HYPERLINK("https%3A%2F%2Fwww.webofscience.com%2Fwos%2Fwoscc%2Ffull-record%2FWOS:000083912000006","View Full Record in Web of Science")</f>
        <v>View Full Record in Web of Science</v>
      </c>
    </row>
    <row r="189" spans="1:72" x14ac:dyDescent="0.2">
      <c r="A189" t="s">
        <v>72</v>
      </c>
      <c r="B189" t="s">
        <v>6244</v>
      </c>
      <c r="C189" t="s">
        <v>74</v>
      </c>
      <c r="D189" t="s">
        <v>74</v>
      </c>
      <c r="E189" t="s">
        <v>74</v>
      </c>
      <c r="F189" t="s">
        <v>6244</v>
      </c>
      <c r="G189" t="s">
        <v>74</v>
      </c>
      <c r="H189" t="s">
        <v>74</v>
      </c>
      <c r="I189" t="s">
        <v>6245</v>
      </c>
      <c r="J189" t="s">
        <v>5867</v>
      </c>
      <c r="K189" t="s">
        <v>74</v>
      </c>
      <c r="L189" t="s">
        <v>74</v>
      </c>
      <c r="M189" t="s">
        <v>74</v>
      </c>
      <c r="N189" t="s">
        <v>74</v>
      </c>
      <c r="O189" t="s">
        <v>74</v>
      </c>
      <c r="P189" t="s">
        <v>74</v>
      </c>
      <c r="Q189" t="s">
        <v>74</v>
      </c>
      <c r="R189" t="s">
        <v>74</v>
      </c>
      <c r="S189" t="s">
        <v>74</v>
      </c>
      <c r="T189" t="s">
        <v>74</v>
      </c>
      <c r="U189" t="s">
        <v>74</v>
      </c>
      <c r="V189" t="s">
        <v>74</v>
      </c>
      <c r="W189" t="s">
        <v>74</v>
      </c>
      <c r="X189" t="s">
        <v>74</v>
      </c>
      <c r="Y189" t="s">
        <v>74</v>
      </c>
      <c r="Z189" t="s">
        <v>74</v>
      </c>
      <c r="AA189" t="s">
        <v>74</v>
      </c>
      <c r="AB189" t="s">
        <v>74</v>
      </c>
      <c r="AC189" t="s">
        <v>74</v>
      </c>
      <c r="AD189" t="s">
        <v>74</v>
      </c>
      <c r="AE189" t="s">
        <v>74</v>
      </c>
      <c r="AF189" t="s">
        <v>74</v>
      </c>
      <c r="AG189" t="s">
        <v>74</v>
      </c>
      <c r="AH189" t="s">
        <v>74</v>
      </c>
      <c r="AI189" t="s">
        <v>74</v>
      </c>
      <c r="AJ189" t="s">
        <v>74</v>
      </c>
      <c r="AK189" t="s">
        <v>74</v>
      </c>
      <c r="AL189" t="s">
        <v>74</v>
      </c>
      <c r="AM189" t="s">
        <v>74</v>
      </c>
      <c r="AN189" t="s">
        <v>74</v>
      </c>
      <c r="AO189" t="s">
        <v>5868</v>
      </c>
      <c r="AP189" t="s">
        <v>5869</v>
      </c>
      <c r="AQ189" t="s">
        <v>74</v>
      </c>
      <c r="AR189" t="s">
        <v>74</v>
      </c>
      <c r="AS189" t="s">
        <v>74</v>
      </c>
      <c r="AT189" t="s">
        <v>82</v>
      </c>
      <c r="AU189">
        <v>1999</v>
      </c>
      <c r="AV189">
        <v>53</v>
      </c>
      <c r="AW189">
        <v>6</v>
      </c>
      <c r="AX189" t="s">
        <v>74</v>
      </c>
      <c r="AY189" t="s">
        <v>74</v>
      </c>
      <c r="AZ189" t="s">
        <v>74</v>
      </c>
      <c r="BA189" t="s">
        <v>74</v>
      </c>
      <c r="BB189">
        <v>1744</v>
      </c>
      <c r="BC189">
        <v>1756</v>
      </c>
      <c r="BD189" t="s">
        <v>74</v>
      </c>
      <c r="BE189" t="s">
        <v>6246</v>
      </c>
      <c r="BF189" t="str">
        <f>HYPERLINK("http://dx.doi.org/10.2307/2640437","http://dx.doi.org/10.2307/2640437")</f>
        <v>http://dx.doi.org/10.2307/2640437</v>
      </c>
      <c r="BG189" t="s">
        <v>74</v>
      </c>
      <c r="BH189" t="s">
        <v>74</v>
      </c>
      <c r="BI189" t="s">
        <v>74</v>
      </c>
      <c r="BJ189" t="s">
        <v>74</v>
      </c>
      <c r="BK189" t="s">
        <v>74</v>
      </c>
      <c r="BL189" t="s">
        <v>74</v>
      </c>
      <c r="BM189" t="s">
        <v>74</v>
      </c>
      <c r="BN189">
        <v>28565448</v>
      </c>
      <c r="BO189" t="s">
        <v>74</v>
      </c>
      <c r="BP189" t="s">
        <v>74</v>
      </c>
      <c r="BQ189" t="s">
        <v>74</v>
      </c>
      <c r="BR189" t="s">
        <v>74</v>
      </c>
      <c r="BS189" t="s">
        <v>6247</v>
      </c>
      <c r="BT189" t="str">
        <f>HYPERLINK("https%3A%2F%2Fwww.webofscience.com%2Fwos%2Fwoscc%2Ffull-record%2FWOS:000084703100010","View Full Record in Web of Science")</f>
        <v>View Full Record in Web of Science</v>
      </c>
    </row>
    <row r="190" spans="1:72" x14ac:dyDescent="0.2">
      <c r="A190" t="s">
        <v>72</v>
      </c>
      <c r="B190" t="s">
        <v>6275</v>
      </c>
      <c r="C190" t="s">
        <v>74</v>
      </c>
      <c r="D190" t="s">
        <v>74</v>
      </c>
      <c r="E190" t="s">
        <v>74</v>
      </c>
      <c r="F190" t="s">
        <v>6275</v>
      </c>
      <c r="G190" t="s">
        <v>74</v>
      </c>
      <c r="H190" t="s">
        <v>74</v>
      </c>
      <c r="I190" t="s">
        <v>6276</v>
      </c>
      <c r="J190" t="s">
        <v>2769</v>
      </c>
      <c r="K190" t="s">
        <v>74</v>
      </c>
      <c r="L190" t="s">
        <v>74</v>
      </c>
      <c r="M190" t="s">
        <v>74</v>
      </c>
      <c r="N190" t="s">
        <v>74</v>
      </c>
      <c r="O190" t="s">
        <v>74</v>
      </c>
      <c r="P190" t="s">
        <v>74</v>
      </c>
      <c r="Q190" t="s">
        <v>74</v>
      </c>
      <c r="R190" t="s">
        <v>74</v>
      </c>
      <c r="S190" t="s">
        <v>74</v>
      </c>
      <c r="T190" t="s">
        <v>74</v>
      </c>
      <c r="U190" t="s">
        <v>74</v>
      </c>
      <c r="V190" t="s">
        <v>74</v>
      </c>
      <c r="W190" t="s">
        <v>74</v>
      </c>
      <c r="X190" t="s">
        <v>74</v>
      </c>
      <c r="Y190" t="s">
        <v>74</v>
      </c>
      <c r="Z190" t="s">
        <v>74</v>
      </c>
      <c r="AA190" t="s">
        <v>74</v>
      </c>
      <c r="AB190" t="s">
        <v>7182</v>
      </c>
      <c r="AC190" t="s">
        <v>74</v>
      </c>
      <c r="AD190" t="s">
        <v>74</v>
      </c>
      <c r="AE190" t="s">
        <v>74</v>
      </c>
      <c r="AF190" t="s">
        <v>74</v>
      </c>
      <c r="AG190" t="s">
        <v>74</v>
      </c>
      <c r="AH190" t="s">
        <v>74</v>
      </c>
      <c r="AI190" t="s">
        <v>74</v>
      </c>
      <c r="AJ190" t="s">
        <v>74</v>
      </c>
      <c r="AK190" t="s">
        <v>74</v>
      </c>
      <c r="AL190" t="s">
        <v>74</v>
      </c>
      <c r="AM190" t="s">
        <v>74</v>
      </c>
      <c r="AN190" t="s">
        <v>74</v>
      </c>
      <c r="AO190" t="s">
        <v>2772</v>
      </c>
      <c r="AP190" t="s">
        <v>2773</v>
      </c>
      <c r="AQ190" t="s">
        <v>74</v>
      </c>
      <c r="AR190" t="s">
        <v>74</v>
      </c>
      <c r="AS190" t="s">
        <v>74</v>
      </c>
      <c r="AT190" t="s">
        <v>6277</v>
      </c>
      <c r="AU190">
        <v>1999</v>
      </c>
      <c r="AV190">
        <v>18</v>
      </c>
      <c r="AW190">
        <v>1</v>
      </c>
      <c r="AX190" t="s">
        <v>74</v>
      </c>
      <c r="AY190" t="s">
        <v>74</v>
      </c>
      <c r="AZ190" t="s">
        <v>74</v>
      </c>
      <c r="BA190" t="s">
        <v>74</v>
      </c>
      <c r="BB190">
        <v>95</v>
      </c>
      <c r="BC190">
        <v>103</v>
      </c>
      <c r="BD190" t="s">
        <v>74</v>
      </c>
      <c r="BE190" t="s">
        <v>6278</v>
      </c>
      <c r="BF190" t="str">
        <f>HYPERLINK("http://dx.doi.org/10.3354/ame018095","http://dx.doi.org/10.3354/ame018095")</f>
        <v>http://dx.doi.org/10.3354/ame018095</v>
      </c>
      <c r="BG190" t="s">
        <v>74</v>
      </c>
      <c r="BH190" t="s">
        <v>74</v>
      </c>
      <c r="BI190" t="s">
        <v>74</v>
      </c>
      <c r="BJ190" t="s">
        <v>74</v>
      </c>
      <c r="BK190" t="s">
        <v>74</v>
      </c>
      <c r="BL190" t="s">
        <v>74</v>
      </c>
      <c r="BM190" t="s">
        <v>74</v>
      </c>
      <c r="BN190" t="s">
        <v>74</v>
      </c>
      <c r="BO190" t="s">
        <v>74</v>
      </c>
      <c r="BP190" t="s">
        <v>74</v>
      </c>
      <c r="BQ190" t="s">
        <v>74</v>
      </c>
      <c r="BR190" t="s">
        <v>74</v>
      </c>
      <c r="BS190" t="s">
        <v>6279</v>
      </c>
      <c r="BT190" t="str">
        <f>HYPERLINK("https%3A%2F%2Fwww.webofscience.com%2Fwos%2Fwoscc%2Ffull-record%2FWOS:000081787900009","View Full Record in Web of Science")</f>
        <v>View Full Record in Web of Science</v>
      </c>
    </row>
    <row r="191" spans="1:72" x14ac:dyDescent="0.2">
      <c r="A191" t="s">
        <v>72</v>
      </c>
      <c r="B191" t="s">
        <v>6306</v>
      </c>
      <c r="C191" t="s">
        <v>74</v>
      </c>
      <c r="D191" t="s">
        <v>74</v>
      </c>
      <c r="E191" t="s">
        <v>74</v>
      </c>
      <c r="F191" t="s">
        <v>6306</v>
      </c>
      <c r="G191" t="s">
        <v>74</v>
      </c>
      <c r="H191" t="s">
        <v>74</v>
      </c>
      <c r="I191" t="s">
        <v>6307</v>
      </c>
      <c r="J191" t="s">
        <v>227</v>
      </c>
      <c r="K191" t="s">
        <v>74</v>
      </c>
      <c r="L191" t="s">
        <v>74</v>
      </c>
      <c r="M191" t="s">
        <v>74</v>
      </c>
      <c r="N191" t="s">
        <v>74</v>
      </c>
      <c r="O191" t="s">
        <v>74</v>
      </c>
      <c r="P191" t="s">
        <v>74</v>
      </c>
      <c r="Q191" t="s">
        <v>74</v>
      </c>
      <c r="R191" t="s">
        <v>74</v>
      </c>
      <c r="S191" t="s">
        <v>74</v>
      </c>
      <c r="T191" t="s">
        <v>74</v>
      </c>
      <c r="U191" t="s">
        <v>74</v>
      </c>
      <c r="V191" t="s">
        <v>74</v>
      </c>
      <c r="W191" t="s">
        <v>74</v>
      </c>
      <c r="X191" t="s">
        <v>74</v>
      </c>
      <c r="Y191" t="s">
        <v>74</v>
      </c>
      <c r="Z191" t="s">
        <v>74</v>
      </c>
      <c r="AA191" t="s">
        <v>74</v>
      </c>
      <c r="AB191" t="s">
        <v>74</v>
      </c>
      <c r="AC191" t="s">
        <v>74</v>
      </c>
      <c r="AD191" t="s">
        <v>74</v>
      </c>
      <c r="AE191" t="s">
        <v>74</v>
      </c>
      <c r="AF191" t="s">
        <v>74</v>
      </c>
      <c r="AG191" t="s">
        <v>74</v>
      </c>
      <c r="AH191" t="s">
        <v>74</v>
      </c>
      <c r="AI191" t="s">
        <v>74</v>
      </c>
      <c r="AJ191" t="s">
        <v>74</v>
      </c>
      <c r="AK191" t="s">
        <v>74</v>
      </c>
      <c r="AL191" t="s">
        <v>74</v>
      </c>
      <c r="AM191" t="s">
        <v>74</v>
      </c>
      <c r="AN191" t="s">
        <v>74</v>
      </c>
      <c r="AO191" t="s">
        <v>230</v>
      </c>
      <c r="AP191" t="s">
        <v>231</v>
      </c>
      <c r="AQ191" t="s">
        <v>74</v>
      </c>
      <c r="AR191" t="s">
        <v>74</v>
      </c>
      <c r="AS191" t="s">
        <v>74</v>
      </c>
      <c r="AT191" t="s">
        <v>451</v>
      </c>
      <c r="AU191">
        <v>1998</v>
      </c>
      <c r="AV191">
        <v>43</v>
      </c>
      <c r="AW191">
        <v>6</v>
      </c>
      <c r="AX191" t="s">
        <v>74</v>
      </c>
      <c r="AY191" t="s">
        <v>74</v>
      </c>
      <c r="AZ191" t="s">
        <v>74</v>
      </c>
      <c r="BA191" t="s">
        <v>74</v>
      </c>
      <c r="BB191">
        <v>1119</v>
      </c>
      <c r="BC191">
        <v>1132</v>
      </c>
      <c r="BD191" t="s">
        <v>74</v>
      </c>
      <c r="BE191" t="s">
        <v>6308</v>
      </c>
      <c r="BF191" t="str">
        <f>HYPERLINK("http://dx.doi.org/10.4319/lo.1998.43.6.1119","http://dx.doi.org/10.4319/lo.1998.43.6.1119")</f>
        <v>http://dx.doi.org/10.4319/lo.1998.43.6.1119</v>
      </c>
      <c r="BG191" t="s">
        <v>74</v>
      </c>
      <c r="BH191" t="s">
        <v>74</v>
      </c>
      <c r="BI191" t="s">
        <v>74</v>
      </c>
      <c r="BJ191" t="s">
        <v>74</v>
      </c>
      <c r="BK191" t="s">
        <v>74</v>
      </c>
      <c r="BL191" t="s">
        <v>74</v>
      </c>
      <c r="BM191" t="s">
        <v>74</v>
      </c>
      <c r="BN191" t="s">
        <v>74</v>
      </c>
      <c r="BO191" t="s">
        <v>74</v>
      </c>
      <c r="BP191" t="s">
        <v>74</v>
      </c>
      <c r="BQ191" t="s">
        <v>74</v>
      </c>
      <c r="BR191" t="s">
        <v>74</v>
      </c>
      <c r="BS191" t="s">
        <v>6309</v>
      </c>
      <c r="BT191" t="str">
        <f>HYPERLINK("https%3A%2F%2Fwww.webofscience.com%2Fwos%2Fwoscc%2Ffull-record%2FWOS:000076791700008","View Full Record in Web of Science")</f>
        <v>View Full Record in Web of Science</v>
      </c>
    </row>
    <row r="192" spans="1:72" x14ac:dyDescent="0.2">
      <c r="A192" t="s">
        <v>72</v>
      </c>
      <c r="B192" t="s">
        <v>6315</v>
      </c>
      <c r="C192" t="s">
        <v>74</v>
      </c>
      <c r="D192" t="s">
        <v>74</v>
      </c>
      <c r="E192" t="s">
        <v>74</v>
      </c>
      <c r="F192" t="s">
        <v>6315</v>
      </c>
      <c r="G192" t="s">
        <v>74</v>
      </c>
      <c r="H192" t="s">
        <v>74</v>
      </c>
      <c r="I192" t="s">
        <v>6316</v>
      </c>
      <c r="J192" t="s">
        <v>1523</v>
      </c>
      <c r="K192" t="s">
        <v>74</v>
      </c>
      <c r="L192" t="s">
        <v>74</v>
      </c>
      <c r="M192" t="s">
        <v>74</v>
      </c>
      <c r="N192" t="s">
        <v>74</v>
      </c>
      <c r="O192" t="s">
        <v>74</v>
      </c>
      <c r="P192" t="s">
        <v>74</v>
      </c>
      <c r="Q192" t="s">
        <v>74</v>
      </c>
      <c r="R192" t="s">
        <v>74</v>
      </c>
      <c r="S192" t="s">
        <v>74</v>
      </c>
      <c r="T192" t="s">
        <v>74</v>
      </c>
      <c r="U192" t="s">
        <v>74</v>
      </c>
      <c r="V192" t="s">
        <v>74</v>
      </c>
      <c r="W192" t="s">
        <v>74</v>
      </c>
      <c r="X192" t="s">
        <v>74</v>
      </c>
      <c r="Y192" t="s">
        <v>74</v>
      </c>
      <c r="Z192" t="s">
        <v>74</v>
      </c>
      <c r="AA192" t="s">
        <v>74</v>
      </c>
      <c r="AB192" t="s">
        <v>74</v>
      </c>
      <c r="AC192" t="s">
        <v>74</v>
      </c>
      <c r="AD192" t="s">
        <v>74</v>
      </c>
      <c r="AE192" t="s">
        <v>74</v>
      </c>
      <c r="AF192" t="s">
        <v>74</v>
      </c>
      <c r="AG192" t="s">
        <v>74</v>
      </c>
      <c r="AH192" t="s">
        <v>74</v>
      </c>
      <c r="AI192" t="s">
        <v>74</v>
      </c>
      <c r="AJ192" t="s">
        <v>74</v>
      </c>
      <c r="AK192" t="s">
        <v>74</v>
      </c>
      <c r="AL192" t="s">
        <v>74</v>
      </c>
      <c r="AM192" t="s">
        <v>74</v>
      </c>
      <c r="AN192" t="s">
        <v>74</v>
      </c>
      <c r="AO192" t="s">
        <v>1524</v>
      </c>
      <c r="AP192" t="s">
        <v>1525</v>
      </c>
      <c r="AQ192" t="s">
        <v>74</v>
      </c>
      <c r="AR192" t="s">
        <v>74</v>
      </c>
      <c r="AS192" t="s">
        <v>74</v>
      </c>
      <c r="AT192" t="s">
        <v>624</v>
      </c>
      <c r="AU192">
        <v>1998</v>
      </c>
      <c r="AV192">
        <v>79</v>
      </c>
      <c r="AW192">
        <v>5</v>
      </c>
      <c r="AX192" t="s">
        <v>74</v>
      </c>
      <c r="AY192" t="s">
        <v>74</v>
      </c>
      <c r="AZ192" t="s">
        <v>74</v>
      </c>
      <c r="BA192" t="s">
        <v>74</v>
      </c>
      <c r="BB192">
        <v>1711</v>
      </c>
      <c r="BC192">
        <v>1724</v>
      </c>
      <c r="BD192" t="s">
        <v>74</v>
      </c>
      <c r="BE192" t="s">
        <v>74</v>
      </c>
      <c r="BF192" t="s">
        <v>74</v>
      </c>
      <c r="BG192" t="s">
        <v>74</v>
      </c>
      <c r="BH192" t="s">
        <v>74</v>
      </c>
      <c r="BI192" t="s">
        <v>74</v>
      </c>
      <c r="BJ192" t="s">
        <v>74</v>
      </c>
      <c r="BK192" t="s">
        <v>74</v>
      </c>
      <c r="BL192" t="s">
        <v>74</v>
      </c>
      <c r="BM192" t="s">
        <v>74</v>
      </c>
      <c r="BN192" t="s">
        <v>74</v>
      </c>
      <c r="BO192" t="s">
        <v>74</v>
      </c>
      <c r="BP192" t="s">
        <v>74</v>
      </c>
      <c r="BQ192" t="s">
        <v>74</v>
      </c>
      <c r="BR192" t="s">
        <v>74</v>
      </c>
      <c r="BS192" t="s">
        <v>6317</v>
      </c>
      <c r="BT192" t="str">
        <f>HYPERLINK("https%3A%2F%2Fwww.webofscience.com%2Fwos%2Fwoscc%2Ffull-record%2FWOS:000074853000021","View Full Record in Web of Science")</f>
        <v>View Full Record in Web of Science</v>
      </c>
    </row>
    <row r="193" spans="1:72" x14ac:dyDescent="0.2">
      <c r="A193" t="s">
        <v>72</v>
      </c>
      <c r="B193" t="s">
        <v>6318</v>
      </c>
      <c r="C193" t="s">
        <v>74</v>
      </c>
      <c r="D193" t="s">
        <v>74</v>
      </c>
      <c r="E193" t="s">
        <v>74</v>
      </c>
      <c r="F193" t="s">
        <v>6318</v>
      </c>
      <c r="G193" t="s">
        <v>74</v>
      </c>
      <c r="H193" t="s">
        <v>74</v>
      </c>
      <c r="I193" t="s">
        <v>6319</v>
      </c>
      <c r="J193" t="s">
        <v>3612</v>
      </c>
      <c r="K193" t="s">
        <v>74</v>
      </c>
      <c r="L193" t="s">
        <v>74</v>
      </c>
      <c r="M193" t="s">
        <v>74</v>
      </c>
      <c r="N193" t="s">
        <v>74</v>
      </c>
      <c r="O193" t="s">
        <v>74</v>
      </c>
      <c r="P193" t="s">
        <v>74</v>
      </c>
      <c r="Q193" t="s">
        <v>74</v>
      </c>
      <c r="R193" t="s">
        <v>74</v>
      </c>
      <c r="S193" t="s">
        <v>74</v>
      </c>
      <c r="T193" t="s">
        <v>74</v>
      </c>
      <c r="U193" t="s">
        <v>74</v>
      </c>
      <c r="V193" t="s">
        <v>74</v>
      </c>
      <c r="W193" t="s">
        <v>74</v>
      </c>
      <c r="X193" t="s">
        <v>74</v>
      </c>
      <c r="Y193" t="s">
        <v>74</v>
      </c>
      <c r="Z193" t="s">
        <v>74</v>
      </c>
      <c r="AA193" t="s">
        <v>74</v>
      </c>
      <c r="AB193" t="s">
        <v>6320</v>
      </c>
      <c r="AC193" t="s">
        <v>74</v>
      </c>
      <c r="AD193" t="s">
        <v>74</v>
      </c>
      <c r="AE193" t="s">
        <v>74</v>
      </c>
      <c r="AF193" t="s">
        <v>74</v>
      </c>
      <c r="AG193" t="s">
        <v>74</v>
      </c>
      <c r="AH193" t="s">
        <v>74</v>
      </c>
      <c r="AI193" t="s">
        <v>74</v>
      </c>
      <c r="AJ193" t="s">
        <v>74</v>
      </c>
      <c r="AK193" t="s">
        <v>74</v>
      </c>
      <c r="AL193" t="s">
        <v>74</v>
      </c>
      <c r="AM193" t="s">
        <v>74</v>
      </c>
      <c r="AN193" t="s">
        <v>74</v>
      </c>
      <c r="AO193" t="s">
        <v>3615</v>
      </c>
      <c r="AP193" t="s">
        <v>3616</v>
      </c>
      <c r="AQ193" t="s">
        <v>74</v>
      </c>
      <c r="AR193" t="s">
        <v>74</v>
      </c>
      <c r="AS193" t="s">
        <v>74</v>
      </c>
      <c r="AT193" t="s">
        <v>569</v>
      </c>
      <c r="AU193">
        <v>1998</v>
      </c>
      <c r="AV193">
        <v>76</v>
      </c>
      <c r="AW193">
        <v>6</v>
      </c>
      <c r="AX193" t="s">
        <v>74</v>
      </c>
      <c r="AY193" t="s">
        <v>74</v>
      </c>
      <c r="AZ193" t="s">
        <v>74</v>
      </c>
      <c r="BA193" t="s">
        <v>74</v>
      </c>
      <c r="BB193">
        <v>1107</v>
      </c>
      <c r="BC193">
        <v>1116</v>
      </c>
      <c r="BD193" t="s">
        <v>74</v>
      </c>
      <c r="BE193" t="s">
        <v>6321</v>
      </c>
      <c r="BF193" t="str">
        <f>HYPERLINK("http://dx.doi.org/10.1139/cjz-76-6-1107","http://dx.doi.org/10.1139/cjz-76-6-1107")</f>
        <v>http://dx.doi.org/10.1139/cjz-76-6-1107</v>
      </c>
      <c r="BG193" t="s">
        <v>74</v>
      </c>
      <c r="BH193" t="s">
        <v>74</v>
      </c>
      <c r="BI193" t="s">
        <v>74</v>
      </c>
      <c r="BJ193" t="s">
        <v>74</v>
      </c>
      <c r="BK193" t="s">
        <v>74</v>
      </c>
      <c r="BL193" t="s">
        <v>74</v>
      </c>
      <c r="BM193" t="s">
        <v>74</v>
      </c>
      <c r="BN193" t="s">
        <v>74</v>
      </c>
      <c r="BO193" t="s">
        <v>74</v>
      </c>
      <c r="BP193" t="s">
        <v>74</v>
      </c>
      <c r="BQ193" t="s">
        <v>74</v>
      </c>
      <c r="BR193" t="s">
        <v>74</v>
      </c>
      <c r="BS193" t="s">
        <v>6322</v>
      </c>
      <c r="BT193" t="str">
        <f>HYPERLINK("https%3A%2F%2Fwww.webofscience.com%2Fwos%2Fwoscc%2Ffull-record%2FWOS:000077327300013","View Full Record in Web of Science")</f>
        <v>View Full Record in Web of Science</v>
      </c>
    </row>
    <row r="194" spans="1:72" x14ac:dyDescent="0.2">
      <c r="A194" t="s">
        <v>72</v>
      </c>
      <c r="B194" t="s">
        <v>6334</v>
      </c>
      <c r="C194" t="s">
        <v>74</v>
      </c>
      <c r="D194" t="s">
        <v>74</v>
      </c>
      <c r="E194" t="s">
        <v>74</v>
      </c>
      <c r="F194" t="s">
        <v>6334</v>
      </c>
      <c r="G194" t="s">
        <v>74</v>
      </c>
      <c r="H194" t="s">
        <v>74</v>
      </c>
      <c r="I194" t="s">
        <v>6335</v>
      </c>
      <c r="J194" t="s">
        <v>423</v>
      </c>
      <c r="K194" t="s">
        <v>74</v>
      </c>
      <c r="L194" t="s">
        <v>74</v>
      </c>
      <c r="M194" t="s">
        <v>74</v>
      </c>
      <c r="N194" t="s">
        <v>74</v>
      </c>
      <c r="O194" t="s">
        <v>74</v>
      </c>
      <c r="P194" t="s">
        <v>74</v>
      </c>
      <c r="Q194" t="s">
        <v>74</v>
      </c>
      <c r="R194" t="s">
        <v>74</v>
      </c>
      <c r="S194" t="s">
        <v>74</v>
      </c>
      <c r="T194" t="s">
        <v>74</v>
      </c>
      <c r="U194" t="s">
        <v>74</v>
      </c>
      <c r="V194" t="s">
        <v>74</v>
      </c>
      <c r="W194" t="s">
        <v>74</v>
      </c>
      <c r="X194" t="s">
        <v>74</v>
      </c>
      <c r="Y194" t="s">
        <v>74</v>
      </c>
      <c r="Z194" t="s">
        <v>74</v>
      </c>
      <c r="AA194" t="s">
        <v>6336</v>
      </c>
      <c r="AB194" t="s">
        <v>6337</v>
      </c>
      <c r="AC194" t="s">
        <v>74</v>
      </c>
      <c r="AD194" t="s">
        <v>74</v>
      </c>
      <c r="AE194" t="s">
        <v>74</v>
      </c>
      <c r="AF194" t="s">
        <v>74</v>
      </c>
      <c r="AG194" t="s">
        <v>74</v>
      </c>
      <c r="AH194" t="s">
        <v>74</v>
      </c>
      <c r="AI194" t="s">
        <v>74</v>
      </c>
      <c r="AJ194" t="s">
        <v>74</v>
      </c>
      <c r="AK194" t="s">
        <v>74</v>
      </c>
      <c r="AL194" t="s">
        <v>74</v>
      </c>
      <c r="AM194" t="s">
        <v>74</v>
      </c>
      <c r="AN194" t="s">
        <v>74</v>
      </c>
      <c r="AO194" t="s">
        <v>425</v>
      </c>
      <c r="AP194" t="s">
        <v>426</v>
      </c>
      <c r="AQ194" t="s">
        <v>74</v>
      </c>
      <c r="AR194" t="s">
        <v>74</v>
      </c>
      <c r="AS194" t="s">
        <v>74</v>
      </c>
      <c r="AT194" t="s">
        <v>157</v>
      </c>
      <c r="AU194">
        <v>1998</v>
      </c>
      <c r="AV194">
        <v>39</v>
      </c>
      <c r="AW194">
        <v>2</v>
      </c>
      <c r="AX194" t="s">
        <v>74</v>
      </c>
      <c r="AY194" t="s">
        <v>74</v>
      </c>
      <c r="AZ194" t="s">
        <v>74</v>
      </c>
      <c r="BA194" t="s">
        <v>74</v>
      </c>
      <c r="BB194">
        <v>199</v>
      </c>
      <c r="BC194">
        <v>205</v>
      </c>
      <c r="BD194" t="s">
        <v>74</v>
      </c>
      <c r="BE194" t="s">
        <v>6338</v>
      </c>
      <c r="BF194" t="str">
        <f>HYPERLINK("http://dx.doi.org/10.1046/j.1365-2427.1998.00267.x","http://dx.doi.org/10.1046/j.1365-2427.1998.00267.x")</f>
        <v>http://dx.doi.org/10.1046/j.1365-2427.1998.00267.x</v>
      </c>
      <c r="BG194" t="s">
        <v>74</v>
      </c>
      <c r="BH194" t="s">
        <v>74</v>
      </c>
      <c r="BI194" t="s">
        <v>74</v>
      </c>
      <c r="BJ194" t="s">
        <v>74</v>
      </c>
      <c r="BK194" t="s">
        <v>74</v>
      </c>
      <c r="BL194" t="s">
        <v>74</v>
      </c>
      <c r="BM194" t="s">
        <v>74</v>
      </c>
      <c r="BN194" t="s">
        <v>74</v>
      </c>
      <c r="BO194" t="s">
        <v>74</v>
      </c>
      <c r="BP194" t="s">
        <v>74</v>
      </c>
      <c r="BQ194" t="s">
        <v>74</v>
      </c>
      <c r="BR194" t="s">
        <v>74</v>
      </c>
      <c r="BS194" t="s">
        <v>6339</v>
      </c>
      <c r="BT194" t="str">
        <f>HYPERLINK("https%3A%2F%2Fwww.webofscience.com%2Fwos%2Fwoscc%2Ffull-record%2FWOS:000072885600001","View Full Record in Web of Science")</f>
        <v>View Full Record in Web of Science</v>
      </c>
    </row>
    <row r="195" spans="1:72" x14ac:dyDescent="0.2">
      <c r="A195" t="s">
        <v>72</v>
      </c>
      <c r="B195" t="s">
        <v>6359</v>
      </c>
      <c r="C195" t="s">
        <v>74</v>
      </c>
      <c r="D195" t="s">
        <v>74</v>
      </c>
      <c r="E195" t="s">
        <v>74</v>
      </c>
      <c r="F195" t="s">
        <v>6359</v>
      </c>
      <c r="G195" t="s">
        <v>74</v>
      </c>
      <c r="H195" t="s">
        <v>74</v>
      </c>
      <c r="I195" t="s">
        <v>6360</v>
      </c>
      <c r="J195" t="s">
        <v>124</v>
      </c>
      <c r="K195" t="s">
        <v>74</v>
      </c>
      <c r="L195" t="s">
        <v>74</v>
      </c>
      <c r="M195" t="s">
        <v>74</v>
      </c>
      <c r="N195" t="s">
        <v>74</v>
      </c>
      <c r="O195" t="s">
        <v>74</v>
      </c>
      <c r="P195" t="s">
        <v>74</v>
      </c>
      <c r="Q195" t="s">
        <v>74</v>
      </c>
      <c r="R195" t="s">
        <v>74</v>
      </c>
      <c r="S195" t="s">
        <v>74</v>
      </c>
      <c r="T195" t="s">
        <v>74</v>
      </c>
      <c r="U195" t="s">
        <v>74</v>
      </c>
      <c r="V195" t="s">
        <v>74</v>
      </c>
      <c r="W195" t="s">
        <v>74</v>
      </c>
      <c r="X195" t="s">
        <v>74</v>
      </c>
      <c r="Y195" t="s">
        <v>74</v>
      </c>
      <c r="Z195" t="s">
        <v>74</v>
      </c>
      <c r="AA195" t="s">
        <v>74</v>
      </c>
      <c r="AB195" t="s">
        <v>74</v>
      </c>
      <c r="AC195" t="s">
        <v>74</v>
      </c>
      <c r="AD195" t="s">
        <v>74</v>
      </c>
      <c r="AE195" t="s">
        <v>74</v>
      </c>
      <c r="AF195" t="s">
        <v>74</v>
      </c>
      <c r="AG195" t="s">
        <v>74</v>
      </c>
      <c r="AH195" t="s">
        <v>74</v>
      </c>
      <c r="AI195" t="s">
        <v>74</v>
      </c>
      <c r="AJ195" t="s">
        <v>74</v>
      </c>
      <c r="AK195" t="s">
        <v>74</v>
      </c>
      <c r="AL195" t="s">
        <v>74</v>
      </c>
      <c r="AM195" t="s">
        <v>74</v>
      </c>
      <c r="AN195" t="s">
        <v>74</v>
      </c>
      <c r="AO195" t="s">
        <v>127</v>
      </c>
      <c r="AP195" t="s">
        <v>74</v>
      </c>
      <c r="AQ195" t="s">
        <v>74</v>
      </c>
      <c r="AR195" t="s">
        <v>74</v>
      </c>
      <c r="AS195" t="s">
        <v>74</v>
      </c>
      <c r="AT195" t="s">
        <v>74</v>
      </c>
      <c r="AU195">
        <v>1998</v>
      </c>
      <c r="AV195">
        <v>384</v>
      </c>
      <c r="AW195" t="s">
        <v>74</v>
      </c>
      <c r="AX195" t="s">
        <v>74</v>
      </c>
      <c r="AY195" t="s">
        <v>74</v>
      </c>
      <c r="AZ195" t="s">
        <v>74</v>
      </c>
      <c r="BA195" t="s">
        <v>74</v>
      </c>
      <c r="BB195">
        <v>111</v>
      </c>
      <c r="BC195">
        <v>118</v>
      </c>
      <c r="BD195" t="s">
        <v>74</v>
      </c>
      <c r="BE195" t="s">
        <v>6361</v>
      </c>
      <c r="BF195" t="str">
        <f>HYPERLINK("http://dx.doi.org/10.1023/A:1003295210747","http://dx.doi.org/10.1023/A:1003295210747")</f>
        <v>http://dx.doi.org/10.1023/A:1003295210747</v>
      </c>
      <c r="BG195" t="s">
        <v>74</v>
      </c>
      <c r="BH195" t="s">
        <v>74</v>
      </c>
      <c r="BI195" t="s">
        <v>74</v>
      </c>
      <c r="BJ195" t="s">
        <v>74</v>
      </c>
      <c r="BK195" t="s">
        <v>74</v>
      </c>
      <c r="BL195" t="s">
        <v>74</v>
      </c>
      <c r="BM195" t="s">
        <v>74</v>
      </c>
      <c r="BN195" t="s">
        <v>74</v>
      </c>
      <c r="BO195" t="s">
        <v>74</v>
      </c>
      <c r="BP195" t="s">
        <v>74</v>
      </c>
      <c r="BQ195" t="s">
        <v>74</v>
      </c>
      <c r="BR195" t="s">
        <v>74</v>
      </c>
      <c r="BS195" t="s">
        <v>6362</v>
      </c>
      <c r="BT195" t="str">
        <f>HYPERLINK("https%3A%2F%2Fwww.webofscience.com%2Fwos%2Fwoscc%2Ffull-record%2FWOS:000078947900011","View Full Record in Web of Science")</f>
        <v>View Full Record in Web of Science</v>
      </c>
    </row>
    <row r="196" spans="1:72" x14ac:dyDescent="0.2">
      <c r="A196" t="s">
        <v>72</v>
      </c>
      <c r="B196" t="s">
        <v>6363</v>
      </c>
      <c r="C196" t="s">
        <v>74</v>
      </c>
      <c r="D196" t="s">
        <v>74</v>
      </c>
      <c r="E196" t="s">
        <v>74</v>
      </c>
      <c r="F196" t="s">
        <v>6363</v>
      </c>
      <c r="G196" t="s">
        <v>74</v>
      </c>
      <c r="H196" t="s">
        <v>74</v>
      </c>
      <c r="I196" t="s">
        <v>6364</v>
      </c>
      <c r="J196" t="s">
        <v>124</v>
      </c>
      <c r="K196" t="s">
        <v>74</v>
      </c>
      <c r="L196" t="s">
        <v>74</v>
      </c>
      <c r="M196" t="s">
        <v>74</v>
      </c>
      <c r="N196" t="s">
        <v>74</v>
      </c>
      <c r="O196" t="s">
        <v>6365</v>
      </c>
      <c r="P196" t="s">
        <v>6366</v>
      </c>
      <c r="Q196" t="s">
        <v>6367</v>
      </c>
      <c r="R196" t="s">
        <v>74</v>
      </c>
      <c r="S196" t="s">
        <v>6368</v>
      </c>
      <c r="T196" t="s">
        <v>74</v>
      </c>
      <c r="U196" t="s">
        <v>74</v>
      </c>
      <c r="V196" t="s">
        <v>74</v>
      </c>
      <c r="W196" t="s">
        <v>74</v>
      </c>
      <c r="X196" t="s">
        <v>74</v>
      </c>
      <c r="Y196" t="s">
        <v>74</v>
      </c>
      <c r="Z196" t="s">
        <v>74</v>
      </c>
      <c r="AA196" t="s">
        <v>6369</v>
      </c>
      <c r="AB196" t="s">
        <v>6370</v>
      </c>
      <c r="AC196" t="s">
        <v>74</v>
      </c>
      <c r="AD196" t="s">
        <v>74</v>
      </c>
      <c r="AE196" t="s">
        <v>74</v>
      </c>
      <c r="AF196" t="s">
        <v>74</v>
      </c>
      <c r="AG196" t="s">
        <v>74</v>
      </c>
      <c r="AH196" t="s">
        <v>74</v>
      </c>
      <c r="AI196" t="s">
        <v>74</v>
      </c>
      <c r="AJ196" t="s">
        <v>74</v>
      </c>
      <c r="AK196" t="s">
        <v>74</v>
      </c>
      <c r="AL196" t="s">
        <v>74</v>
      </c>
      <c r="AM196" t="s">
        <v>74</v>
      </c>
      <c r="AN196" t="s">
        <v>74</v>
      </c>
      <c r="AO196" t="s">
        <v>127</v>
      </c>
      <c r="AP196" t="s">
        <v>74</v>
      </c>
      <c r="AQ196" t="s">
        <v>74</v>
      </c>
      <c r="AR196" t="s">
        <v>74</v>
      </c>
      <c r="AS196" t="s">
        <v>74</v>
      </c>
      <c r="AT196" t="s">
        <v>74</v>
      </c>
      <c r="AU196">
        <v>1998</v>
      </c>
      <c r="AV196">
        <v>387</v>
      </c>
      <c r="AW196" t="s">
        <v>74</v>
      </c>
      <c r="AX196" t="s">
        <v>74</v>
      </c>
      <c r="AY196" t="s">
        <v>74</v>
      </c>
      <c r="AZ196" t="s">
        <v>74</v>
      </c>
      <c r="BA196" t="s">
        <v>74</v>
      </c>
      <c r="BB196">
        <v>355</v>
      </c>
      <c r="BC196">
        <v>360</v>
      </c>
      <c r="BD196" t="s">
        <v>74</v>
      </c>
      <c r="BE196" t="s">
        <v>6371</v>
      </c>
      <c r="BF196" t="str">
        <f>HYPERLINK("http://dx.doi.org/10.1023/A:1017092021816","http://dx.doi.org/10.1023/A:1017092021816")</f>
        <v>http://dx.doi.org/10.1023/A:1017092021816</v>
      </c>
      <c r="BG196" t="s">
        <v>74</v>
      </c>
      <c r="BH196" t="s">
        <v>74</v>
      </c>
      <c r="BI196" t="s">
        <v>74</v>
      </c>
      <c r="BJ196" t="s">
        <v>74</v>
      </c>
      <c r="BK196" t="s">
        <v>74</v>
      </c>
      <c r="BL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R196" t="s">
        <v>74</v>
      </c>
      <c r="BS196" t="s">
        <v>6372</v>
      </c>
      <c r="BT196" t="str">
        <f>HYPERLINK("https%3A%2F%2Fwww.webofscience.com%2Fwos%2Fwoscc%2Ffull-record%2FWOS:000080234300049","View Full Record in Web of Science")</f>
        <v>View Full Record in Web of Science</v>
      </c>
    </row>
    <row r="197" spans="1:72" x14ac:dyDescent="0.2">
      <c r="A197" t="s">
        <v>72</v>
      </c>
      <c r="B197" t="s">
        <v>6388</v>
      </c>
      <c r="C197" t="s">
        <v>74</v>
      </c>
      <c r="D197" t="s">
        <v>74</v>
      </c>
      <c r="E197" t="s">
        <v>74</v>
      </c>
      <c r="F197" t="s">
        <v>6388</v>
      </c>
      <c r="G197" t="s">
        <v>74</v>
      </c>
      <c r="H197" t="s">
        <v>74</v>
      </c>
      <c r="I197" t="s">
        <v>6389</v>
      </c>
      <c r="J197" t="s">
        <v>88</v>
      </c>
      <c r="K197" t="s">
        <v>74</v>
      </c>
      <c r="L197" t="s">
        <v>74</v>
      </c>
      <c r="M197" t="s">
        <v>74</v>
      </c>
      <c r="N197" t="s">
        <v>74</v>
      </c>
      <c r="O197" t="s">
        <v>74</v>
      </c>
      <c r="P197" t="s">
        <v>74</v>
      </c>
      <c r="Q197" t="s">
        <v>74</v>
      </c>
      <c r="R197" t="s">
        <v>74</v>
      </c>
      <c r="S197" t="s">
        <v>74</v>
      </c>
      <c r="T197" t="s">
        <v>74</v>
      </c>
      <c r="U197" t="s">
        <v>74</v>
      </c>
      <c r="V197" t="s">
        <v>74</v>
      </c>
      <c r="W197" t="s">
        <v>74</v>
      </c>
      <c r="X197" t="s">
        <v>74</v>
      </c>
      <c r="Y197" t="s">
        <v>74</v>
      </c>
      <c r="Z197" t="s">
        <v>74</v>
      </c>
      <c r="AA197" t="s">
        <v>74</v>
      </c>
      <c r="AB197" t="s">
        <v>6390</v>
      </c>
      <c r="AC197" t="s">
        <v>74</v>
      </c>
      <c r="AD197" t="s">
        <v>74</v>
      </c>
      <c r="AE197" t="s">
        <v>74</v>
      </c>
      <c r="AF197" t="s">
        <v>74</v>
      </c>
      <c r="AG197" t="s">
        <v>74</v>
      </c>
      <c r="AH197" t="s">
        <v>74</v>
      </c>
      <c r="AI197" t="s">
        <v>74</v>
      </c>
      <c r="AJ197" t="s">
        <v>74</v>
      </c>
      <c r="AK197" t="s">
        <v>74</v>
      </c>
      <c r="AL197" t="s">
        <v>74</v>
      </c>
      <c r="AM197" t="s">
        <v>74</v>
      </c>
      <c r="AN197" t="s">
        <v>74</v>
      </c>
      <c r="AO197" t="s">
        <v>89</v>
      </c>
      <c r="AP197" t="s">
        <v>90</v>
      </c>
      <c r="AQ197" t="s">
        <v>74</v>
      </c>
      <c r="AR197" t="s">
        <v>74</v>
      </c>
      <c r="AS197" t="s">
        <v>74</v>
      </c>
      <c r="AT197" t="s">
        <v>406</v>
      </c>
      <c r="AU197">
        <v>1997</v>
      </c>
      <c r="AV197">
        <v>54</v>
      </c>
      <c r="AW197">
        <v>10</v>
      </c>
      <c r="AX197" t="s">
        <v>74</v>
      </c>
      <c r="AY197" t="s">
        <v>74</v>
      </c>
      <c r="AZ197" t="s">
        <v>74</v>
      </c>
      <c r="BA197" t="s">
        <v>74</v>
      </c>
      <c r="BB197">
        <v>2350</v>
      </c>
      <c r="BC197">
        <v>2360</v>
      </c>
      <c r="BD197" t="s">
        <v>74</v>
      </c>
      <c r="BE197" t="s">
        <v>6391</v>
      </c>
      <c r="BF197" t="str">
        <f>HYPERLINK("http://dx.doi.org/10.1139/cjfas-54-10-2350","http://dx.doi.org/10.1139/cjfas-54-10-2350")</f>
        <v>http://dx.doi.org/10.1139/cjfas-54-10-2350</v>
      </c>
      <c r="BG197" t="s">
        <v>74</v>
      </c>
      <c r="BH197" t="s">
        <v>74</v>
      </c>
      <c r="BI197" t="s">
        <v>74</v>
      </c>
      <c r="BJ197" t="s">
        <v>74</v>
      </c>
      <c r="BK197" t="s">
        <v>74</v>
      </c>
      <c r="BL197" t="s">
        <v>74</v>
      </c>
      <c r="BM197" t="s">
        <v>74</v>
      </c>
      <c r="BN197" t="s">
        <v>74</v>
      </c>
      <c r="BO197" t="s">
        <v>74</v>
      </c>
      <c r="BP197" t="s">
        <v>74</v>
      </c>
      <c r="BQ197" t="s">
        <v>74</v>
      </c>
      <c r="BR197" t="s">
        <v>74</v>
      </c>
      <c r="BS197" t="s">
        <v>6392</v>
      </c>
      <c r="BT197" t="str">
        <f>HYPERLINK("https%3A%2F%2Fwww.webofscience.com%2Fwos%2Fwoscc%2Ffull-record%2FWOS:000071517900012","View Full Record in Web of Science")</f>
        <v>View Full Record in Web of Science</v>
      </c>
    </row>
    <row r="198" spans="1:72" x14ac:dyDescent="0.2">
      <c r="A198" t="s">
        <v>72</v>
      </c>
      <c r="B198" t="s">
        <v>6414</v>
      </c>
      <c r="C198" t="s">
        <v>74</v>
      </c>
      <c r="D198" t="s">
        <v>74</v>
      </c>
      <c r="E198" t="s">
        <v>74</v>
      </c>
      <c r="F198" t="s">
        <v>6414</v>
      </c>
      <c r="G198" t="s">
        <v>74</v>
      </c>
      <c r="H198" t="s">
        <v>74</v>
      </c>
      <c r="I198" t="s">
        <v>6415</v>
      </c>
      <c r="J198" t="s">
        <v>2769</v>
      </c>
      <c r="K198" t="s">
        <v>74</v>
      </c>
      <c r="L198" t="s">
        <v>74</v>
      </c>
      <c r="M198" t="s">
        <v>74</v>
      </c>
      <c r="N198" t="s">
        <v>74</v>
      </c>
      <c r="O198" t="s">
        <v>74</v>
      </c>
      <c r="P198" t="s">
        <v>74</v>
      </c>
      <c r="Q198" t="s">
        <v>74</v>
      </c>
      <c r="R198" t="s">
        <v>74</v>
      </c>
      <c r="S198" t="s">
        <v>74</v>
      </c>
      <c r="T198" t="s">
        <v>74</v>
      </c>
      <c r="U198" t="s">
        <v>74</v>
      </c>
      <c r="V198" t="s">
        <v>74</v>
      </c>
      <c r="W198" t="s">
        <v>74</v>
      </c>
      <c r="X198" t="s">
        <v>74</v>
      </c>
      <c r="Y198" t="s">
        <v>74</v>
      </c>
      <c r="Z198" t="s">
        <v>74</v>
      </c>
      <c r="AA198" t="s">
        <v>74</v>
      </c>
      <c r="AB198" t="s">
        <v>237</v>
      </c>
      <c r="AC198" t="s">
        <v>74</v>
      </c>
      <c r="AD198" t="s">
        <v>74</v>
      </c>
      <c r="AE198" t="s">
        <v>74</v>
      </c>
      <c r="AF198" t="s">
        <v>74</v>
      </c>
      <c r="AG198" t="s">
        <v>74</v>
      </c>
      <c r="AH198" t="s">
        <v>74</v>
      </c>
      <c r="AI198" t="s">
        <v>74</v>
      </c>
      <c r="AJ198" t="s">
        <v>74</v>
      </c>
      <c r="AK198" t="s">
        <v>74</v>
      </c>
      <c r="AL198" t="s">
        <v>74</v>
      </c>
      <c r="AM198" t="s">
        <v>74</v>
      </c>
      <c r="AN198" t="s">
        <v>74</v>
      </c>
      <c r="AO198" t="s">
        <v>2772</v>
      </c>
      <c r="AP198" t="s">
        <v>2773</v>
      </c>
      <c r="AQ198" t="s">
        <v>74</v>
      </c>
      <c r="AR198" t="s">
        <v>74</v>
      </c>
      <c r="AS198" t="s">
        <v>74</v>
      </c>
      <c r="AT198" t="s">
        <v>6416</v>
      </c>
      <c r="AU198">
        <v>1997</v>
      </c>
      <c r="AV198">
        <v>12</v>
      </c>
      <c r="AW198">
        <v>2</v>
      </c>
      <c r="AX198" t="s">
        <v>74</v>
      </c>
      <c r="AY198" t="s">
        <v>74</v>
      </c>
      <c r="AZ198" t="s">
        <v>74</v>
      </c>
      <c r="BA198" t="s">
        <v>74</v>
      </c>
      <c r="BB198">
        <v>153</v>
      </c>
      <c r="BC198">
        <v>164</v>
      </c>
      <c r="BD198" t="s">
        <v>74</v>
      </c>
      <c r="BE198" t="s">
        <v>6417</v>
      </c>
      <c r="BF198" t="str">
        <f>HYPERLINK("http://dx.doi.org/10.3354/ame012153","http://dx.doi.org/10.3354/ame012153")</f>
        <v>http://dx.doi.org/10.3354/ame012153</v>
      </c>
      <c r="BG198" t="s">
        <v>74</v>
      </c>
      <c r="BH198" t="s">
        <v>74</v>
      </c>
      <c r="BI198" t="s">
        <v>74</v>
      </c>
      <c r="BJ198" t="s">
        <v>74</v>
      </c>
      <c r="BK198" t="s">
        <v>74</v>
      </c>
      <c r="BL198" t="s">
        <v>74</v>
      </c>
      <c r="BM198" t="s">
        <v>74</v>
      </c>
      <c r="BN198" t="s">
        <v>74</v>
      </c>
      <c r="BO198" t="s">
        <v>74</v>
      </c>
      <c r="BP198" t="s">
        <v>74</v>
      </c>
      <c r="BQ198" t="s">
        <v>74</v>
      </c>
      <c r="BR198" t="s">
        <v>74</v>
      </c>
      <c r="BS198" t="s">
        <v>6418</v>
      </c>
      <c r="BT198" t="str">
        <f>HYPERLINK("https%3A%2F%2Fwww.webofscience.com%2Fwos%2Fwoscc%2Ffull-record%2FWOS:A1997WV12000006","View Full Record in Web of Science")</f>
        <v>View Full Record in Web of Science</v>
      </c>
    </row>
    <row r="199" spans="1:72" x14ac:dyDescent="0.2">
      <c r="A199" t="s">
        <v>72</v>
      </c>
      <c r="B199" t="s">
        <v>6442</v>
      </c>
      <c r="C199" t="s">
        <v>74</v>
      </c>
      <c r="D199" t="s">
        <v>74</v>
      </c>
      <c r="E199" t="s">
        <v>74</v>
      </c>
      <c r="F199" t="s">
        <v>6442</v>
      </c>
      <c r="G199" t="s">
        <v>74</v>
      </c>
      <c r="H199" t="s">
        <v>74</v>
      </c>
      <c r="I199" t="s">
        <v>6443</v>
      </c>
      <c r="J199" t="s">
        <v>1299</v>
      </c>
      <c r="K199" t="s">
        <v>74</v>
      </c>
      <c r="L199" t="s">
        <v>74</v>
      </c>
      <c r="M199" t="s">
        <v>74</v>
      </c>
      <c r="N199" t="s">
        <v>74</v>
      </c>
      <c r="O199" t="s">
        <v>74</v>
      </c>
      <c r="P199" t="s">
        <v>74</v>
      </c>
      <c r="Q199" t="s">
        <v>74</v>
      </c>
      <c r="R199" t="s">
        <v>74</v>
      </c>
      <c r="S199" t="s">
        <v>74</v>
      </c>
      <c r="T199" t="s">
        <v>74</v>
      </c>
      <c r="U199" t="s">
        <v>74</v>
      </c>
      <c r="V199" t="s">
        <v>74</v>
      </c>
      <c r="W199" t="s">
        <v>74</v>
      </c>
      <c r="X199" t="s">
        <v>74</v>
      </c>
      <c r="Y199" t="s">
        <v>74</v>
      </c>
      <c r="Z199" t="s">
        <v>74</v>
      </c>
      <c r="AA199" t="s">
        <v>3566</v>
      </c>
      <c r="AB199" t="s">
        <v>6422</v>
      </c>
      <c r="AC199" t="s">
        <v>74</v>
      </c>
      <c r="AD199" t="s">
        <v>74</v>
      </c>
      <c r="AE199" t="s">
        <v>74</v>
      </c>
      <c r="AF199" t="s">
        <v>74</v>
      </c>
      <c r="AG199" t="s">
        <v>74</v>
      </c>
      <c r="AH199" t="s">
        <v>74</v>
      </c>
      <c r="AI199" t="s">
        <v>74</v>
      </c>
      <c r="AJ199" t="s">
        <v>74</v>
      </c>
      <c r="AK199" t="s">
        <v>74</v>
      </c>
      <c r="AL199" t="s">
        <v>74</v>
      </c>
      <c r="AM199" t="s">
        <v>74</v>
      </c>
      <c r="AN199" t="s">
        <v>74</v>
      </c>
      <c r="AO199" t="s">
        <v>1302</v>
      </c>
      <c r="AP199" t="s">
        <v>74</v>
      </c>
      <c r="AQ199" t="s">
        <v>74</v>
      </c>
      <c r="AR199" t="s">
        <v>74</v>
      </c>
      <c r="AS199" t="s">
        <v>74</v>
      </c>
      <c r="AT199" t="s">
        <v>82</v>
      </c>
      <c r="AU199">
        <v>1996</v>
      </c>
      <c r="AV199">
        <v>108</v>
      </c>
      <c r="AW199">
        <v>4</v>
      </c>
      <c r="AX199" t="s">
        <v>74</v>
      </c>
      <c r="AY199" t="s">
        <v>74</v>
      </c>
      <c r="AZ199" t="s">
        <v>74</v>
      </c>
      <c r="BA199" t="s">
        <v>74</v>
      </c>
      <c r="BB199">
        <v>627</v>
      </c>
      <c r="BC199">
        <v>630</v>
      </c>
      <c r="BD199" t="s">
        <v>74</v>
      </c>
      <c r="BE199" t="s">
        <v>6444</v>
      </c>
      <c r="BF199" t="str">
        <f>HYPERLINK("http://dx.doi.org/10.1007/BF00329035","http://dx.doi.org/10.1007/BF00329035")</f>
        <v>http://dx.doi.org/10.1007/BF00329035</v>
      </c>
      <c r="BG199" t="s">
        <v>74</v>
      </c>
      <c r="BH199" t="s">
        <v>74</v>
      </c>
      <c r="BI199" t="s">
        <v>74</v>
      </c>
      <c r="BJ199" t="s">
        <v>74</v>
      </c>
      <c r="BK199" t="s">
        <v>74</v>
      </c>
      <c r="BL199" t="s">
        <v>74</v>
      </c>
      <c r="BM199" t="s">
        <v>74</v>
      </c>
      <c r="BN199">
        <v>28307794</v>
      </c>
      <c r="BO199" t="s">
        <v>74</v>
      </c>
      <c r="BP199" t="s">
        <v>74</v>
      </c>
      <c r="BQ199" t="s">
        <v>74</v>
      </c>
      <c r="BR199" t="s">
        <v>74</v>
      </c>
      <c r="BS199" t="s">
        <v>6445</v>
      </c>
      <c r="BT199" t="str">
        <f>HYPERLINK("https%3A%2F%2Fwww.webofscience.com%2Fwos%2Fwoscc%2Ffull-record%2FWOS:A1996VX11000006","View Full Record in Web of Science")</f>
        <v>View Full Record in Web of Science</v>
      </c>
    </row>
    <row r="200" spans="1:72" x14ac:dyDescent="0.2">
      <c r="A200" t="s">
        <v>72</v>
      </c>
      <c r="B200" t="s">
        <v>6461</v>
      </c>
      <c r="C200" t="s">
        <v>74</v>
      </c>
      <c r="D200" t="s">
        <v>74</v>
      </c>
      <c r="E200" t="s">
        <v>74</v>
      </c>
      <c r="F200" t="s">
        <v>6461</v>
      </c>
      <c r="G200" t="s">
        <v>74</v>
      </c>
      <c r="H200" t="s">
        <v>74</v>
      </c>
      <c r="I200" t="s">
        <v>6462</v>
      </c>
      <c r="J200" t="s">
        <v>227</v>
      </c>
      <c r="K200" t="s">
        <v>74</v>
      </c>
      <c r="L200" t="s">
        <v>74</v>
      </c>
      <c r="M200" t="s">
        <v>74</v>
      </c>
      <c r="N200" t="s">
        <v>74</v>
      </c>
      <c r="O200" t="s">
        <v>74</v>
      </c>
      <c r="P200" t="s">
        <v>74</v>
      </c>
      <c r="Q200" t="s">
        <v>74</v>
      </c>
      <c r="R200" t="s">
        <v>74</v>
      </c>
      <c r="S200" t="s">
        <v>74</v>
      </c>
      <c r="T200" t="s">
        <v>74</v>
      </c>
      <c r="U200" t="s">
        <v>74</v>
      </c>
      <c r="V200" t="s">
        <v>74</v>
      </c>
      <c r="W200" t="s">
        <v>74</v>
      </c>
      <c r="X200" t="s">
        <v>74</v>
      </c>
      <c r="Y200" t="s">
        <v>74</v>
      </c>
      <c r="Z200" t="s">
        <v>74</v>
      </c>
      <c r="AA200" t="s">
        <v>74</v>
      </c>
      <c r="AB200" t="s">
        <v>74</v>
      </c>
      <c r="AC200" t="s">
        <v>74</v>
      </c>
      <c r="AD200" t="s">
        <v>74</v>
      </c>
      <c r="AE200" t="s">
        <v>74</v>
      </c>
      <c r="AF200" t="s">
        <v>74</v>
      </c>
      <c r="AG200" t="s">
        <v>74</v>
      </c>
      <c r="AH200" t="s">
        <v>74</v>
      </c>
      <c r="AI200" t="s">
        <v>74</v>
      </c>
      <c r="AJ200" t="s">
        <v>74</v>
      </c>
      <c r="AK200" t="s">
        <v>74</v>
      </c>
      <c r="AL200" t="s">
        <v>74</v>
      </c>
      <c r="AM200" t="s">
        <v>74</v>
      </c>
      <c r="AN200" t="s">
        <v>74</v>
      </c>
      <c r="AO200" t="s">
        <v>230</v>
      </c>
      <c r="AP200" t="s">
        <v>74</v>
      </c>
      <c r="AQ200" t="s">
        <v>74</v>
      </c>
      <c r="AR200" t="s">
        <v>74</v>
      </c>
      <c r="AS200" t="s">
        <v>74</v>
      </c>
      <c r="AT200" t="s">
        <v>569</v>
      </c>
      <c r="AU200">
        <v>1996</v>
      </c>
      <c r="AV200">
        <v>41</v>
      </c>
      <c r="AW200">
        <v>4</v>
      </c>
      <c r="AX200" t="s">
        <v>74</v>
      </c>
      <c r="AY200" t="s">
        <v>74</v>
      </c>
      <c r="AZ200" t="s">
        <v>74</v>
      </c>
      <c r="BA200" t="s">
        <v>74</v>
      </c>
      <c r="BB200">
        <v>648</v>
      </c>
      <c r="BC200">
        <v>658</v>
      </c>
      <c r="BD200" t="s">
        <v>74</v>
      </c>
      <c r="BE200" t="s">
        <v>6463</v>
      </c>
      <c r="BF200" t="str">
        <f>HYPERLINK("http://dx.doi.org/10.4319/lo.1996.41.4.0648","http://dx.doi.org/10.4319/lo.1996.41.4.0648")</f>
        <v>http://dx.doi.org/10.4319/lo.1996.41.4.0648</v>
      </c>
      <c r="BG200" t="s">
        <v>74</v>
      </c>
      <c r="BH200" t="s">
        <v>74</v>
      </c>
      <c r="BI200" t="s">
        <v>74</v>
      </c>
      <c r="BJ200" t="s">
        <v>74</v>
      </c>
      <c r="BK200" t="s">
        <v>74</v>
      </c>
      <c r="BL200" t="s">
        <v>74</v>
      </c>
      <c r="BM200" t="s">
        <v>74</v>
      </c>
      <c r="BN200" t="s">
        <v>74</v>
      </c>
      <c r="BO200" t="s">
        <v>74</v>
      </c>
      <c r="BP200" t="s">
        <v>74</v>
      </c>
      <c r="BQ200" t="s">
        <v>74</v>
      </c>
      <c r="BR200" t="s">
        <v>74</v>
      </c>
      <c r="BS200" t="s">
        <v>6464</v>
      </c>
      <c r="BT200" t="str">
        <f>HYPERLINK("https%3A%2F%2Fwww.webofscience.com%2Fwos%2Fwoscc%2Ffull-record%2FWOS:A1996VD30600006","View Full Record in Web of Science")</f>
        <v>View Full Record in Web of Science</v>
      </c>
    </row>
    <row r="201" spans="1:72" x14ac:dyDescent="0.2">
      <c r="A201" t="s">
        <v>72</v>
      </c>
      <c r="B201" t="s">
        <v>6471</v>
      </c>
      <c r="C201" t="s">
        <v>74</v>
      </c>
      <c r="D201" t="s">
        <v>74</v>
      </c>
      <c r="E201" t="s">
        <v>74</v>
      </c>
      <c r="F201" t="s">
        <v>6471</v>
      </c>
      <c r="G201" t="s">
        <v>74</v>
      </c>
      <c r="H201" t="s">
        <v>74</v>
      </c>
      <c r="I201" t="s">
        <v>6472</v>
      </c>
      <c r="J201" t="s">
        <v>106</v>
      </c>
      <c r="K201" t="s">
        <v>74</v>
      </c>
      <c r="L201" t="s">
        <v>74</v>
      </c>
      <c r="M201" t="s">
        <v>74</v>
      </c>
      <c r="N201" t="s">
        <v>74</v>
      </c>
      <c r="O201" t="s">
        <v>74</v>
      </c>
      <c r="P201" t="s">
        <v>74</v>
      </c>
      <c r="Q201" t="s">
        <v>74</v>
      </c>
      <c r="R201" t="s">
        <v>74</v>
      </c>
      <c r="S201" t="s">
        <v>74</v>
      </c>
      <c r="T201" t="s">
        <v>74</v>
      </c>
      <c r="U201" t="s">
        <v>74</v>
      </c>
      <c r="V201" t="s">
        <v>74</v>
      </c>
      <c r="W201" t="s">
        <v>74</v>
      </c>
      <c r="X201" t="s">
        <v>74</v>
      </c>
      <c r="Y201" t="s">
        <v>74</v>
      </c>
      <c r="Z201" t="s">
        <v>74</v>
      </c>
      <c r="AA201" t="s">
        <v>6473</v>
      </c>
      <c r="AB201" t="s">
        <v>6474</v>
      </c>
      <c r="AC201" t="s">
        <v>74</v>
      </c>
      <c r="AD201" t="s">
        <v>74</v>
      </c>
      <c r="AE201" t="s">
        <v>74</v>
      </c>
      <c r="AF201" t="s">
        <v>74</v>
      </c>
      <c r="AG201" t="s">
        <v>74</v>
      </c>
      <c r="AH201" t="s">
        <v>74</v>
      </c>
      <c r="AI201" t="s">
        <v>74</v>
      </c>
      <c r="AJ201" t="s">
        <v>74</v>
      </c>
      <c r="AK201" t="s">
        <v>74</v>
      </c>
      <c r="AL201" t="s">
        <v>74</v>
      </c>
      <c r="AM201" t="s">
        <v>74</v>
      </c>
      <c r="AN201" t="s">
        <v>74</v>
      </c>
      <c r="AO201" t="s">
        <v>107</v>
      </c>
      <c r="AP201" t="s">
        <v>108</v>
      </c>
      <c r="AQ201" t="s">
        <v>74</v>
      </c>
      <c r="AR201" t="s">
        <v>74</v>
      </c>
      <c r="AS201" t="s">
        <v>74</v>
      </c>
      <c r="AT201" t="s">
        <v>203</v>
      </c>
      <c r="AU201">
        <v>1996</v>
      </c>
      <c r="AV201">
        <v>18</v>
      </c>
      <c r="AW201">
        <v>4</v>
      </c>
      <c r="AX201" t="s">
        <v>74</v>
      </c>
      <c r="AY201" t="s">
        <v>74</v>
      </c>
      <c r="AZ201" t="s">
        <v>74</v>
      </c>
      <c r="BA201" t="s">
        <v>74</v>
      </c>
      <c r="BB201">
        <v>463</v>
      </c>
      <c r="BC201">
        <v>481</v>
      </c>
      <c r="BD201" t="s">
        <v>74</v>
      </c>
      <c r="BE201" t="s">
        <v>6475</v>
      </c>
      <c r="BF201" t="str">
        <f>HYPERLINK("http://dx.doi.org/10.1093/plankt/18.4.463","http://dx.doi.org/10.1093/plankt/18.4.463")</f>
        <v>http://dx.doi.org/10.1093/plankt/18.4.463</v>
      </c>
      <c r="BG201" t="s">
        <v>74</v>
      </c>
      <c r="BH201" t="s">
        <v>74</v>
      </c>
      <c r="BI201" t="s">
        <v>74</v>
      </c>
      <c r="BJ201" t="s">
        <v>74</v>
      </c>
      <c r="BK201" t="s">
        <v>74</v>
      </c>
      <c r="BL201" t="s">
        <v>74</v>
      </c>
      <c r="BM201" t="s">
        <v>74</v>
      </c>
      <c r="BN201" t="s">
        <v>74</v>
      </c>
      <c r="BO201" t="s">
        <v>74</v>
      </c>
      <c r="BP201" t="s">
        <v>74</v>
      </c>
      <c r="BQ201" t="s">
        <v>74</v>
      </c>
      <c r="BR201" t="s">
        <v>74</v>
      </c>
      <c r="BS201" t="s">
        <v>6476</v>
      </c>
      <c r="BT201" t="str">
        <f>HYPERLINK("https%3A%2F%2Fwww.webofscience.com%2Fwos%2Fwoscc%2Ffull-record%2FWOS:A1996UF93600001","View Full Record in Web of Science")</f>
        <v>View Full Record in Web of Science</v>
      </c>
    </row>
    <row r="202" spans="1:72" x14ac:dyDescent="0.2">
      <c r="A202" t="s">
        <v>72</v>
      </c>
      <c r="B202" t="s">
        <v>6506</v>
      </c>
      <c r="C202" t="s">
        <v>74</v>
      </c>
      <c r="D202" t="s">
        <v>74</v>
      </c>
      <c r="E202" t="s">
        <v>74</v>
      </c>
      <c r="F202" t="s">
        <v>6506</v>
      </c>
      <c r="G202" t="s">
        <v>74</v>
      </c>
      <c r="H202" t="s">
        <v>74</v>
      </c>
      <c r="I202" t="s">
        <v>6507</v>
      </c>
      <c r="J202" t="s">
        <v>88</v>
      </c>
      <c r="K202" t="s">
        <v>74</v>
      </c>
      <c r="L202" t="s">
        <v>74</v>
      </c>
      <c r="M202" t="s">
        <v>74</v>
      </c>
      <c r="N202" t="s">
        <v>74</v>
      </c>
      <c r="O202" t="s">
        <v>74</v>
      </c>
      <c r="P202" t="s">
        <v>74</v>
      </c>
      <c r="Q202" t="s">
        <v>74</v>
      </c>
      <c r="R202" t="s">
        <v>74</v>
      </c>
      <c r="S202" t="s">
        <v>74</v>
      </c>
      <c r="T202" t="s">
        <v>74</v>
      </c>
      <c r="U202" t="s">
        <v>74</v>
      </c>
      <c r="V202" t="s">
        <v>74</v>
      </c>
      <c r="W202" t="s">
        <v>74</v>
      </c>
      <c r="X202" t="s">
        <v>74</v>
      </c>
      <c r="Y202" t="s">
        <v>74</v>
      </c>
      <c r="Z202" t="s">
        <v>74</v>
      </c>
      <c r="AA202" t="s">
        <v>74</v>
      </c>
      <c r="AB202" t="s">
        <v>74</v>
      </c>
      <c r="AC202" t="s">
        <v>74</v>
      </c>
      <c r="AD202" t="s">
        <v>74</v>
      </c>
      <c r="AE202" t="s">
        <v>74</v>
      </c>
      <c r="AF202" t="s">
        <v>74</v>
      </c>
      <c r="AG202" t="s">
        <v>74</v>
      </c>
      <c r="AH202" t="s">
        <v>74</v>
      </c>
      <c r="AI202" t="s">
        <v>74</v>
      </c>
      <c r="AJ202" t="s">
        <v>74</v>
      </c>
      <c r="AK202" t="s">
        <v>74</v>
      </c>
      <c r="AL202" t="s">
        <v>74</v>
      </c>
      <c r="AM202" t="s">
        <v>74</v>
      </c>
      <c r="AN202" t="s">
        <v>74</v>
      </c>
      <c r="AO202" t="s">
        <v>89</v>
      </c>
      <c r="AP202" t="s">
        <v>74</v>
      </c>
      <c r="AQ202" t="s">
        <v>74</v>
      </c>
      <c r="AR202" t="s">
        <v>74</v>
      </c>
      <c r="AS202" t="s">
        <v>74</v>
      </c>
      <c r="AT202" t="s">
        <v>315</v>
      </c>
      <c r="AU202">
        <v>1996</v>
      </c>
      <c r="AV202">
        <v>53</v>
      </c>
      <c r="AW202">
        <v>1</v>
      </c>
      <c r="AX202" t="s">
        <v>74</v>
      </c>
      <c r="AY202" t="s">
        <v>74</v>
      </c>
      <c r="AZ202" t="s">
        <v>74</v>
      </c>
      <c r="BA202" t="s">
        <v>74</v>
      </c>
      <c r="BB202">
        <v>29</v>
      </c>
      <c r="BC202">
        <v>37</v>
      </c>
      <c r="BD202" t="s">
        <v>74</v>
      </c>
      <c r="BE202" t="s">
        <v>6508</v>
      </c>
      <c r="BF202" t="str">
        <f>HYPERLINK("http://dx.doi.org/10.1139/cjfas-53-1-29","http://dx.doi.org/10.1139/cjfas-53-1-29")</f>
        <v>http://dx.doi.org/10.1139/cjfas-53-1-29</v>
      </c>
      <c r="BG202" t="s">
        <v>74</v>
      </c>
      <c r="BH202" t="s">
        <v>74</v>
      </c>
      <c r="BI202" t="s">
        <v>74</v>
      </c>
      <c r="BJ202" t="s">
        <v>74</v>
      </c>
      <c r="BK202" t="s">
        <v>74</v>
      </c>
      <c r="BL202" t="s">
        <v>74</v>
      </c>
      <c r="BM202" t="s">
        <v>74</v>
      </c>
      <c r="BN202" t="s">
        <v>74</v>
      </c>
      <c r="BO202" t="s">
        <v>74</v>
      </c>
      <c r="BP202" t="s">
        <v>74</v>
      </c>
      <c r="BQ202" t="s">
        <v>74</v>
      </c>
      <c r="BR202" t="s">
        <v>74</v>
      </c>
      <c r="BS202" t="s">
        <v>6509</v>
      </c>
      <c r="BT202" t="str">
        <f>HYPERLINK("https%3A%2F%2Fwww.webofscience.com%2Fwos%2Fwoscc%2Ffull-record%2FWOS:A1996UB97900003","View Full Record in Web of Science")</f>
        <v>View Full Record in Web of Science</v>
      </c>
    </row>
    <row r="203" spans="1:72" x14ac:dyDescent="0.2">
      <c r="A203" t="s">
        <v>72</v>
      </c>
      <c r="B203" t="s">
        <v>6563</v>
      </c>
      <c r="C203" t="s">
        <v>74</v>
      </c>
      <c r="D203" t="s">
        <v>74</v>
      </c>
      <c r="E203" t="s">
        <v>74</v>
      </c>
      <c r="F203" t="s">
        <v>6563</v>
      </c>
      <c r="G203" t="s">
        <v>74</v>
      </c>
      <c r="H203" t="s">
        <v>74</v>
      </c>
      <c r="I203" t="s">
        <v>6564</v>
      </c>
      <c r="J203" t="s">
        <v>227</v>
      </c>
      <c r="K203" t="s">
        <v>74</v>
      </c>
      <c r="L203" t="s">
        <v>74</v>
      </c>
      <c r="M203" t="s">
        <v>74</v>
      </c>
      <c r="N203" t="s">
        <v>74</v>
      </c>
      <c r="O203" t="s">
        <v>74</v>
      </c>
      <c r="P203" t="s">
        <v>74</v>
      </c>
      <c r="Q203" t="s">
        <v>74</v>
      </c>
      <c r="R203" t="s">
        <v>74</v>
      </c>
      <c r="S203" t="s">
        <v>74</v>
      </c>
      <c r="T203" t="s">
        <v>74</v>
      </c>
      <c r="U203" t="s">
        <v>74</v>
      </c>
      <c r="V203" t="s">
        <v>74</v>
      </c>
      <c r="W203" t="s">
        <v>74</v>
      </c>
      <c r="X203" t="s">
        <v>74</v>
      </c>
      <c r="Y203" t="s">
        <v>74</v>
      </c>
      <c r="Z203" t="s">
        <v>74</v>
      </c>
      <c r="AA203" t="s">
        <v>74</v>
      </c>
      <c r="AB203" t="s">
        <v>74</v>
      </c>
      <c r="AC203" t="s">
        <v>74</v>
      </c>
      <c r="AD203" t="s">
        <v>74</v>
      </c>
      <c r="AE203" t="s">
        <v>74</v>
      </c>
      <c r="AF203" t="s">
        <v>74</v>
      </c>
      <c r="AG203" t="s">
        <v>74</v>
      </c>
      <c r="AH203" t="s">
        <v>74</v>
      </c>
      <c r="AI203" t="s">
        <v>74</v>
      </c>
      <c r="AJ203" t="s">
        <v>74</v>
      </c>
      <c r="AK203" t="s">
        <v>74</v>
      </c>
      <c r="AL203" t="s">
        <v>74</v>
      </c>
      <c r="AM203" t="s">
        <v>74</v>
      </c>
      <c r="AN203" t="s">
        <v>74</v>
      </c>
      <c r="AO203" t="s">
        <v>230</v>
      </c>
      <c r="AP203" t="s">
        <v>231</v>
      </c>
      <c r="AQ203" t="s">
        <v>74</v>
      </c>
      <c r="AR203" t="s">
        <v>74</v>
      </c>
      <c r="AS203" t="s">
        <v>74</v>
      </c>
      <c r="AT203" t="s">
        <v>335</v>
      </c>
      <c r="AU203">
        <v>1994</v>
      </c>
      <c r="AV203">
        <v>39</v>
      </c>
      <c r="AW203">
        <v>7</v>
      </c>
      <c r="AX203" t="s">
        <v>74</v>
      </c>
      <c r="AY203" t="s">
        <v>74</v>
      </c>
      <c r="AZ203" t="s">
        <v>74</v>
      </c>
      <c r="BA203" t="s">
        <v>74</v>
      </c>
      <c r="BB203">
        <v>1669</v>
      </c>
      <c r="BC203">
        <v>1679</v>
      </c>
      <c r="BD203" t="s">
        <v>74</v>
      </c>
      <c r="BE203" t="s">
        <v>6565</v>
      </c>
      <c r="BF203" t="str">
        <f>HYPERLINK("http://dx.doi.org/10.4319/lo.1994.39.7.1669","http://dx.doi.org/10.4319/lo.1994.39.7.1669")</f>
        <v>http://dx.doi.org/10.4319/lo.1994.39.7.1669</v>
      </c>
      <c r="BG203" t="s">
        <v>74</v>
      </c>
      <c r="BH203" t="s">
        <v>74</v>
      </c>
      <c r="BI203" t="s">
        <v>74</v>
      </c>
      <c r="BJ203" t="s">
        <v>74</v>
      </c>
      <c r="BK203" t="s">
        <v>74</v>
      </c>
      <c r="BL203" t="s">
        <v>74</v>
      </c>
      <c r="BM203" t="s">
        <v>74</v>
      </c>
      <c r="BN203" t="s">
        <v>74</v>
      </c>
      <c r="BO203" t="s">
        <v>74</v>
      </c>
      <c r="BP203" t="s">
        <v>74</v>
      </c>
      <c r="BQ203" t="s">
        <v>74</v>
      </c>
      <c r="BR203" t="s">
        <v>74</v>
      </c>
      <c r="BS203" t="s">
        <v>6566</v>
      </c>
      <c r="BT203" t="str">
        <f>HYPERLINK("https%3A%2F%2Fwww.webofscience.com%2Fwos%2Fwoscc%2Ffull-record%2FWOS:A1994PZ96700015","View Full Record in Web of Science")</f>
        <v>View Full Record in Web of Science</v>
      </c>
    </row>
    <row r="204" spans="1:72" x14ac:dyDescent="0.2">
      <c r="A204" t="s">
        <v>72</v>
      </c>
      <c r="B204" t="s">
        <v>6593</v>
      </c>
      <c r="C204" t="s">
        <v>74</v>
      </c>
      <c r="D204" t="s">
        <v>74</v>
      </c>
      <c r="E204" t="s">
        <v>74</v>
      </c>
      <c r="F204" t="s">
        <v>6593</v>
      </c>
      <c r="G204" t="s">
        <v>74</v>
      </c>
      <c r="H204" t="s">
        <v>74</v>
      </c>
      <c r="I204" t="s">
        <v>6594</v>
      </c>
      <c r="J204" t="s">
        <v>77</v>
      </c>
      <c r="K204" t="s">
        <v>74</v>
      </c>
      <c r="L204" t="s">
        <v>74</v>
      </c>
      <c r="M204" t="s">
        <v>74</v>
      </c>
      <c r="N204" t="s">
        <v>74</v>
      </c>
      <c r="O204" t="s">
        <v>74</v>
      </c>
      <c r="P204" t="s">
        <v>74</v>
      </c>
      <c r="Q204" t="s">
        <v>74</v>
      </c>
      <c r="R204" t="s">
        <v>74</v>
      </c>
      <c r="S204" t="s">
        <v>74</v>
      </c>
      <c r="T204" t="s">
        <v>74</v>
      </c>
      <c r="U204" t="s">
        <v>74</v>
      </c>
      <c r="V204" t="s">
        <v>74</v>
      </c>
      <c r="W204" t="s">
        <v>74</v>
      </c>
      <c r="X204" t="s">
        <v>74</v>
      </c>
      <c r="Y204" t="s">
        <v>74</v>
      </c>
      <c r="Z204" t="s">
        <v>74</v>
      </c>
      <c r="AA204" t="s">
        <v>74</v>
      </c>
      <c r="AB204" t="s">
        <v>74</v>
      </c>
      <c r="AC204" t="s">
        <v>74</v>
      </c>
      <c r="AD204" t="s">
        <v>74</v>
      </c>
      <c r="AE204" t="s">
        <v>74</v>
      </c>
      <c r="AF204" t="s">
        <v>74</v>
      </c>
      <c r="AG204" t="s">
        <v>74</v>
      </c>
      <c r="AH204" t="s">
        <v>74</v>
      </c>
      <c r="AI204" t="s">
        <v>74</v>
      </c>
      <c r="AJ204" t="s">
        <v>74</v>
      </c>
      <c r="AK204" t="s">
        <v>74</v>
      </c>
      <c r="AL204" t="s">
        <v>74</v>
      </c>
      <c r="AM204" t="s">
        <v>74</v>
      </c>
      <c r="AN204" t="s">
        <v>74</v>
      </c>
      <c r="AO204" t="s">
        <v>80</v>
      </c>
      <c r="AP204" t="s">
        <v>74</v>
      </c>
      <c r="AQ204" t="s">
        <v>74</v>
      </c>
      <c r="AR204" t="s">
        <v>74</v>
      </c>
      <c r="AS204" t="s">
        <v>74</v>
      </c>
      <c r="AT204" t="s">
        <v>5034</v>
      </c>
      <c r="AU204">
        <v>1993</v>
      </c>
      <c r="AV204">
        <v>26</v>
      </c>
      <c r="AW204">
        <v>3</v>
      </c>
      <c r="AX204" t="s">
        <v>74</v>
      </c>
      <c r="AY204" t="s">
        <v>74</v>
      </c>
      <c r="AZ204" t="s">
        <v>74</v>
      </c>
      <c r="BA204" t="s">
        <v>74</v>
      </c>
      <c r="BB204">
        <v>189</v>
      </c>
      <c r="BC204">
        <v>200</v>
      </c>
      <c r="BD204" t="s">
        <v>74</v>
      </c>
      <c r="BE204" t="s">
        <v>74</v>
      </c>
      <c r="BF204" t="s">
        <v>74</v>
      </c>
      <c r="BG204" t="s">
        <v>74</v>
      </c>
      <c r="BH204" t="s">
        <v>74</v>
      </c>
      <c r="BI204" t="s">
        <v>74</v>
      </c>
      <c r="BJ204" t="s">
        <v>74</v>
      </c>
      <c r="BK204" t="s">
        <v>74</v>
      </c>
      <c r="BL204" t="s">
        <v>74</v>
      </c>
      <c r="BM204" t="s">
        <v>74</v>
      </c>
      <c r="BN204">
        <v>24190089</v>
      </c>
      <c r="BO204" t="s">
        <v>74</v>
      </c>
      <c r="BP204" t="s">
        <v>74</v>
      </c>
      <c r="BQ204" t="s">
        <v>74</v>
      </c>
      <c r="BR204" t="s">
        <v>74</v>
      </c>
      <c r="BS204" t="s">
        <v>6595</v>
      </c>
      <c r="BT204" t="str">
        <f>HYPERLINK("https%3A%2F%2Fwww.webofscience.com%2Fwos%2Fwoscc%2Ffull-record%2FWOS:A1993MP10300001","View Full Record in Web of Science")</f>
        <v>View Full Record in Web of Science</v>
      </c>
    </row>
    <row r="205" spans="1:72" x14ac:dyDescent="0.2">
      <c r="A205" t="s">
        <v>72</v>
      </c>
      <c r="B205" t="s">
        <v>6604</v>
      </c>
      <c r="C205" t="s">
        <v>74</v>
      </c>
      <c r="D205" t="s">
        <v>74</v>
      </c>
      <c r="E205" t="s">
        <v>74</v>
      </c>
      <c r="F205" t="s">
        <v>6604</v>
      </c>
      <c r="G205" t="s">
        <v>74</v>
      </c>
      <c r="H205" t="s">
        <v>74</v>
      </c>
      <c r="I205" t="s">
        <v>6605</v>
      </c>
      <c r="J205" t="s">
        <v>106</v>
      </c>
      <c r="K205" t="s">
        <v>74</v>
      </c>
      <c r="L205" t="s">
        <v>74</v>
      </c>
      <c r="M205" t="s">
        <v>74</v>
      </c>
      <c r="N205" t="s">
        <v>74</v>
      </c>
      <c r="O205" t="s">
        <v>74</v>
      </c>
      <c r="P205" t="s">
        <v>74</v>
      </c>
      <c r="Q205" t="s">
        <v>74</v>
      </c>
      <c r="R205" t="s">
        <v>74</v>
      </c>
      <c r="S205" t="s">
        <v>74</v>
      </c>
      <c r="T205" t="s">
        <v>74</v>
      </c>
      <c r="U205" t="s">
        <v>74</v>
      </c>
      <c r="V205" t="s">
        <v>74</v>
      </c>
      <c r="W205" t="s">
        <v>74</v>
      </c>
      <c r="X205" t="s">
        <v>74</v>
      </c>
      <c r="Y205" t="s">
        <v>74</v>
      </c>
      <c r="Z205" t="s">
        <v>74</v>
      </c>
      <c r="AA205" t="s">
        <v>74</v>
      </c>
      <c r="AB205" t="s">
        <v>74</v>
      </c>
      <c r="AC205" t="s">
        <v>74</v>
      </c>
      <c r="AD205" t="s">
        <v>74</v>
      </c>
      <c r="AE205" t="s">
        <v>74</v>
      </c>
      <c r="AF205" t="s">
        <v>74</v>
      </c>
      <c r="AG205" t="s">
        <v>74</v>
      </c>
      <c r="AH205" t="s">
        <v>74</v>
      </c>
      <c r="AI205" t="s">
        <v>74</v>
      </c>
      <c r="AJ205" t="s">
        <v>74</v>
      </c>
      <c r="AK205" t="s">
        <v>74</v>
      </c>
      <c r="AL205" t="s">
        <v>74</v>
      </c>
      <c r="AM205" t="s">
        <v>74</v>
      </c>
      <c r="AN205" t="s">
        <v>74</v>
      </c>
      <c r="AO205" t="s">
        <v>107</v>
      </c>
      <c r="AP205" t="s">
        <v>74</v>
      </c>
      <c r="AQ205" t="s">
        <v>74</v>
      </c>
      <c r="AR205" t="s">
        <v>74</v>
      </c>
      <c r="AS205" t="s">
        <v>74</v>
      </c>
      <c r="AT205" t="s">
        <v>157</v>
      </c>
      <c r="AU205">
        <v>1993</v>
      </c>
      <c r="AV205">
        <v>15</v>
      </c>
      <c r="AW205">
        <v>3</v>
      </c>
      <c r="AX205" t="s">
        <v>74</v>
      </c>
      <c r="AY205" t="s">
        <v>74</v>
      </c>
      <c r="AZ205" t="s">
        <v>74</v>
      </c>
      <c r="BA205" t="s">
        <v>74</v>
      </c>
      <c r="BB205">
        <v>295</v>
      </c>
      <c r="BC205">
        <v>315</v>
      </c>
      <c r="BD205" t="s">
        <v>74</v>
      </c>
      <c r="BE205" t="s">
        <v>6606</v>
      </c>
      <c r="BF205" t="str">
        <f>HYPERLINK("http://dx.doi.org/10.1093/plankt/15.3.295","http://dx.doi.org/10.1093/plankt/15.3.295")</f>
        <v>http://dx.doi.org/10.1093/plankt/15.3.295</v>
      </c>
      <c r="BG205" t="s">
        <v>74</v>
      </c>
      <c r="BH205" t="s">
        <v>74</v>
      </c>
      <c r="BI205" t="s">
        <v>74</v>
      </c>
      <c r="BJ205" t="s">
        <v>74</v>
      </c>
      <c r="BK205" t="s">
        <v>74</v>
      </c>
      <c r="BL205" t="s">
        <v>74</v>
      </c>
      <c r="BM205" t="s">
        <v>74</v>
      </c>
      <c r="BN205" t="s">
        <v>74</v>
      </c>
      <c r="BO205" t="s">
        <v>74</v>
      </c>
      <c r="BP205" t="s">
        <v>74</v>
      </c>
      <c r="BQ205" t="s">
        <v>74</v>
      </c>
      <c r="BR205" t="s">
        <v>74</v>
      </c>
      <c r="BS205" t="s">
        <v>6607</v>
      </c>
      <c r="BT205" t="str">
        <f>HYPERLINK("https%3A%2F%2Fwww.webofscience.com%2Fwos%2Fwoscc%2Ffull-record%2FWOS:A1993KP15500003","View Full Record in Web of Science")</f>
        <v>View Full Record in Web of Science</v>
      </c>
    </row>
    <row r="206" spans="1:72" x14ac:dyDescent="0.2">
      <c r="A206" t="s">
        <v>72</v>
      </c>
      <c r="B206" t="s">
        <v>6608</v>
      </c>
      <c r="C206" t="s">
        <v>74</v>
      </c>
      <c r="D206" t="s">
        <v>74</v>
      </c>
      <c r="E206" t="s">
        <v>74</v>
      </c>
      <c r="F206" t="s">
        <v>6608</v>
      </c>
      <c r="G206" t="s">
        <v>74</v>
      </c>
      <c r="H206" t="s">
        <v>74</v>
      </c>
      <c r="I206" t="s">
        <v>6609</v>
      </c>
      <c r="J206" t="s">
        <v>88</v>
      </c>
      <c r="K206" t="s">
        <v>74</v>
      </c>
      <c r="L206" t="s">
        <v>74</v>
      </c>
      <c r="M206" t="s">
        <v>74</v>
      </c>
      <c r="N206" t="s">
        <v>74</v>
      </c>
      <c r="O206" t="s">
        <v>74</v>
      </c>
      <c r="P206" t="s">
        <v>74</v>
      </c>
      <c r="Q206" t="s">
        <v>74</v>
      </c>
      <c r="R206" t="s">
        <v>74</v>
      </c>
      <c r="S206" t="s">
        <v>74</v>
      </c>
      <c r="T206" t="s">
        <v>74</v>
      </c>
      <c r="U206" t="s">
        <v>74</v>
      </c>
      <c r="V206" t="s">
        <v>74</v>
      </c>
      <c r="W206" t="s">
        <v>74</v>
      </c>
      <c r="X206" t="s">
        <v>74</v>
      </c>
      <c r="Y206" t="s">
        <v>74</v>
      </c>
      <c r="Z206" t="s">
        <v>74</v>
      </c>
      <c r="AA206" t="s">
        <v>74</v>
      </c>
      <c r="AB206" t="s">
        <v>74</v>
      </c>
      <c r="AC206" t="s">
        <v>74</v>
      </c>
      <c r="AD206" t="s">
        <v>74</v>
      </c>
      <c r="AE206" t="s">
        <v>74</v>
      </c>
      <c r="AF206" t="s">
        <v>74</v>
      </c>
      <c r="AG206" t="s">
        <v>74</v>
      </c>
      <c r="AH206" t="s">
        <v>74</v>
      </c>
      <c r="AI206" t="s">
        <v>74</v>
      </c>
      <c r="AJ206" t="s">
        <v>74</v>
      </c>
      <c r="AK206" t="s">
        <v>74</v>
      </c>
      <c r="AL206" t="s">
        <v>74</v>
      </c>
      <c r="AM206" t="s">
        <v>74</v>
      </c>
      <c r="AN206" t="s">
        <v>74</v>
      </c>
      <c r="AO206" t="s">
        <v>89</v>
      </c>
      <c r="AP206" t="s">
        <v>90</v>
      </c>
      <c r="AQ206" t="s">
        <v>74</v>
      </c>
      <c r="AR206" t="s">
        <v>74</v>
      </c>
      <c r="AS206" t="s">
        <v>74</v>
      </c>
      <c r="AT206" t="s">
        <v>416</v>
      </c>
      <c r="AU206">
        <v>1993</v>
      </c>
      <c r="AV206">
        <v>50</v>
      </c>
      <c r="AW206">
        <v>2</v>
      </c>
      <c r="AX206" t="s">
        <v>74</v>
      </c>
      <c r="AY206" t="s">
        <v>74</v>
      </c>
      <c r="AZ206" t="s">
        <v>74</v>
      </c>
      <c r="BA206" t="s">
        <v>74</v>
      </c>
      <c r="BB206">
        <v>370</v>
      </c>
      <c r="BC206">
        <v>380</v>
      </c>
      <c r="BD206" t="s">
        <v>74</v>
      </c>
      <c r="BE206" t="s">
        <v>6610</v>
      </c>
      <c r="BF206" t="str">
        <f>HYPERLINK("http://dx.doi.org/10.1139/f93-042","http://dx.doi.org/10.1139/f93-042")</f>
        <v>http://dx.doi.org/10.1139/f93-042</v>
      </c>
      <c r="BG206" t="s">
        <v>74</v>
      </c>
      <c r="BH206" t="s">
        <v>74</v>
      </c>
      <c r="BI206" t="s">
        <v>74</v>
      </c>
      <c r="BJ206" t="s">
        <v>74</v>
      </c>
      <c r="BK206" t="s">
        <v>74</v>
      </c>
      <c r="BL206" t="s">
        <v>74</v>
      </c>
      <c r="BM206" t="s">
        <v>74</v>
      </c>
      <c r="BN206" t="s">
        <v>74</v>
      </c>
      <c r="BO206" t="s">
        <v>74</v>
      </c>
      <c r="BP206" t="s">
        <v>74</v>
      </c>
      <c r="BQ206" t="s">
        <v>74</v>
      </c>
      <c r="BR206" t="s">
        <v>74</v>
      </c>
      <c r="BS206" t="s">
        <v>6611</v>
      </c>
      <c r="BT206" t="str">
        <f>HYPERLINK("https%3A%2F%2Fwww.webofscience.com%2Fwos%2Fwoscc%2Ffull-record%2FWOS:A1993LK29600018","View Full Record in Web of Science")</f>
        <v>View Full Record in Web of Science</v>
      </c>
    </row>
    <row r="207" spans="1:72" x14ac:dyDescent="0.2">
      <c r="A207" t="s">
        <v>72</v>
      </c>
      <c r="B207" t="s">
        <v>6616</v>
      </c>
      <c r="C207" t="s">
        <v>74</v>
      </c>
      <c r="D207" t="s">
        <v>74</v>
      </c>
      <c r="E207" t="s">
        <v>74</v>
      </c>
      <c r="F207" t="s">
        <v>6616</v>
      </c>
      <c r="G207" t="s">
        <v>74</v>
      </c>
      <c r="H207" t="s">
        <v>74</v>
      </c>
      <c r="I207" t="s">
        <v>6617</v>
      </c>
      <c r="J207" t="s">
        <v>5710</v>
      </c>
      <c r="K207" t="s">
        <v>74</v>
      </c>
      <c r="L207" t="s">
        <v>74</v>
      </c>
      <c r="M207" t="s">
        <v>74</v>
      </c>
      <c r="N207" t="s">
        <v>74</v>
      </c>
      <c r="O207" t="s">
        <v>74</v>
      </c>
      <c r="P207" t="s">
        <v>74</v>
      </c>
      <c r="Q207" t="s">
        <v>74</v>
      </c>
      <c r="R207" t="s">
        <v>74</v>
      </c>
      <c r="S207" t="s">
        <v>74</v>
      </c>
      <c r="T207" t="s">
        <v>74</v>
      </c>
      <c r="U207" t="s">
        <v>74</v>
      </c>
      <c r="V207" t="s">
        <v>74</v>
      </c>
      <c r="W207" t="s">
        <v>74</v>
      </c>
      <c r="X207" t="s">
        <v>74</v>
      </c>
      <c r="Y207" t="s">
        <v>74</v>
      </c>
      <c r="Z207" t="s">
        <v>74</v>
      </c>
      <c r="AA207" t="s">
        <v>74</v>
      </c>
      <c r="AB207" t="s">
        <v>74</v>
      </c>
      <c r="AC207" t="s">
        <v>74</v>
      </c>
      <c r="AD207" t="s">
        <v>74</v>
      </c>
      <c r="AE207" t="s">
        <v>74</v>
      </c>
      <c r="AF207" t="s">
        <v>74</v>
      </c>
      <c r="AG207" t="s">
        <v>74</v>
      </c>
      <c r="AH207" t="s">
        <v>74</v>
      </c>
      <c r="AI207" t="s">
        <v>74</v>
      </c>
      <c r="AJ207" t="s">
        <v>74</v>
      </c>
      <c r="AK207" t="s">
        <v>74</v>
      </c>
      <c r="AL207" t="s">
        <v>74</v>
      </c>
      <c r="AM207" t="s">
        <v>74</v>
      </c>
      <c r="AN207" t="s">
        <v>74</v>
      </c>
      <c r="AO207" t="s">
        <v>5711</v>
      </c>
      <c r="AP207" t="s">
        <v>74</v>
      </c>
      <c r="AQ207" t="s">
        <v>74</v>
      </c>
      <c r="AR207" t="s">
        <v>74</v>
      </c>
      <c r="AS207" t="s">
        <v>74</v>
      </c>
      <c r="AT207" t="s">
        <v>315</v>
      </c>
      <c r="AU207">
        <v>1993</v>
      </c>
      <c r="AV207">
        <v>126</v>
      </c>
      <c r="AW207">
        <v>3</v>
      </c>
      <c r="AX207" t="s">
        <v>74</v>
      </c>
      <c r="AY207" t="s">
        <v>74</v>
      </c>
      <c r="AZ207" t="s">
        <v>74</v>
      </c>
      <c r="BA207" t="s">
        <v>74</v>
      </c>
      <c r="BB207">
        <v>315</v>
      </c>
      <c r="BC207">
        <v>327</v>
      </c>
      <c r="BD207" t="s">
        <v>74</v>
      </c>
      <c r="BE207" t="s">
        <v>74</v>
      </c>
      <c r="BF207" t="s">
        <v>74</v>
      </c>
      <c r="BG207" t="s">
        <v>74</v>
      </c>
      <c r="BH207" t="s">
        <v>74</v>
      </c>
      <c r="BI207" t="s">
        <v>74</v>
      </c>
      <c r="BJ207" t="s">
        <v>74</v>
      </c>
      <c r="BK207" t="s">
        <v>74</v>
      </c>
      <c r="BL207" t="s">
        <v>74</v>
      </c>
      <c r="BM207" t="s">
        <v>74</v>
      </c>
      <c r="BN207" t="s">
        <v>74</v>
      </c>
      <c r="BO207" t="s">
        <v>74</v>
      </c>
      <c r="BP207" t="s">
        <v>74</v>
      </c>
      <c r="BQ207" t="s">
        <v>74</v>
      </c>
      <c r="BR207" t="s">
        <v>74</v>
      </c>
      <c r="BS207" t="s">
        <v>6618</v>
      </c>
      <c r="BT207" t="str">
        <f>HYPERLINK("https%3A%2F%2Fwww.webofscience.com%2Fwos%2Fwoscc%2Ffull-record%2FWOS:A1993KN29800004","View Full Record in Web of Science")</f>
        <v>View Full Record in Web of Science</v>
      </c>
    </row>
    <row r="208" spans="1:72" x14ac:dyDescent="0.2">
      <c r="A208" t="s">
        <v>72</v>
      </c>
      <c r="B208" t="s">
        <v>6629</v>
      </c>
      <c r="C208" t="s">
        <v>74</v>
      </c>
      <c r="D208" t="s">
        <v>74</v>
      </c>
      <c r="E208" t="s">
        <v>74</v>
      </c>
      <c r="F208" t="s">
        <v>6629</v>
      </c>
      <c r="G208" t="s">
        <v>74</v>
      </c>
      <c r="H208" t="s">
        <v>74</v>
      </c>
      <c r="I208" t="s">
        <v>6630</v>
      </c>
      <c r="J208" t="s">
        <v>106</v>
      </c>
      <c r="K208" t="s">
        <v>74</v>
      </c>
      <c r="L208" t="s">
        <v>74</v>
      </c>
      <c r="M208" t="s">
        <v>74</v>
      </c>
      <c r="N208" t="s">
        <v>74</v>
      </c>
      <c r="O208" t="s">
        <v>74</v>
      </c>
      <c r="P208" t="s">
        <v>74</v>
      </c>
      <c r="Q208" t="s">
        <v>74</v>
      </c>
      <c r="R208" t="s">
        <v>74</v>
      </c>
      <c r="S208" t="s">
        <v>74</v>
      </c>
      <c r="T208" t="s">
        <v>74</v>
      </c>
      <c r="U208" t="s">
        <v>74</v>
      </c>
      <c r="V208" t="s">
        <v>74</v>
      </c>
      <c r="W208" t="s">
        <v>74</v>
      </c>
      <c r="X208" t="s">
        <v>74</v>
      </c>
      <c r="Y208" t="s">
        <v>74</v>
      </c>
      <c r="Z208" t="s">
        <v>74</v>
      </c>
      <c r="AA208" t="s">
        <v>6631</v>
      </c>
      <c r="AB208" t="s">
        <v>6632</v>
      </c>
      <c r="AC208" t="s">
        <v>74</v>
      </c>
      <c r="AD208" t="s">
        <v>74</v>
      </c>
      <c r="AE208" t="s">
        <v>74</v>
      </c>
      <c r="AF208" t="s">
        <v>74</v>
      </c>
      <c r="AG208" t="s">
        <v>74</v>
      </c>
      <c r="AH208" t="s">
        <v>74</v>
      </c>
      <c r="AI208" t="s">
        <v>74</v>
      </c>
      <c r="AJ208" t="s">
        <v>74</v>
      </c>
      <c r="AK208" t="s">
        <v>74</v>
      </c>
      <c r="AL208" t="s">
        <v>74</v>
      </c>
      <c r="AM208" t="s">
        <v>74</v>
      </c>
      <c r="AN208" t="s">
        <v>74</v>
      </c>
      <c r="AO208" t="s">
        <v>107</v>
      </c>
      <c r="AP208" t="s">
        <v>108</v>
      </c>
      <c r="AQ208" t="s">
        <v>74</v>
      </c>
      <c r="AR208" t="s">
        <v>74</v>
      </c>
      <c r="AS208" t="s">
        <v>74</v>
      </c>
      <c r="AT208" t="s">
        <v>416</v>
      </c>
      <c r="AU208">
        <v>1992</v>
      </c>
      <c r="AV208">
        <v>14</v>
      </c>
      <c r="AW208">
        <v>2</v>
      </c>
      <c r="AX208" t="s">
        <v>74</v>
      </c>
      <c r="AY208" t="s">
        <v>74</v>
      </c>
      <c r="AZ208" t="s">
        <v>74</v>
      </c>
      <c r="BA208" t="s">
        <v>74</v>
      </c>
      <c r="BB208">
        <v>307</v>
      </c>
      <c r="BC208">
        <v>321</v>
      </c>
      <c r="BD208" t="s">
        <v>74</v>
      </c>
      <c r="BE208" t="s">
        <v>6633</v>
      </c>
      <c r="BF208" t="str">
        <f>HYPERLINK("http://dx.doi.org/10.1093/plankt/14.2.307","http://dx.doi.org/10.1093/plankt/14.2.307")</f>
        <v>http://dx.doi.org/10.1093/plankt/14.2.307</v>
      </c>
      <c r="BG208" t="s">
        <v>74</v>
      </c>
      <c r="BH208" t="s">
        <v>74</v>
      </c>
      <c r="BI208" t="s">
        <v>74</v>
      </c>
      <c r="BJ208" t="s">
        <v>74</v>
      </c>
      <c r="BK208" t="s">
        <v>74</v>
      </c>
      <c r="BL208" t="s">
        <v>74</v>
      </c>
      <c r="BM208" t="s">
        <v>74</v>
      </c>
      <c r="BN208" t="s">
        <v>74</v>
      </c>
      <c r="BO208" t="s">
        <v>74</v>
      </c>
      <c r="BP208" t="s">
        <v>74</v>
      </c>
      <c r="BQ208" t="s">
        <v>74</v>
      </c>
      <c r="BR208" t="s">
        <v>74</v>
      </c>
      <c r="BS208" t="s">
        <v>6634</v>
      </c>
      <c r="BT208" t="str">
        <f>HYPERLINK("https%3A%2F%2Fwww.webofscience.com%2Fwos%2Fwoscc%2Ffull-record%2FWOS:A1992HD36600009","View Full Record in Web of Science")</f>
        <v>View Full Record in Web of Science</v>
      </c>
    </row>
    <row r="209" spans="1:72" x14ac:dyDescent="0.2">
      <c r="A209" t="s">
        <v>72</v>
      </c>
      <c r="B209" t="s">
        <v>6658</v>
      </c>
      <c r="C209" t="s">
        <v>74</v>
      </c>
      <c r="D209" t="s">
        <v>74</v>
      </c>
      <c r="E209" t="s">
        <v>74</v>
      </c>
      <c r="F209" t="s">
        <v>6658</v>
      </c>
      <c r="G209" t="s">
        <v>74</v>
      </c>
      <c r="H209" t="s">
        <v>74</v>
      </c>
      <c r="I209" t="s">
        <v>6659</v>
      </c>
      <c r="J209" t="s">
        <v>106</v>
      </c>
      <c r="K209" t="s">
        <v>74</v>
      </c>
      <c r="L209" t="s">
        <v>74</v>
      </c>
      <c r="M209" t="s">
        <v>74</v>
      </c>
      <c r="N209" t="s">
        <v>74</v>
      </c>
      <c r="O209" t="s">
        <v>74</v>
      </c>
      <c r="P209" t="s">
        <v>74</v>
      </c>
      <c r="Q209" t="s">
        <v>74</v>
      </c>
      <c r="R209" t="s">
        <v>74</v>
      </c>
      <c r="S209" t="s">
        <v>74</v>
      </c>
      <c r="T209" t="s">
        <v>74</v>
      </c>
      <c r="U209" t="s">
        <v>74</v>
      </c>
      <c r="V209" t="s">
        <v>74</v>
      </c>
      <c r="W209" t="s">
        <v>74</v>
      </c>
      <c r="X209" t="s">
        <v>74</v>
      </c>
      <c r="Y209" t="s">
        <v>74</v>
      </c>
      <c r="Z209" t="s">
        <v>74</v>
      </c>
      <c r="AA209" t="s">
        <v>74</v>
      </c>
      <c r="AB209" t="s">
        <v>74</v>
      </c>
      <c r="AC209" t="s">
        <v>74</v>
      </c>
      <c r="AD209" t="s">
        <v>74</v>
      </c>
      <c r="AE209" t="s">
        <v>74</v>
      </c>
      <c r="AF209" t="s">
        <v>74</v>
      </c>
      <c r="AG209" t="s">
        <v>74</v>
      </c>
      <c r="AH209" t="s">
        <v>74</v>
      </c>
      <c r="AI209" t="s">
        <v>74</v>
      </c>
      <c r="AJ209" t="s">
        <v>74</v>
      </c>
      <c r="AK209" t="s">
        <v>74</v>
      </c>
      <c r="AL209" t="s">
        <v>74</v>
      </c>
      <c r="AM209" t="s">
        <v>74</v>
      </c>
      <c r="AN209" t="s">
        <v>74</v>
      </c>
      <c r="AO209" t="s">
        <v>107</v>
      </c>
      <c r="AP209" t="s">
        <v>108</v>
      </c>
      <c r="AQ209" t="s">
        <v>74</v>
      </c>
      <c r="AR209" t="s">
        <v>74</v>
      </c>
      <c r="AS209" t="s">
        <v>74</v>
      </c>
      <c r="AT209" t="s">
        <v>624</v>
      </c>
      <c r="AU209">
        <v>1991</v>
      </c>
      <c r="AV209">
        <v>13</v>
      </c>
      <c r="AW209">
        <v>4</v>
      </c>
      <c r="AX209" t="s">
        <v>74</v>
      </c>
      <c r="AY209" t="s">
        <v>74</v>
      </c>
      <c r="AZ209" t="s">
        <v>74</v>
      </c>
      <c r="BA209" t="s">
        <v>74</v>
      </c>
      <c r="BB209">
        <v>789</v>
      </c>
      <c r="BC209">
        <v>799</v>
      </c>
      <c r="BD209" t="s">
        <v>74</v>
      </c>
      <c r="BE209" t="s">
        <v>6660</v>
      </c>
      <c r="BF209" t="str">
        <f>HYPERLINK("http://dx.doi.org/10.1093/plankt/13.4.789","http://dx.doi.org/10.1093/plankt/13.4.789")</f>
        <v>http://dx.doi.org/10.1093/plankt/13.4.789</v>
      </c>
      <c r="BG209" t="s">
        <v>74</v>
      </c>
      <c r="BH209" t="s">
        <v>74</v>
      </c>
      <c r="BI209" t="s">
        <v>74</v>
      </c>
      <c r="BJ209" t="s">
        <v>74</v>
      </c>
      <c r="BK209" t="s">
        <v>74</v>
      </c>
      <c r="BL209" t="s">
        <v>74</v>
      </c>
      <c r="BM209" t="s">
        <v>74</v>
      </c>
      <c r="BN209" t="s">
        <v>74</v>
      </c>
      <c r="BO209" t="s">
        <v>74</v>
      </c>
      <c r="BP209" t="s">
        <v>74</v>
      </c>
      <c r="BQ209" t="s">
        <v>74</v>
      </c>
      <c r="BR209" t="s">
        <v>74</v>
      </c>
      <c r="BS209" t="s">
        <v>6661</v>
      </c>
      <c r="BT209" t="str">
        <f>HYPERLINK("https%3A%2F%2Fwww.webofscience.com%2Fwos%2Fwoscc%2Ffull-record%2FWOS:A1991FV24100008","View Full Record in Web of Science")</f>
        <v>View Full Record in Web of Science</v>
      </c>
    </row>
    <row r="210" spans="1:72" x14ac:dyDescent="0.2">
      <c r="A210" t="s">
        <v>72</v>
      </c>
      <c r="B210" t="s">
        <v>6662</v>
      </c>
      <c r="C210" t="s">
        <v>74</v>
      </c>
      <c r="D210" t="s">
        <v>74</v>
      </c>
      <c r="E210" t="s">
        <v>74</v>
      </c>
      <c r="F210" t="s">
        <v>6662</v>
      </c>
      <c r="G210" t="s">
        <v>74</v>
      </c>
      <c r="H210" t="s">
        <v>74</v>
      </c>
      <c r="I210" t="s">
        <v>6663</v>
      </c>
      <c r="J210" t="s">
        <v>1523</v>
      </c>
      <c r="K210" t="s">
        <v>74</v>
      </c>
      <c r="L210" t="s">
        <v>74</v>
      </c>
      <c r="M210" t="s">
        <v>74</v>
      </c>
      <c r="N210" t="s">
        <v>74</v>
      </c>
      <c r="O210" t="s">
        <v>74</v>
      </c>
      <c r="P210" t="s">
        <v>74</v>
      </c>
      <c r="Q210" t="s">
        <v>74</v>
      </c>
      <c r="R210" t="s">
        <v>74</v>
      </c>
      <c r="S210" t="s">
        <v>74</v>
      </c>
      <c r="T210" t="s">
        <v>74</v>
      </c>
      <c r="U210" t="s">
        <v>74</v>
      </c>
      <c r="V210" t="s">
        <v>74</v>
      </c>
      <c r="W210" t="s">
        <v>74</v>
      </c>
      <c r="X210" t="s">
        <v>74</v>
      </c>
      <c r="Y210" t="s">
        <v>74</v>
      </c>
      <c r="Z210" t="s">
        <v>74</v>
      </c>
      <c r="AA210" t="s">
        <v>6664</v>
      </c>
      <c r="AB210" t="s">
        <v>74</v>
      </c>
      <c r="AC210" t="s">
        <v>74</v>
      </c>
      <c r="AD210" t="s">
        <v>74</v>
      </c>
      <c r="AE210" t="s">
        <v>74</v>
      </c>
      <c r="AF210" t="s">
        <v>74</v>
      </c>
      <c r="AG210" t="s">
        <v>74</v>
      </c>
      <c r="AH210" t="s">
        <v>74</v>
      </c>
      <c r="AI210" t="s">
        <v>74</v>
      </c>
      <c r="AJ210" t="s">
        <v>74</v>
      </c>
      <c r="AK210" t="s">
        <v>74</v>
      </c>
      <c r="AL210" t="s">
        <v>74</v>
      </c>
      <c r="AM210" t="s">
        <v>74</v>
      </c>
      <c r="AN210" t="s">
        <v>74</v>
      </c>
      <c r="AO210" t="s">
        <v>1524</v>
      </c>
      <c r="AP210" t="s">
        <v>1525</v>
      </c>
      <c r="AQ210" t="s">
        <v>74</v>
      </c>
      <c r="AR210" t="s">
        <v>74</v>
      </c>
      <c r="AS210" t="s">
        <v>74</v>
      </c>
      <c r="AT210" t="s">
        <v>569</v>
      </c>
      <c r="AU210">
        <v>1991</v>
      </c>
      <c r="AV210">
        <v>72</v>
      </c>
      <c r="AW210">
        <v>3</v>
      </c>
      <c r="AX210" t="s">
        <v>74</v>
      </c>
      <c r="AY210" t="s">
        <v>74</v>
      </c>
      <c r="AZ210" t="s">
        <v>74</v>
      </c>
      <c r="BA210" t="s">
        <v>74</v>
      </c>
      <c r="BB210">
        <v>924</v>
      </c>
      <c r="BC210">
        <v>937</v>
      </c>
      <c r="BD210" t="s">
        <v>74</v>
      </c>
      <c r="BE210" t="s">
        <v>6665</v>
      </c>
      <c r="BF210" t="str">
        <f>HYPERLINK("http://dx.doi.org/10.2307/1940594","http://dx.doi.org/10.2307/1940594")</f>
        <v>http://dx.doi.org/10.2307/1940594</v>
      </c>
      <c r="BG210" t="s">
        <v>74</v>
      </c>
      <c r="BH210" t="s">
        <v>74</v>
      </c>
      <c r="BI210" t="s">
        <v>74</v>
      </c>
      <c r="BJ210" t="s">
        <v>74</v>
      </c>
      <c r="BK210" t="s">
        <v>74</v>
      </c>
      <c r="BL210" t="s">
        <v>74</v>
      </c>
      <c r="BM210" t="s">
        <v>74</v>
      </c>
      <c r="BN210" t="s">
        <v>74</v>
      </c>
      <c r="BO210" t="s">
        <v>74</v>
      </c>
      <c r="BP210" t="s">
        <v>74</v>
      </c>
      <c r="BQ210" t="s">
        <v>74</v>
      </c>
      <c r="BR210" t="s">
        <v>74</v>
      </c>
      <c r="BS210" t="s">
        <v>6666</v>
      </c>
      <c r="BT210" t="str">
        <f>HYPERLINK("https%3A%2F%2Fwww.webofscience.com%2Fwos%2Fwoscc%2Ffull-record%2FWOS:A1991FM08400016","View Full Record in Web of Science")</f>
        <v>View Full Record in Web of Science</v>
      </c>
    </row>
    <row r="211" spans="1:72" x14ac:dyDescent="0.2">
      <c r="A211" t="s">
        <v>72</v>
      </c>
      <c r="B211" t="s">
        <v>6667</v>
      </c>
      <c r="C211" t="s">
        <v>74</v>
      </c>
      <c r="D211" t="s">
        <v>74</v>
      </c>
      <c r="E211" t="s">
        <v>74</v>
      </c>
      <c r="F211" t="s">
        <v>6667</v>
      </c>
      <c r="G211" t="s">
        <v>74</v>
      </c>
      <c r="H211" t="s">
        <v>74</v>
      </c>
      <c r="I211" t="s">
        <v>6668</v>
      </c>
      <c r="J211" t="s">
        <v>88</v>
      </c>
      <c r="K211" t="s">
        <v>74</v>
      </c>
      <c r="L211" t="s">
        <v>74</v>
      </c>
      <c r="M211" t="s">
        <v>74</v>
      </c>
      <c r="N211" t="s">
        <v>74</v>
      </c>
      <c r="O211" t="s">
        <v>74</v>
      </c>
      <c r="P211" t="s">
        <v>74</v>
      </c>
      <c r="Q211" t="s">
        <v>74</v>
      </c>
      <c r="R211" t="s">
        <v>74</v>
      </c>
      <c r="S211" t="s">
        <v>74</v>
      </c>
      <c r="T211" t="s">
        <v>74</v>
      </c>
      <c r="U211" t="s">
        <v>74</v>
      </c>
      <c r="V211" t="s">
        <v>74</v>
      </c>
      <c r="W211" t="s">
        <v>74</v>
      </c>
      <c r="X211" t="s">
        <v>74</v>
      </c>
      <c r="Y211" t="s">
        <v>74</v>
      </c>
      <c r="Z211" t="s">
        <v>74</v>
      </c>
      <c r="AA211" t="s">
        <v>74</v>
      </c>
      <c r="AB211" t="s">
        <v>74</v>
      </c>
      <c r="AC211" t="s">
        <v>74</v>
      </c>
      <c r="AD211" t="s">
        <v>74</v>
      </c>
      <c r="AE211" t="s">
        <v>74</v>
      </c>
      <c r="AF211" t="s">
        <v>74</v>
      </c>
      <c r="AG211" t="s">
        <v>74</v>
      </c>
      <c r="AH211" t="s">
        <v>74</v>
      </c>
      <c r="AI211" t="s">
        <v>74</v>
      </c>
      <c r="AJ211" t="s">
        <v>74</v>
      </c>
      <c r="AK211" t="s">
        <v>74</v>
      </c>
      <c r="AL211" t="s">
        <v>74</v>
      </c>
      <c r="AM211" t="s">
        <v>74</v>
      </c>
      <c r="AN211" t="s">
        <v>74</v>
      </c>
      <c r="AO211" t="s">
        <v>89</v>
      </c>
      <c r="AP211" t="s">
        <v>74</v>
      </c>
      <c r="AQ211" t="s">
        <v>74</v>
      </c>
      <c r="AR211" t="s">
        <v>74</v>
      </c>
      <c r="AS211" t="s">
        <v>74</v>
      </c>
      <c r="AT211" t="s">
        <v>157</v>
      </c>
      <c r="AU211">
        <v>1991</v>
      </c>
      <c r="AV211">
        <v>48</v>
      </c>
      <c r="AW211">
        <v>3</v>
      </c>
      <c r="AX211" t="s">
        <v>74</v>
      </c>
      <c r="AY211" t="s">
        <v>74</v>
      </c>
      <c r="AZ211" t="s">
        <v>74</v>
      </c>
      <c r="BA211" t="s">
        <v>74</v>
      </c>
      <c r="BB211">
        <v>364</v>
      </c>
      <c r="BC211">
        <v>370</v>
      </c>
      <c r="BD211" t="s">
        <v>74</v>
      </c>
      <c r="BE211" t="s">
        <v>6669</v>
      </c>
      <c r="BF211" t="str">
        <f>HYPERLINK("http://dx.doi.org/10.1139/f91-048","http://dx.doi.org/10.1139/f91-048")</f>
        <v>http://dx.doi.org/10.1139/f91-048</v>
      </c>
      <c r="BG211" t="s">
        <v>74</v>
      </c>
      <c r="BH211" t="s">
        <v>74</v>
      </c>
      <c r="BI211" t="s">
        <v>74</v>
      </c>
      <c r="BJ211" t="s">
        <v>74</v>
      </c>
      <c r="BK211" t="s">
        <v>74</v>
      </c>
      <c r="BL211" t="s">
        <v>74</v>
      </c>
      <c r="BM211" t="s">
        <v>74</v>
      </c>
      <c r="BN211" t="s">
        <v>74</v>
      </c>
      <c r="BO211" t="s">
        <v>74</v>
      </c>
      <c r="BP211" t="s">
        <v>74</v>
      </c>
      <c r="BQ211" t="s">
        <v>74</v>
      </c>
      <c r="BR211" t="s">
        <v>74</v>
      </c>
      <c r="BS211" t="s">
        <v>6670</v>
      </c>
      <c r="BT211" t="str">
        <f>HYPERLINK("https%3A%2F%2Fwww.webofscience.com%2Fwos%2Fwoscc%2Ffull-record%2FWOS:A1991EZ78800003","View Full Record in Web of Science")</f>
        <v>View Full Record in Web of Science</v>
      </c>
    </row>
    <row r="212" spans="1:72" x14ac:dyDescent="0.2">
      <c r="A212" t="s">
        <v>72</v>
      </c>
      <c r="B212" t="s">
        <v>6671</v>
      </c>
      <c r="C212" t="s">
        <v>74</v>
      </c>
      <c r="D212" t="s">
        <v>74</v>
      </c>
      <c r="E212" t="s">
        <v>74</v>
      </c>
      <c r="F212" t="s">
        <v>6671</v>
      </c>
      <c r="G212" t="s">
        <v>74</v>
      </c>
      <c r="H212" t="s">
        <v>74</v>
      </c>
      <c r="I212" t="s">
        <v>6672</v>
      </c>
      <c r="J212" t="s">
        <v>1299</v>
      </c>
      <c r="K212" t="s">
        <v>74</v>
      </c>
      <c r="L212" t="s">
        <v>74</v>
      </c>
      <c r="M212" t="s">
        <v>74</v>
      </c>
      <c r="N212" t="s">
        <v>74</v>
      </c>
      <c r="O212" t="s">
        <v>74</v>
      </c>
      <c r="P212" t="s">
        <v>74</v>
      </c>
      <c r="Q212" t="s">
        <v>74</v>
      </c>
      <c r="R212" t="s">
        <v>74</v>
      </c>
      <c r="S212" t="s">
        <v>74</v>
      </c>
      <c r="T212" t="s">
        <v>74</v>
      </c>
      <c r="U212" t="s">
        <v>74</v>
      </c>
      <c r="V212" t="s">
        <v>74</v>
      </c>
      <c r="W212" t="s">
        <v>74</v>
      </c>
      <c r="X212" t="s">
        <v>74</v>
      </c>
      <c r="Y212" t="s">
        <v>74</v>
      </c>
      <c r="Z212" t="s">
        <v>74</v>
      </c>
      <c r="AA212" t="s">
        <v>6673</v>
      </c>
      <c r="AB212" t="s">
        <v>6674</v>
      </c>
      <c r="AC212" t="s">
        <v>74</v>
      </c>
      <c r="AD212" t="s">
        <v>74</v>
      </c>
      <c r="AE212" t="s">
        <v>74</v>
      </c>
      <c r="AF212" t="s">
        <v>74</v>
      </c>
      <c r="AG212" t="s">
        <v>74</v>
      </c>
      <c r="AH212" t="s">
        <v>74</v>
      </c>
      <c r="AI212" t="s">
        <v>74</v>
      </c>
      <c r="AJ212" t="s">
        <v>74</v>
      </c>
      <c r="AK212" t="s">
        <v>74</v>
      </c>
      <c r="AL212" t="s">
        <v>74</v>
      </c>
      <c r="AM212" t="s">
        <v>74</v>
      </c>
      <c r="AN212" t="s">
        <v>74</v>
      </c>
      <c r="AO212" t="s">
        <v>1302</v>
      </c>
      <c r="AP212" t="s">
        <v>74</v>
      </c>
      <c r="AQ212" t="s">
        <v>74</v>
      </c>
      <c r="AR212" t="s">
        <v>74</v>
      </c>
      <c r="AS212" t="s">
        <v>74</v>
      </c>
      <c r="AT212" t="s">
        <v>74</v>
      </c>
      <c r="AU212">
        <v>1991</v>
      </c>
      <c r="AV212">
        <v>87</v>
      </c>
      <c r="AW212">
        <v>3</v>
      </c>
      <c r="AX212" t="s">
        <v>74</v>
      </c>
      <c r="AY212" t="s">
        <v>74</v>
      </c>
      <c r="AZ212" t="s">
        <v>74</v>
      </c>
      <c r="BA212" t="s">
        <v>74</v>
      </c>
      <c r="BB212">
        <v>409</v>
      </c>
      <c r="BC212">
        <v>416</v>
      </c>
      <c r="BD212" t="s">
        <v>74</v>
      </c>
      <c r="BE212" t="s">
        <v>6675</v>
      </c>
      <c r="BF212" t="str">
        <f>HYPERLINK("http://dx.doi.org/10.1007/BF00634599","http://dx.doi.org/10.1007/BF00634599")</f>
        <v>http://dx.doi.org/10.1007/BF00634599</v>
      </c>
      <c r="BG212" t="s">
        <v>74</v>
      </c>
      <c r="BH212" t="s">
        <v>74</v>
      </c>
      <c r="BI212" t="s">
        <v>74</v>
      </c>
      <c r="BJ212" t="s">
        <v>74</v>
      </c>
      <c r="BK212" t="s">
        <v>74</v>
      </c>
      <c r="BL212" t="s">
        <v>74</v>
      </c>
      <c r="BM212" t="s">
        <v>74</v>
      </c>
      <c r="BN212">
        <v>28313270</v>
      </c>
      <c r="BO212" t="s">
        <v>74</v>
      </c>
      <c r="BP212" t="s">
        <v>74</v>
      </c>
      <c r="BQ212" t="s">
        <v>74</v>
      </c>
      <c r="BR212" t="s">
        <v>74</v>
      </c>
      <c r="BS212" t="s">
        <v>6676</v>
      </c>
      <c r="BT212" t="str">
        <f>HYPERLINK("https%3A%2F%2Fwww.webofscience.com%2Fwos%2Fwoscc%2Ffull-record%2FWOS:A1991GA27000016","View Full Record in Web of Science")</f>
        <v>View Full Record in Web of Science</v>
      </c>
    </row>
    <row r="213" spans="1:72" x14ac:dyDescent="0.2">
      <c r="A213" t="s">
        <v>72</v>
      </c>
      <c r="B213" t="s">
        <v>6694</v>
      </c>
      <c r="C213" t="s">
        <v>74</v>
      </c>
      <c r="D213" t="s">
        <v>74</v>
      </c>
      <c r="E213" t="s">
        <v>74</v>
      </c>
      <c r="F213" t="s">
        <v>6694</v>
      </c>
      <c r="G213" t="s">
        <v>74</v>
      </c>
      <c r="H213" t="s">
        <v>74</v>
      </c>
      <c r="I213" t="s">
        <v>6695</v>
      </c>
      <c r="J213" t="s">
        <v>3919</v>
      </c>
      <c r="K213" t="s">
        <v>74</v>
      </c>
      <c r="L213" t="s">
        <v>74</v>
      </c>
      <c r="M213" t="s">
        <v>74</v>
      </c>
      <c r="N213" t="s">
        <v>74</v>
      </c>
      <c r="O213" t="s">
        <v>74</v>
      </c>
      <c r="P213" t="s">
        <v>74</v>
      </c>
      <c r="Q213" t="s">
        <v>74</v>
      </c>
      <c r="R213" t="s">
        <v>74</v>
      </c>
      <c r="S213" t="s">
        <v>74</v>
      </c>
      <c r="T213" t="s">
        <v>74</v>
      </c>
      <c r="U213" t="s">
        <v>74</v>
      </c>
      <c r="V213" t="s">
        <v>74</v>
      </c>
      <c r="W213" t="s">
        <v>74</v>
      </c>
      <c r="X213" t="s">
        <v>74</v>
      </c>
      <c r="Y213" t="s">
        <v>74</v>
      </c>
      <c r="Z213" t="s">
        <v>74</v>
      </c>
      <c r="AA213" t="s">
        <v>74</v>
      </c>
      <c r="AB213" t="s">
        <v>74</v>
      </c>
      <c r="AC213" t="s">
        <v>74</v>
      </c>
      <c r="AD213" t="s">
        <v>74</v>
      </c>
      <c r="AE213" t="s">
        <v>74</v>
      </c>
      <c r="AF213" t="s">
        <v>74</v>
      </c>
      <c r="AG213" t="s">
        <v>74</v>
      </c>
      <c r="AH213" t="s">
        <v>74</v>
      </c>
      <c r="AI213" t="s">
        <v>74</v>
      </c>
      <c r="AJ213" t="s">
        <v>74</v>
      </c>
      <c r="AK213" t="s">
        <v>74</v>
      </c>
      <c r="AL213" t="s">
        <v>74</v>
      </c>
      <c r="AM213" t="s">
        <v>74</v>
      </c>
      <c r="AN213" t="s">
        <v>74</v>
      </c>
      <c r="AO213" t="s">
        <v>3920</v>
      </c>
      <c r="AP213" t="s">
        <v>3921</v>
      </c>
      <c r="AQ213" t="s">
        <v>74</v>
      </c>
      <c r="AR213" t="s">
        <v>74</v>
      </c>
      <c r="AS213" t="s">
        <v>74</v>
      </c>
      <c r="AT213" t="s">
        <v>575</v>
      </c>
      <c r="AU213">
        <v>1990</v>
      </c>
      <c r="AV213">
        <v>56</v>
      </c>
      <c r="AW213">
        <v>5</v>
      </c>
      <c r="AX213" t="s">
        <v>74</v>
      </c>
      <c r="AY213" t="s">
        <v>74</v>
      </c>
      <c r="AZ213" t="s">
        <v>74</v>
      </c>
      <c r="BA213" t="s">
        <v>74</v>
      </c>
      <c r="BB213">
        <v>1303</v>
      </c>
      <c r="BC213">
        <v>1309</v>
      </c>
      <c r="BD213" t="s">
        <v>74</v>
      </c>
      <c r="BE213" t="s">
        <v>6696</v>
      </c>
      <c r="BF213" t="str">
        <f>HYPERLINK("http://dx.doi.org/10.1128/AEM.56.5.1303-1309.1990","http://dx.doi.org/10.1128/AEM.56.5.1303-1309.1990")</f>
        <v>http://dx.doi.org/10.1128/AEM.56.5.1303-1309.1990</v>
      </c>
      <c r="BG213" t="s">
        <v>74</v>
      </c>
      <c r="BH213" t="s">
        <v>74</v>
      </c>
      <c r="BI213" t="s">
        <v>74</v>
      </c>
      <c r="BJ213" t="s">
        <v>74</v>
      </c>
      <c r="BK213" t="s">
        <v>74</v>
      </c>
      <c r="BL213" t="s">
        <v>74</v>
      </c>
      <c r="BM213" t="s">
        <v>74</v>
      </c>
      <c r="BN213">
        <v>16348184</v>
      </c>
      <c r="BO213" t="s">
        <v>74</v>
      </c>
      <c r="BP213" t="s">
        <v>74</v>
      </c>
      <c r="BQ213" t="s">
        <v>74</v>
      </c>
      <c r="BR213" t="s">
        <v>74</v>
      </c>
      <c r="BS213" t="s">
        <v>6697</v>
      </c>
      <c r="BT213" t="str">
        <f>HYPERLINK("https%3A%2F%2Fwww.webofscience.com%2Fwos%2Fwoscc%2Ffull-record%2FWOS:A1990DB55400016","View Full Record in Web of Science")</f>
        <v>View Full Record in Web of Science</v>
      </c>
    </row>
    <row r="214" spans="1:72" x14ac:dyDescent="0.2">
      <c r="A214" t="s">
        <v>72</v>
      </c>
      <c r="B214" t="s">
        <v>6717</v>
      </c>
      <c r="C214" t="s">
        <v>74</v>
      </c>
      <c r="D214" t="s">
        <v>74</v>
      </c>
      <c r="E214" t="s">
        <v>74</v>
      </c>
      <c r="F214" t="s">
        <v>6717</v>
      </c>
      <c r="G214" t="s">
        <v>74</v>
      </c>
      <c r="H214" t="s">
        <v>74</v>
      </c>
      <c r="I214" t="s">
        <v>6718</v>
      </c>
      <c r="J214" t="s">
        <v>106</v>
      </c>
      <c r="K214" t="s">
        <v>74</v>
      </c>
      <c r="L214" t="s">
        <v>74</v>
      </c>
      <c r="M214" t="s">
        <v>74</v>
      </c>
      <c r="N214" t="s">
        <v>74</v>
      </c>
      <c r="O214" t="s">
        <v>74</v>
      </c>
      <c r="P214" t="s">
        <v>74</v>
      </c>
      <c r="Q214" t="s">
        <v>74</v>
      </c>
      <c r="R214" t="s">
        <v>74</v>
      </c>
      <c r="S214" t="s">
        <v>74</v>
      </c>
      <c r="T214" t="s">
        <v>74</v>
      </c>
      <c r="U214" t="s">
        <v>74</v>
      </c>
      <c r="V214" t="s">
        <v>74</v>
      </c>
      <c r="W214" t="s">
        <v>74</v>
      </c>
      <c r="X214" t="s">
        <v>74</v>
      </c>
      <c r="Y214" t="s">
        <v>74</v>
      </c>
      <c r="Z214" t="s">
        <v>74</v>
      </c>
      <c r="AA214" t="s">
        <v>74</v>
      </c>
      <c r="AB214" t="s">
        <v>74</v>
      </c>
      <c r="AC214" t="s">
        <v>74</v>
      </c>
      <c r="AD214" t="s">
        <v>74</v>
      </c>
      <c r="AE214" t="s">
        <v>74</v>
      </c>
      <c r="AF214" t="s">
        <v>74</v>
      </c>
      <c r="AG214" t="s">
        <v>74</v>
      </c>
      <c r="AH214" t="s">
        <v>74</v>
      </c>
      <c r="AI214" t="s">
        <v>74</v>
      </c>
      <c r="AJ214" t="s">
        <v>74</v>
      </c>
      <c r="AK214" t="s">
        <v>74</v>
      </c>
      <c r="AL214" t="s">
        <v>74</v>
      </c>
      <c r="AM214" t="s">
        <v>74</v>
      </c>
      <c r="AN214" t="s">
        <v>74</v>
      </c>
      <c r="AO214" t="s">
        <v>107</v>
      </c>
      <c r="AP214" t="s">
        <v>108</v>
      </c>
      <c r="AQ214" t="s">
        <v>74</v>
      </c>
      <c r="AR214" t="s">
        <v>74</v>
      </c>
      <c r="AS214" t="s">
        <v>74</v>
      </c>
      <c r="AT214" t="s">
        <v>74</v>
      </c>
      <c r="AU214">
        <v>1985</v>
      </c>
      <c r="AV214">
        <v>7</v>
      </c>
      <c r="AW214">
        <v>2</v>
      </c>
      <c r="AX214" t="s">
        <v>74</v>
      </c>
      <c r="AY214" t="s">
        <v>74</v>
      </c>
      <c r="AZ214" t="s">
        <v>74</v>
      </c>
      <c r="BA214" t="s">
        <v>74</v>
      </c>
      <c r="BB214">
        <v>279</v>
      </c>
      <c r="BC214">
        <v>294</v>
      </c>
      <c r="BD214" t="s">
        <v>74</v>
      </c>
      <c r="BE214" t="s">
        <v>6719</v>
      </c>
      <c r="BF214" t="str">
        <f>HYPERLINK("http://dx.doi.org/10.1093/plankt/7.2.279","http://dx.doi.org/10.1093/plankt/7.2.279")</f>
        <v>http://dx.doi.org/10.1093/plankt/7.2.279</v>
      </c>
      <c r="BG214" t="s">
        <v>74</v>
      </c>
      <c r="BH214" t="s">
        <v>74</v>
      </c>
      <c r="BI214" t="s">
        <v>74</v>
      </c>
      <c r="BJ214" t="s">
        <v>74</v>
      </c>
      <c r="BK214" t="s">
        <v>74</v>
      </c>
      <c r="BL214" t="s">
        <v>74</v>
      </c>
      <c r="BM214" t="s">
        <v>74</v>
      </c>
      <c r="BN214" t="s">
        <v>74</v>
      </c>
      <c r="BO214" t="s">
        <v>74</v>
      </c>
      <c r="BP214" t="s">
        <v>74</v>
      </c>
      <c r="BQ214" t="s">
        <v>74</v>
      </c>
      <c r="BR214" t="s">
        <v>74</v>
      </c>
      <c r="BS214" t="s">
        <v>6720</v>
      </c>
      <c r="BT214" t="str">
        <f>HYPERLINK("https%3A%2F%2Fwww.webofscience.com%2Fwos%2Fwoscc%2Ffull-record%2FWOS:A1985AFD3900010","View Full Record in Web of Science")</f>
        <v>View Full Record in Web of Science</v>
      </c>
    </row>
    <row r="215" spans="1:72" x14ac:dyDescent="0.2">
      <c r="A215" t="s">
        <v>72</v>
      </c>
      <c r="B215" t="s">
        <v>6725</v>
      </c>
      <c r="C215" t="s">
        <v>74</v>
      </c>
      <c r="D215" t="s">
        <v>74</v>
      </c>
      <c r="E215" t="s">
        <v>74</v>
      </c>
      <c r="F215" t="s">
        <v>6725</v>
      </c>
      <c r="G215" t="s">
        <v>74</v>
      </c>
      <c r="H215" t="s">
        <v>74</v>
      </c>
      <c r="I215" t="s">
        <v>6726</v>
      </c>
      <c r="J215" t="s">
        <v>227</v>
      </c>
      <c r="K215" t="s">
        <v>74</v>
      </c>
      <c r="L215" t="s">
        <v>74</v>
      </c>
      <c r="M215" t="s">
        <v>74</v>
      </c>
      <c r="N215" t="s">
        <v>74</v>
      </c>
      <c r="O215" t="s">
        <v>74</v>
      </c>
      <c r="P215" t="s">
        <v>74</v>
      </c>
      <c r="Q215" t="s">
        <v>74</v>
      </c>
      <c r="R215" t="s">
        <v>74</v>
      </c>
      <c r="S215" t="s">
        <v>74</v>
      </c>
      <c r="T215" t="s">
        <v>74</v>
      </c>
      <c r="U215" t="s">
        <v>74</v>
      </c>
      <c r="V215" t="s">
        <v>74</v>
      </c>
      <c r="W215" t="s">
        <v>74</v>
      </c>
      <c r="X215" t="s">
        <v>74</v>
      </c>
      <c r="Y215" t="s">
        <v>74</v>
      </c>
      <c r="Z215" t="s">
        <v>74</v>
      </c>
      <c r="AA215" t="s">
        <v>5296</v>
      </c>
      <c r="AB215" t="s">
        <v>74</v>
      </c>
      <c r="AC215" t="s">
        <v>74</v>
      </c>
      <c r="AD215" t="s">
        <v>74</v>
      </c>
      <c r="AE215" t="s">
        <v>74</v>
      </c>
      <c r="AF215" t="s">
        <v>74</v>
      </c>
      <c r="AG215" t="s">
        <v>74</v>
      </c>
      <c r="AH215" t="s">
        <v>74</v>
      </c>
      <c r="AI215" t="s">
        <v>74</v>
      </c>
      <c r="AJ215" t="s">
        <v>74</v>
      </c>
      <c r="AK215" t="s">
        <v>74</v>
      </c>
      <c r="AL215" t="s">
        <v>74</v>
      </c>
      <c r="AM215" t="s">
        <v>74</v>
      </c>
      <c r="AN215" t="s">
        <v>74</v>
      </c>
      <c r="AO215" t="s">
        <v>230</v>
      </c>
      <c r="AP215" t="s">
        <v>231</v>
      </c>
      <c r="AQ215" t="s">
        <v>74</v>
      </c>
      <c r="AR215" t="s">
        <v>74</v>
      </c>
      <c r="AS215" t="s">
        <v>74</v>
      </c>
      <c r="AT215" t="s">
        <v>74</v>
      </c>
      <c r="AU215">
        <v>1983</v>
      </c>
      <c r="AV215">
        <v>28</v>
      </c>
      <c r="AW215">
        <v>3</v>
      </c>
      <c r="AX215" t="s">
        <v>74</v>
      </c>
      <c r="AY215" t="s">
        <v>74</v>
      </c>
      <c r="AZ215" t="s">
        <v>74</v>
      </c>
      <c r="BA215" t="s">
        <v>74</v>
      </c>
      <c r="BB215">
        <v>448</v>
      </c>
      <c r="BC215">
        <v>464</v>
      </c>
      <c r="BD215" t="s">
        <v>74</v>
      </c>
      <c r="BE215" t="s">
        <v>6727</v>
      </c>
      <c r="BF215" t="str">
        <f>HYPERLINK("http://dx.doi.org/10.4319/lo.1983.28.3.0448","http://dx.doi.org/10.4319/lo.1983.28.3.0448")</f>
        <v>http://dx.doi.org/10.4319/lo.1983.28.3.0448</v>
      </c>
      <c r="BG215" t="s">
        <v>74</v>
      </c>
      <c r="BH215" t="s">
        <v>74</v>
      </c>
      <c r="BI215" t="s">
        <v>74</v>
      </c>
      <c r="BJ215" t="s">
        <v>74</v>
      </c>
      <c r="BK215" t="s">
        <v>74</v>
      </c>
      <c r="BL215" t="s">
        <v>74</v>
      </c>
      <c r="BM215" t="s">
        <v>74</v>
      </c>
      <c r="BN215" t="s">
        <v>74</v>
      </c>
      <c r="BO215" t="s">
        <v>74</v>
      </c>
      <c r="BP215" t="s">
        <v>74</v>
      </c>
      <c r="BQ215" t="s">
        <v>74</v>
      </c>
      <c r="BR215" t="s">
        <v>74</v>
      </c>
      <c r="BS215" t="s">
        <v>6728</v>
      </c>
      <c r="BT215" t="str">
        <f>HYPERLINK("https%3A%2F%2Fwww.webofscience.com%2Fwos%2Fwoscc%2Ffull-record%2FWOS:A1983QT11200004","View Full Record in Web of Science")</f>
        <v>View Full Record in Web of Science</v>
      </c>
    </row>
    <row r="216" spans="1:72" x14ac:dyDescent="0.2">
      <c r="A216" t="s">
        <v>72</v>
      </c>
      <c r="B216" t="s">
        <v>6731</v>
      </c>
      <c r="C216" t="s">
        <v>74</v>
      </c>
      <c r="D216" t="s">
        <v>74</v>
      </c>
      <c r="E216" t="s">
        <v>74</v>
      </c>
      <c r="F216" t="s">
        <v>6731</v>
      </c>
      <c r="G216" t="s">
        <v>74</v>
      </c>
      <c r="H216" t="s">
        <v>74</v>
      </c>
      <c r="I216" t="s">
        <v>6732</v>
      </c>
      <c r="J216" t="s">
        <v>1523</v>
      </c>
      <c r="K216" t="s">
        <v>74</v>
      </c>
      <c r="L216" t="s">
        <v>74</v>
      </c>
      <c r="M216" t="s">
        <v>74</v>
      </c>
      <c r="N216" t="s">
        <v>74</v>
      </c>
      <c r="O216" t="s">
        <v>74</v>
      </c>
      <c r="P216" t="s">
        <v>74</v>
      </c>
      <c r="Q216" t="s">
        <v>74</v>
      </c>
      <c r="R216" t="s">
        <v>74</v>
      </c>
      <c r="S216" t="s">
        <v>74</v>
      </c>
      <c r="T216" t="s">
        <v>74</v>
      </c>
      <c r="U216" t="s">
        <v>74</v>
      </c>
      <c r="V216" t="s">
        <v>74</v>
      </c>
      <c r="W216" t="s">
        <v>74</v>
      </c>
      <c r="X216" t="s">
        <v>74</v>
      </c>
      <c r="Y216" t="s">
        <v>74</v>
      </c>
      <c r="Z216" t="s">
        <v>74</v>
      </c>
      <c r="AA216" t="s">
        <v>74</v>
      </c>
      <c r="AB216" t="s">
        <v>74</v>
      </c>
      <c r="AC216" t="s">
        <v>74</v>
      </c>
      <c r="AD216" t="s">
        <v>74</v>
      </c>
      <c r="AE216" t="s">
        <v>74</v>
      </c>
      <c r="AF216" t="s">
        <v>74</v>
      </c>
      <c r="AG216" t="s">
        <v>74</v>
      </c>
      <c r="AH216" t="s">
        <v>74</v>
      </c>
      <c r="AI216" t="s">
        <v>74</v>
      </c>
      <c r="AJ216" t="s">
        <v>74</v>
      </c>
      <c r="AK216" t="s">
        <v>74</v>
      </c>
      <c r="AL216" t="s">
        <v>74</v>
      </c>
      <c r="AM216" t="s">
        <v>74</v>
      </c>
      <c r="AN216" t="s">
        <v>74</v>
      </c>
      <c r="AO216" t="s">
        <v>1524</v>
      </c>
      <c r="AP216" t="s">
        <v>1525</v>
      </c>
      <c r="AQ216" t="s">
        <v>74</v>
      </c>
      <c r="AR216" t="s">
        <v>74</v>
      </c>
      <c r="AS216" t="s">
        <v>74</v>
      </c>
      <c r="AT216" t="s">
        <v>74</v>
      </c>
      <c r="AU216">
        <v>1981</v>
      </c>
      <c r="AV216">
        <v>62</v>
      </c>
      <c r="AW216">
        <v>4</v>
      </c>
      <c r="AX216" t="s">
        <v>74</v>
      </c>
      <c r="AY216" t="s">
        <v>74</v>
      </c>
      <c r="AZ216" t="s">
        <v>74</v>
      </c>
      <c r="BA216" t="s">
        <v>74</v>
      </c>
      <c r="BB216">
        <v>894</v>
      </c>
      <c r="BC216">
        <v>900</v>
      </c>
      <c r="BD216" t="s">
        <v>74</v>
      </c>
      <c r="BE216" t="s">
        <v>6733</v>
      </c>
      <c r="BF216" t="str">
        <f>HYPERLINK("http://dx.doi.org/10.2307/1936986","http://dx.doi.org/10.2307/1936986")</f>
        <v>http://dx.doi.org/10.2307/1936986</v>
      </c>
      <c r="BG216" t="s">
        <v>74</v>
      </c>
      <c r="BH216" t="s">
        <v>74</v>
      </c>
      <c r="BI216" t="s">
        <v>74</v>
      </c>
      <c r="BJ216" t="s">
        <v>74</v>
      </c>
      <c r="BK216" t="s">
        <v>74</v>
      </c>
      <c r="BL216" t="s">
        <v>74</v>
      </c>
      <c r="BM216" t="s">
        <v>74</v>
      </c>
      <c r="BN216" t="s">
        <v>74</v>
      </c>
      <c r="BO216" t="s">
        <v>74</v>
      </c>
      <c r="BP216" t="s">
        <v>74</v>
      </c>
      <c r="BQ216" t="s">
        <v>74</v>
      </c>
      <c r="BR216" t="s">
        <v>74</v>
      </c>
      <c r="BS216" t="s">
        <v>6734</v>
      </c>
      <c r="BT216" t="str">
        <f>HYPERLINK("https%3A%2F%2Fwww.webofscience.com%2Fwos%2Fwoscc%2Ffull-record%2FWOS:A1981MD82400003","View Full Record in Web of Science")</f>
        <v>View Full Record in Web of Science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85CC-A807-7E4F-834D-3E690A2D658B}">
  <dimension ref="A1:BT67"/>
  <sheetViews>
    <sheetView workbookViewId="0">
      <selection sqref="A1:BY1048576"/>
    </sheetView>
  </sheetViews>
  <sheetFormatPr baseColWidth="10" defaultRowHeight="16" x14ac:dyDescent="0.2"/>
  <cols>
    <col min="1" max="77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454</v>
      </c>
      <c r="C2" t="s">
        <v>74</v>
      </c>
      <c r="D2" t="s">
        <v>74</v>
      </c>
      <c r="E2" t="s">
        <v>74</v>
      </c>
      <c r="F2" t="s">
        <v>455</v>
      </c>
      <c r="G2" t="s">
        <v>74</v>
      </c>
      <c r="H2" t="s">
        <v>74</v>
      </c>
      <c r="I2" t="s">
        <v>456</v>
      </c>
      <c r="J2" t="s">
        <v>457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6791</v>
      </c>
      <c r="AB2" t="s">
        <v>6792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458</v>
      </c>
      <c r="AP2" t="s">
        <v>74</v>
      </c>
      <c r="AQ2" t="s">
        <v>74</v>
      </c>
      <c r="AR2" t="s">
        <v>74</v>
      </c>
      <c r="AS2" t="s">
        <v>74</v>
      </c>
      <c r="AT2" t="s">
        <v>451</v>
      </c>
      <c r="AU2">
        <v>2023</v>
      </c>
      <c r="AV2">
        <v>13</v>
      </c>
      <c r="AW2">
        <v>9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459</v>
      </c>
      <c r="BE2" t="s">
        <v>460</v>
      </c>
      <c r="BF2" t="str">
        <f>HYPERLINK("http://dx.doi.org/10.1002/ece3.10503","http://dx.doi.org/10.1002/ece3.10503")</f>
        <v>http://dx.doi.org/10.1002/ece3.10503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>
        <v>37680963</v>
      </c>
      <c r="BO2" t="s">
        <v>74</v>
      </c>
      <c r="BP2" t="s">
        <v>74</v>
      </c>
      <c r="BQ2" t="s">
        <v>74</v>
      </c>
      <c r="BR2" t="s">
        <v>74</v>
      </c>
      <c r="BS2" t="s">
        <v>461</v>
      </c>
      <c r="BT2" t="str">
        <f>HYPERLINK("https%3A%2F%2Fwww.webofscience.com%2Fwos%2Fwoscc%2Ffull-record%2FWOS:001062403200001","View Full Record in Web of Science")</f>
        <v>View Full Record in Web of Science</v>
      </c>
    </row>
    <row r="3" spans="1:72" x14ac:dyDescent="0.2">
      <c r="A3" t="s">
        <v>72</v>
      </c>
      <c r="B3" t="s">
        <v>572</v>
      </c>
      <c r="C3" t="s">
        <v>74</v>
      </c>
      <c r="D3" t="s">
        <v>74</v>
      </c>
      <c r="E3" t="s">
        <v>74</v>
      </c>
      <c r="F3" t="s">
        <v>573</v>
      </c>
      <c r="G3" t="s">
        <v>74</v>
      </c>
      <c r="H3" t="s">
        <v>74</v>
      </c>
      <c r="I3" t="s">
        <v>574</v>
      </c>
      <c r="J3" t="s">
        <v>154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6799</v>
      </c>
      <c r="AB3" t="s">
        <v>6800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155</v>
      </c>
      <c r="AP3" t="s">
        <v>156</v>
      </c>
      <c r="AQ3" t="s">
        <v>74</v>
      </c>
      <c r="AR3" t="s">
        <v>74</v>
      </c>
      <c r="AS3" t="s">
        <v>74</v>
      </c>
      <c r="AT3" t="s">
        <v>575</v>
      </c>
      <c r="AU3">
        <v>2023</v>
      </c>
      <c r="AV3">
        <v>100</v>
      </c>
      <c r="AW3" t="s">
        <v>74</v>
      </c>
      <c r="AX3" t="s">
        <v>74</v>
      </c>
      <c r="AY3" t="s">
        <v>74</v>
      </c>
      <c r="AZ3" t="s">
        <v>74</v>
      </c>
      <c r="BA3" t="s">
        <v>74</v>
      </c>
      <c r="BB3" t="s">
        <v>74</v>
      </c>
      <c r="BC3" t="s">
        <v>74</v>
      </c>
      <c r="BD3">
        <v>126057</v>
      </c>
      <c r="BE3" t="s">
        <v>576</v>
      </c>
      <c r="BF3" t="str">
        <f>HYPERLINK("http://dx.doi.org/10.1016/j.limno.2023.126057","http://dx.doi.org/10.1016/j.limno.2023.126057")</f>
        <v>http://dx.doi.org/10.1016/j.limno.2023.126057</v>
      </c>
      <c r="BG3" t="s">
        <v>74</v>
      </c>
      <c r="BH3" t="s">
        <v>561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577</v>
      </c>
      <c r="BT3" t="str">
        <f>HYPERLINK("https%3A%2F%2Fwww.webofscience.com%2Fwos%2Fwoscc%2Ffull-record%2FWOS:001030262000001","View Full Record in Web of Science")</f>
        <v>View Full Record in Web of Science</v>
      </c>
    </row>
    <row r="4" spans="1:72" x14ac:dyDescent="0.2">
      <c r="A4" t="s">
        <v>72</v>
      </c>
      <c r="B4" t="s">
        <v>753</v>
      </c>
      <c r="C4" t="s">
        <v>74</v>
      </c>
      <c r="D4" t="s">
        <v>74</v>
      </c>
      <c r="E4" t="s">
        <v>74</v>
      </c>
      <c r="F4" t="s">
        <v>754</v>
      </c>
      <c r="G4" t="s">
        <v>74</v>
      </c>
      <c r="H4" t="s">
        <v>74</v>
      </c>
      <c r="I4" t="s">
        <v>755</v>
      </c>
      <c r="J4" t="s">
        <v>756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757</v>
      </c>
      <c r="AB4" t="s">
        <v>758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759</v>
      </c>
      <c r="AP4" t="s">
        <v>74</v>
      </c>
      <c r="AQ4" t="s">
        <v>74</v>
      </c>
      <c r="AR4" t="s">
        <v>74</v>
      </c>
      <c r="AS4" t="s">
        <v>74</v>
      </c>
      <c r="AT4" t="s">
        <v>624</v>
      </c>
      <c r="AU4">
        <v>2023</v>
      </c>
      <c r="AV4">
        <v>196</v>
      </c>
      <c r="AW4" t="s">
        <v>760</v>
      </c>
      <c r="AX4" t="s">
        <v>74</v>
      </c>
      <c r="AY4" t="s">
        <v>74</v>
      </c>
      <c r="AZ4" t="s">
        <v>74</v>
      </c>
      <c r="BA4" t="s">
        <v>74</v>
      </c>
      <c r="BB4">
        <v>229</v>
      </c>
      <c r="BC4">
        <v>249</v>
      </c>
      <c r="BD4" t="s">
        <v>74</v>
      </c>
      <c r="BE4" t="s">
        <v>761</v>
      </c>
      <c r="BF4" t="str">
        <f>HYPERLINK("http://dx.doi.org/10.1127/fal/2023/1466","http://dx.doi.org/10.1127/fal/2023/1466")</f>
        <v>http://dx.doi.org/10.1127/fal/2023/1466</v>
      </c>
      <c r="BG4" t="s">
        <v>74</v>
      </c>
      <c r="BH4" t="s">
        <v>762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 t="s">
        <v>763</v>
      </c>
      <c r="BT4" t="str">
        <f>HYPERLINK("https%3A%2F%2Fwww.webofscience.com%2Fwos%2Fwoscc%2Ffull-record%2FWOS:000911914800001","View Full Record in Web of Science")</f>
        <v>View Full Record in Web of Science</v>
      </c>
    </row>
    <row r="5" spans="1:72" x14ac:dyDescent="0.2">
      <c r="A5" t="s">
        <v>72</v>
      </c>
      <c r="B5" t="s">
        <v>824</v>
      </c>
      <c r="C5" t="s">
        <v>74</v>
      </c>
      <c r="D5" t="s">
        <v>74</v>
      </c>
      <c r="E5" t="s">
        <v>74</v>
      </c>
      <c r="F5" t="s">
        <v>825</v>
      </c>
      <c r="G5" t="s">
        <v>74</v>
      </c>
      <c r="H5" t="s">
        <v>74</v>
      </c>
      <c r="I5" t="s">
        <v>826</v>
      </c>
      <c r="J5" t="s">
        <v>827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6812</v>
      </c>
      <c r="AB5" t="s">
        <v>828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829</v>
      </c>
      <c r="AP5" t="s">
        <v>830</v>
      </c>
      <c r="AQ5" t="s">
        <v>74</v>
      </c>
      <c r="AR5" t="s">
        <v>74</v>
      </c>
      <c r="AS5" t="s">
        <v>74</v>
      </c>
      <c r="AT5" t="s">
        <v>416</v>
      </c>
      <c r="AU5">
        <v>2023</v>
      </c>
      <c r="AV5">
        <v>32</v>
      </c>
      <c r="AW5">
        <v>2</v>
      </c>
      <c r="AX5" t="s">
        <v>74</v>
      </c>
      <c r="AY5" t="s">
        <v>74</v>
      </c>
      <c r="AZ5" t="s">
        <v>74</v>
      </c>
      <c r="BA5" t="s">
        <v>74</v>
      </c>
      <c r="BB5">
        <v>295</v>
      </c>
      <c r="BC5">
        <v>309</v>
      </c>
      <c r="BD5" t="s">
        <v>74</v>
      </c>
      <c r="BE5" t="s">
        <v>831</v>
      </c>
      <c r="BF5" t="str">
        <f>HYPERLINK("http://dx.doi.org/10.1111/geb.13626","http://dx.doi.org/10.1111/geb.13626")</f>
        <v>http://dx.doi.org/10.1111/geb.13626</v>
      </c>
      <c r="BG5" t="s">
        <v>74</v>
      </c>
      <c r="BH5" t="s">
        <v>822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>
        <v>37081858</v>
      </c>
      <c r="BO5" t="s">
        <v>74</v>
      </c>
      <c r="BP5" t="s">
        <v>74</v>
      </c>
      <c r="BQ5" t="s">
        <v>74</v>
      </c>
      <c r="BR5" t="s">
        <v>74</v>
      </c>
      <c r="BS5" t="s">
        <v>832</v>
      </c>
      <c r="BT5" t="str">
        <f>HYPERLINK("https%3A%2F%2Fwww.webofscience.com%2Fwos%2Fwoscc%2Ffull-record%2FWOS:000901793600001","View Full Record in Web of Science")</f>
        <v>View Full Record in Web of Science</v>
      </c>
    </row>
    <row r="6" spans="1:72" x14ac:dyDescent="0.2">
      <c r="A6" t="s">
        <v>72</v>
      </c>
      <c r="B6" t="s">
        <v>833</v>
      </c>
      <c r="C6" t="s">
        <v>74</v>
      </c>
      <c r="D6" t="s">
        <v>74</v>
      </c>
      <c r="E6" t="s">
        <v>74</v>
      </c>
      <c r="F6" t="s">
        <v>834</v>
      </c>
      <c r="G6" t="s">
        <v>74</v>
      </c>
      <c r="H6" t="s">
        <v>74</v>
      </c>
      <c r="I6" t="s">
        <v>835</v>
      </c>
      <c r="J6" t="s">
        <v>836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6813</v>
      </c>
      <c r="AB6" t="s">
        <v>6814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837</v>
      </c>
      <c r="AP6" t="s">
        <v>838</v>
      </c>
      <c r="AQ6" t="s">
        <v>74</v>
      </c>
      <c r="AR6" t="s">
        <v>74</v>
      </c>
      <c r="AS6" t="s">
        <v>74</v>
      </c>
      <c r="AT6" t="s">
        <v>315</v>
      </c>
      <c r="AU6">
        <v>2023</v>
      </c>
      <c r="AV6">
        <v>121</v>
      </c>
      <c r="AW6" t="s">
        <v>74</v>
      </c>
      <c r="AX6" t="s">
        <v>74</v>
      </c>
      <c r="AY6" t="s">
        <v>74</v>
      </c>
      <c r="AZ6" t="s">
        <v>74</v>
      </c>
      <c r="BA6" t="s">
        <v>74</v>
      </c>
      <c r="BB6" t="s">
        <v>74</v>
      </c>
      <c r="BC6" t="s">
        <v>74</v>
      </c>
      <c r="BD6">
        <v>102367</v>
      </c>
      <c r="BE6" t="s">
        <v>839</v>
      </c>
      <c r="BF6" t="str">
        <f>HYPERLINK("http://dx.doi.org/10.1016/j.hal.2022.102367","http://dx.doi.org/10.1016/j.hal.2022.102367")</f>
        <v>http://dx.doi.org/10.1016/j.hal.2022.102367</v>
      </c>
      <c r="BG6" t="s">
        <v>74</v>
      </c>
      <c r="BH6" t="s">
        <v>822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>
        <v>36639186</v>
      </c>
      <c r="BO6" t="s">
        <v>74</v>
      </c>
      <c r="BP6" t="s">
        <v>74</v>
      </c>
      <c r="BQ6" t="s">
        <v>74</v>
      </c>
      <c r="BR6" t="s">
        <v>74</v>
      </c>
      <c r="BS6" t="s">
        <v>840</v>
      </c>
      <c r="BT6" t="str">
        <f>HYPERLINK("https%3A%2F%2Fwww.webofscience.com%2Fwos%2Fwoscc%2Ffull-record%2FWOS:000903524800003","View Full Record in Web of Science")</f>
        <v>View Full Record in Web of Science</v>
      </c>
    </row>
    <row r="7" spans="1:72" x14ac:dyDescent="0.2">
      <c r="A7" t="s">
        <v>72</v>
      </c>
      <c r="B7" t="s">
        <v>876</v>
      </c>
      <c r="C7" t="s">
        <v>74</v>
      </c>
      <c r="D7" t="s">
        <v>74</v>
      </c>
      <c r="E7" t="s">
        <v>74</v>
      </c>
      <c r="F7" t="s">
        <v>877</v>
      </c>
      <c r="G7" t="s">
        <v>74</v>
      </c>
      <c r="H7" t="s">
        <v>74</v>
      </c>
      <c r="I7" t="s">
        <v>878</v>
      </c>
      <c r="J7" t="s">
        <v>879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880</v>
      </c>
      <c r="AB7" t="s">
        <v>881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882</v>
      </c>
      <c r="AP7" t="s">
        <v>883</v>
      </c>
      <c r="AQ7" t="s">
        <v>74</v>
      </c>
      <c r="AR7" t="s">
        <v>74</v>
      </c>
      <c r="AS7" t="s">
        <v>74</v>
      </c>
      <c r="AT7" t="s">
        <v>82</v>
      </c>
      <c r="AU7">
        <v>2022</v>
      </c>
      <c r="AV7">
        <v>71</v>
      </c>
      <c r="AW7">
        <v>12</v>
      </c>
      <c r="AX7" t="s">
        <v>74</v>
      </c>
      <c r="AY7" t="s">
        <v>74</v>
      </c>
      <c r="AZ7" t="s">
        <v>74</v>
      </c>
      <c r="BA7" t="s">
        <v>74</v>
      </c>
      <c r="BB7">
        <v>1364</v>
      </c>
      <c r="BC7">
        <v>1383</v>
      </c>
      <c r="BD7" t="s">
        <v>74</v>
      </c>
      <c r="BE7" t="s">
        <v>884</v>
      </c>
      <c r="BF7" t="str">
        <f>HYPERLINK("http://dx.doi.org/10.2166/aqua.2022.238","http://dx.doi.org/10.2166/aqua.2022.238")</f>
        <v>http://dx.doi.org/10.2166/aqua.2022.238</v>
      </c>
      <c r="BG7" t="s">
        <v>74</v>
      </c>
      <c r="BH7" t="s">
        <v>885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 t="s">
        <v>886</v>
      </c>
      <c r="BT7" t="str">
        <f>HYPERLINK("https%3A%2F%2Fwww.webofscience.com%2Fwos%2Fwoscc%2Ffull-record%2FWOS:000891744900001","View Full Record in Web of Science")</f>
        <v>View Full Record in Web of Science</v>
      </c>
    </row>
    <row r="8" spans="1:72" x14ac:dyDescent="0.2">
      <c r="A8" t="s">
        <v>72</v>
      </c>
      <c r="B8" t="s">
        <v>894</v>
      </c>
      <c r="C8" t="s">
        <v>74</v>
      </c>
      <c r="D8" t="s">
        <v>74</v>
      </c>
      <c r="E8" t="s">
        <v>74</v>
      </c>
      <c r="F8" t="s">
        <v>895</v>
      </c>
      <c r="G8" t="s">
        <v>74</v>
      </c>
      <c r="H8" t="s">
        <v>74</v>
      </c>
      <c r="I8" t="s">
        <v>896</v>
      </c>
      <c r="J8" t="s">
        <v>502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6816</v>
      </c>
      <c r="AB8" t="s">
        <v>6817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503</v>
      </c>
      <c r="AP8" t="s">
        <v>504</v>
      </c>
      <c r="AQ8" t="s">
        <v>74</v>
      </c>
      <c r="AR8" t="s">
        <v>74</v>
      </c>
      <c r="AS8" t="s">
        <v>74</v>
      </c>
      <c r="AT8" t="s">
        <v>82</v>
      </c>
      <c r="AU8">
        <v>2022</v>
      </c>
      <c r="AV8">
        <v>145</v>
      </c>
      <c r="AW8" t="s">
        <v>74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 t="s">
        <v>74</v>
      </c>
      <c r="BE8" t="s">
        <v>897</v>
      </c>
      <c r="BF8" t="str">
        <f>HYPERLINK("http://dx.doi.org/10.1016/j.ecolind.2022.109662","http://dx.doi.org/10.1016/j.ecolind.2022.109662")</f>
        <v>http://dx.doi.org/10.1016/j.ecolind.2022.109662</v>
      </c>
      <c r="BG8" t="s">
        <v>74</v>
      </c>
      <c r="BH8" t="s">
        <v>885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 t="s">
        <v>74</v>
      </c>
      <c r="BR8" t="s">
        <v>74</v>
      </c>
      <c r="BS8" t="s">
        <v>898</v>
      </c>
      <c r="BT8" t="str">
        <f>HYPERLINK("https%3A%2F%2Fwww.webofscience.com%2Fwos%2Fwoscc%2Ffull-record%2FWOS:000934000800002","View Full Record in Web of Science")</f>
        <v>View Full Record in Web of Science</v>
      </c>
    </row>
    <row r="9" spans="1:72" x14ac:dyDescent="0.2">
      <c r="A9" t="s">
        <v>72</v>
      </c>
      <c r="B9" t="s">
        <v>1025</v>
      </c>
      <c r="C9" t="s">
        <v>74</v>
      </c>
      <c r="D9" t="s">
        <v>74</v>
      </c>
      <c r="E9" t="s">
        <v>74</v>
      </c>
      <c r="F9" t="s">
        <v>1026</v>
      </c>
      <c r="G9" t="s">
        <v>74</v>
      </c>
      <c r="H9" t="s">
        <v>74</v>
      </c>
      <c r="I9" t="s">
        <v>1027</v>
      </c>
      <c r="J9" t="s">
        <v>423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6823</v>
      </c>
      <c r="AB9" t="s">
        <v>1028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425</v>
      </c>
      <c r="AP9" t="s">
        <v>426</v>
      </c>
      <c r="AQ9" t="s">
        <v>74</v>
      </c>
      <c r="AR9" t="s">
        <v>74</v>
      </c>
      <c r="AS9" t="s">
        <v>74</v>
      </c>
      <c r="AT9" t="s">
        <v>335</v>
      </c>
      <c r="AU9">
        <v>2022</v>
      </c>
      <c r="AV9">
        <v>67</v>
      </c>
      <c r="AW9">
        <v>11</v>
      </c>
      <c r="AX9" t="s">
        <v>74</v>
      </c>
      <c r="AY9" t="s">
        <v>74</v>
      </c>
      <c r="AZ9" t="s">
        <v>74</v>
      </c>
      <c r="BA9" t="s">
        <v>74</v>
      </c>
      <c r="BB9">
        <v>1903</v>
      </c>
      <c r="BC9">
        <v>1924</v>
      </c>
      <c r="BD9" t="s">
        <v>74</v>
      </c>
      <c r="BE9" t="s">
        <v>1029</v>
      </c>
      <c r="BF9" t="str">
        <f>HYPERLINK("http://dx.doi.org/10.1111/fwb.13983","http://dx.doi.org/10.1111/fwb.13983")</f>
        <v>http://dx.doi.org/10.1111/fwb.13983</v>
      </c>
      <c r="BG9" t="s">
        <v>74</v>
      </c>
      <c r="BH9" t="s">
        <v>978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 t="s">
        <v>1030</v>
      </c>
      <c r="BT9" t="str">
        <f>HYPERLINK("https%3A%2F%2Fwww.webofscience.com%2Fwos%2Fwoscc%2Ffull-record%2FWOS:000849813100001","View Full Record in Web of Science")</f>
        <v>View Full Record in Web of Science</v>
      </c>
    </row>
    <row r="10" spans="1:72" x14ac:dyDescent="0.2">
      <c r="A10" t="s">
        <v>72</v>
      </c>
      <c r="B10" t="s">
        <v>1031</v>
      </c>
      <c r="C10" t="s">
        <v>74</v>
      </c>
      <c r="D10" t="s">
        <v>74</v>
      </c>
      <c r="E10" t="s">
        <v>74</v>
      </c>
      <c r="F10" t="s">
        <v>1032</v>
      </c>
      <c r="G10" t="s">
        <v>74</v>
      </c>
      <c r="H10" t="s">
        <v>74</v>
      </c>
      <c r="I10" t="s">
        <v>1033</v>
      </c>
      <c r="J10" t="s">
        <v>1034</v>
      </c>
      <c r="K10" t="s">
        <v>74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6824</v>
      </c>
      <c r="AB10" t="s">
        <v>74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1035</v>
      </c>
      <c r="AP10" t="s">
        <v>1036</v>
      </c>
      <c r="AQ10" t="s">
        <v>74</v>
      </c>
      <c r="AR10" t="s">
        <v>74</v>
      </c>
      <c r="AS10" t="s">
        <v>74</v>
      </c>
      <c r="AT10" t="s">
        <v>1037</v>
      </c>
      <c r="AU10">
        <v>2023</v>
      </c>
      <c r="AV10">
        <v>441</v>
      </c>
      <c r="AW10" t="s">
        <v>74</v>
      </c>
      <c r="AX10" t="s">
        <v>74</v>
      </c>
      <c r="AY10" t="s">
        <v>74</v>
      </c>
      <c r="AZ10" t="s">
        <v>74</v>
      </c>
      <c r="BA10" t="s">
        <v>74</v>
      </c>
      <c r="BB10" t="s">
        <v>74</v>
      </c>
      <c r="BC10" t="s">
        <v>74</v>
      </c>
      <c r="BD10">
        <v>129869</v>
      </c>
      <c r="BE10" t="s">
        <v>1038</v>
      </c>
      <c r="BF10" t="str">
        <f>HYPERLINK("http://dx.doi.org/10.1016/j.jhazmat.2022.129869","http://dx.doi.org/10.1016/j.jhazmat.2022.129869")</f>
        <v>http://dx.doi.org/10.1016/j.jhazmat.2022.129869</v>
      </c>
      <c r="BG10" t="s">
        <v>74</v>
      </c>
      <c r="BH10" t="s">
        <v>978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>
        <v>36063709</v>
      </c>
      <c r="BO10" t="s">
        <v>74</v>
      </c>
      <c r="BP10" t="s">
        <v>74</v>
      </c>
      <c r="BQ10" t="s">
        <v>74</v>
      </c>
      <c r="BR10" t="s">
        <v>74</v>
      </c>
      <c r="BS10" t="s">
        <v>1039</v>
      </c>
      <c r="BT10" t="str">
        <f>HYPERLINK("https%3A%2F%2Fwww.webofscience.com%2Fwos%2Fwoscc%2Ffull-record%2FWOS:000863056300003","View Full Record in Web of Science")</f>
        <v>View Full Record in Web of Science</v>
      </c>
    </row>
    <row r="11" spans="1:72" x14ac:dyDescent="0.2">
      <c r="A11" t="s">
        <v>72</v>
      </c>
      <c r="B11" t="s">
        <v>1046</v>
      </c>
      <c r="C11" t="s">
        <v>74</v>
      </c>
      <c r="D11" t="s">
        <v>74</v>
      </c>
      <c r="E11" t="s">
        <v>74</v>
      </c>
      <c r="F11" t="s">
        <v>1047</v>
      </c>
      <c r="G11" t="s">
        <v>74</v>
      </c>
      <c r="H11" t="s">
        <v>74</v>
      </c>
      <c r="I11" t="s">
        <v>1048</v>
      </c>
      <c r="J11" t="s">
        <v>502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1049</v>
      </c>
      <c r="AB11" t="s">
        <v>1050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503</v>
      </c>
      <c r="AP11" t="s">
        <v>504</v>
      </c>
      <c r="AQ11" t="s">
        <v>74</v>
      </c>
      <c r="AR11" t="s">
        <v>74</v>
      </c>
      <c r="AS11" t="s">
        <v>74</v>
      </c>
      <c r="AT11" t="s">
        <v>406</v>
      </c>
      <c r="AU11">
        <v>2022</v>
      </c>
      <c r="AV11">
        <v>143</v>
      </c>
      <c r="AW11" t="s">
        <v>74</v>
      </c>
      <c r="AX11" t="s">
        <v>74</v>
      </c>
      <c r="AY11" t="s">
        <v>74</v>
      </c>
      <c r="AZ11" t="s">
        <v>74</v>
      </c>
      <c r="BA11" t="s">
        <v>74</v>
      </c>
      <c r="BB11" t="s">
        <v>74</v>
      </c>
      <c r="BC11" t="s">
        <v>74</v>
      </c>
      <c r="BD11">
        <v>109355</v>
      </c>
      <c r="BE11" t="s">
        <v>1051</v>
      </c>
      <c r="BF11" t="str">
        <f>HYPERLINK("http://dx.doi.org/10.1016/j.ecolind.2022.109355","http://dx.doi.org/10.1016/j.ecolind.2022.109355")</f>
        <v>http://dx.doi.org/10.1016/j.ecolind.2022.109355</v>
      </c>
      <c r="BG11" t="s">
        <v>74</v>
      </c>
      <c r="BH11" t="s">
        <v>978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 t="s">
        <v>74</v>
      </c>
      <c r="BR11" t="s">
        <v>74</v>
      </c>
      <c r="BS11" t="s">
        <v>1052</v>
      </c>
      <c r="BT11" t="str">
        <f>HYPERLINK("https%3A%2F%2Fwww.webofscience.com%2Fwos%2Fwoscc%2Ffull-record%2FWOS:000862836700002","View Full Record in Web of Science")</f>
        <v>View Full Record in Web of Science</v>
      </c>
    </row>
    <row r="12" spans="1:72" x14ac:dyDescent="0.2">
      <c r="A12" t="s">
        <v>72</v>
      </c>
      <c r="B12" t="s">
        <v>1221</v>
      </c>
      <c r="C12" t="s">
        <v>74</v>
      </c>
      <c r="D12" t="s">
        <v>74</v>
      </c>
      <c r="E12" t="s">
        <v>74</v>
      </c>
      <c r="F12" t="s">
        <v>1222</v>
      </c>
      <c r="G12" t="s">
        <v>74</v>
      </c>
      <c r="H12" t="s">
        <v>74</v>
      </c>
      <c r="I12" t="s">
        <v>1223</v>
      </c>
      <c r="J12" t="s">
        <v>1224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74</v>
      </c>
      <c r="AB12" t="s">
        <v>6835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1226</v>
      </c>
      <c r="AP12" t="s">
        <v>1227</v>
      </c>
      <c r="AQ12" t="s">
        <v>74</v>
      </c>
      <c r="AR12" t="s">
        <v>74</v>
      </c>
      <c r="AS12" t="s">
        <v>74</v>
      </c>
      <c r="AT12" t="s">
        <v>1124</v>
      </c>
      <c r="AU12">
        <v>2022</v>
      </c>
      <c r="AV12">
        <v>61</v>
      </c>
      <c r="AW12">
        <v>4</v>
      </c>
      <c r="AX12" t="s">
        <v>74</v>
      </c>
      <c r="AY12" t="s">
        <v>74</v>
      </c>
      <c r="AZ12" t="s">
        <v>74</v>
      </c>
      <c r="BA12" t="s">
        <v>74</v>
      </c>
      <c r="BB12">
        <v>436</v>
      </c>
      <c r="BC12">
        <v>443</v>
      </c>
      <c r="BD12" t="s">
        <v>74</v>
      </c>
      <c r="BE12" t="s">
        <v>1228</v>
      </c>
      <c r="BF12" t="str">
        <f>HYPERLINK("http://dx.doi.org/10.1080/00318884.2022.2073077","http://dx.doi.org/10.1080/00318884.2022.2073077")</f>
        <v>http://dx.doi.org/10.1080/00318884.2022.2073077</v>
      </c>
      <c r="BG12" t="s">
        <v>74</v>
      </c>
      <c r="BH12" t="s">
        <v>1160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 t="s">
        <v>74</v>
      </c>
      <c r="BR12" t="s">
        <v>74</v>
      </c>
      <c r="BS12" t="s">
        <v>1229</v>
      </c>
      <c r="BT12" t="str">
        <f>HYPERLINK("https%3A%2F%2Fwww.webofscience.com%2Fwos%2Fwoscc%2Ffull-record%2FWOS:000807596100001","View Full Record in Web of Science")</f>
        <v>View Full Record in Web of Science</v>
      </c>
    </row>
    <row r="13" spans="1:72" x14ac:dyDescent="0.2">
      <c r="A13" t="s">
        <v>72</v>
      </c>
      <c r="B13" t="s">
        <v>1365</v>
      </c>
      <c r="C13" t="s">
        <v>74</v>
      </c>
      <c r="D13" t="s">
        <v>74</v>
      </c>
      <c r="E13" t="s">
        <v>74</v>
      </c>
      <c r="F13" t="s">
        <v>1366</v>
      </c>
      <c r="G13" t="s">
        <v>74</v>
      </c>
      <c r="H13" t="s">
        <v>74</v>
      </c>
      <c r="I13" t="s">
        <v>1367</v>
      </c>
      <c r="J13" t="s">
        <v>1368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6848</v>
      </c>
      <c r="AB13" t="s">
        <v>6849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1369</v>
      </c>
      <c r="AP13" t="s">
        <v>1370</v>
      </c>
      <c r="AQ13" t="s">
        <v>74</v>
      </c>
      <c r="AR13" t="s">
        <v>74</v>
      </c>
      <c r="AS13" t="s">
        <v>74</v>
      </c>
      <c r="AT13" t="s">
        <v>1371</v>
      </c>
      <c r="AU13">
        <v>2022</v>
      </c>
      <c r="AV13">
        <v>18</v>
      </c>
      <c r="AW13">
        <v>2</v>
      </c>
      <c r="AX13" t="s">
        <v>74</v>
      </c>
      <c r="AY13" t="s">
        <v>74</v>
      </c>
      <c r="AZ13" t="s">
        <v>74</v>
      </c>
      <c r="BA13" t="s">
        <v>74</v>
      </c>
      <c r="BB13">
        <v>363</v>
      </c>
      <c r="BC13">
        <v>380</v>
      </c>
      <c r="BD13" t="s">
        <v>74</v>
      </c>
      <c r="BE13" t="s">
        <v>1372</v>
      </c>
      <c r="BF13" t="str">
        <f>HYPERLINK("http://dx.doi.org/10.5194/cp-18-363-2022","http://dx.doi.org/10.5194/cp-18-363-2022")</f>
        <v>http://dx.doi.org/10.5194/cp-18-363-2022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1373</v>
      </c>
      <c r="BT13" t="str">
        <f>HYPERLINK("https%3A%2F%2Fwww.webofscience.com%2Fwos%2Fwoscc%2Ffull-record%2FWOS:000765236300001","View Full Record in Web of Science")</f>
        <v>View Full Record in Web of Science</v>
      </c>
    </row>
    <row r="14" spans="1:72" x14ac:dyDescent="0.2">
      <c r="A14" t="s">
        <v>72</v>
      </c>
      <c r="B14" t="s">
        <v>1489</v>
      </c>
      <c r="C14" t="s">
        <v>74</v>
      </c>
      <c r="D14" t="s">
        <v>74</v>
      </c>
      <c r="E14" t="s">
        <v>74</v>
      </c>
      <c r="F14" t="s">
        <v>1490</v>
      </c>
      <c r="G14" t="s">
        <v>74</v>
      </c>
      <c r="H14" t="s">
        <v>74</v>
      </c>
      <c r="I14" t="s">
        <v>1491</v>
      </c>
      <c r="J14" t="s">
        <v>673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1492</v>
      </c>
      <c r="AB14" t="s">
        <v>1493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674</v>
      </c>
      <c r="AP14" t="s">
        <v>675</v>
      </c>
      <c r="AQ14" t="s">
        <v>74</v>
      </c>
      <c r="AR14" t="s">
        <v>74</v>
      </c>
      <c r="AS14" t="s">
        <v>74</v>
      </c>
      <c r="AT14" t="s">
        <v>1494</v>
      </c>
      <c r="AU14">
        <v>2021</v>
      </c>
      <c r="AV14">
        <v>228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 t="s">
        <v>74</v>
      </c>
      <c r="BC14" t="s">
        <v>74</v>
      </c>
      <c r="BD14">
        <v>113036</v>
      </c>
      <c r="BE14" t="s">
        <v>1495</v>
      </c>
      <c r="BF14" t="str">
        <f>HYPERLINK("http://dx.doi.org/10.1016/j.ecoenv.2021.113036","http://dx.doi.org/10.1016/j.ecoenv.2021.113036")</f>
        <v>http://dx.doi.org/10.1016/j.ecoenv.2021.113036</v>
      </c>
      <c r="BG14" t="s">
        <v>74</v>
      </c>
      <c r="BH14" t="s">
        <v>1496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>
        <v>34861440</v>
      </c>
      <c r="BO14" t="s">
        <v>74</v>
      </c>
      <c r="BP14" t="s">
        <v>74</v>
      </c>
      <c r="BQ14" t="s">
        <v>74</v>
      </c>
      <c r="BR14" t="s">
        <v>74</v>
      </c>
      <c r="BS14" t="s">
        <v>1497</v>
      </c>
      <c r="BT14" t="str">
        <f>HYPERLINK("https%3A%2F%2Fwww.webofscience.com%2Fwos%2Fwoscc%2Ffull-record%2FWOS:000740121400005","View Full Record in Web of Science")</f>
        <v>View Full Record in Web of Science</v>
      </c>
    </row>
    <row r="15" spans="1:72" x14ac:dyDescent="0.2">
      <c r="A15" t="s">
        <v>72</v>
      </c>
      <c r="B15" t="s">
        <v>1498</v>
      </c>
      <c r="C15" t="s">
        <v>74</v>
      </c>
      <c r="D15" t="s">
        <v>74</v>
      </c>
      <c r="E15" t="s">
        <v>74</v>
      </c>
      <c r="F15" t="s">
        <v>1499</v>
      </c>
      <c r="G15" t="s">
        <v>74</v>
      </c>
      <c r="H15" t="s">
        <v>74</v>
      </c>
      <c r="I15" t="s">
        <v>1500</v>
      </c>
      <c r="J15" t="s">
        <v>423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74</v>
      </c>
      <c r="AB15" t="s">
        <v>6857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425</v>
      </c>
      <c r="AP15" t="s">
        <v>426</v>
      </c>
      <c r="AQ15" t="s">
        <v>74</v>
      </c>
      <c r="AR15" t="s">
        <v>74</v>
      </c>
      <c r="AS15" t="s">
        <v>74</v>
      </c>
      <c r="AT15" t="s">
        <v>416</v>
      </c>
      <c r="AU15">
        <v>2022</v>
      </c>
      <c r="AV15">
        <v>67</v>
      </c>
      <c r="AW15">
        <v>2</v>
      </c>
      <c r="AX15" t="s">
        <v>74</v>
      </c>
      <c r="AY15" t="s">
        <v>74</v>
      </c>
      <c r="AZ15" t="s">
        <v>74</v>
      </c>
      <c r="BA15" t="s">
        <v>74</v>
      </c>
      <c r="BB15">
        <v>353</v>
      </c>
      <c r="BC15">
        <v>364</v>
      </c>
      <c r="BD15" t="s">
        <v>74</v>
      </c>
      <c r="BE15" t="s">
        <v>1501</v>
      </c>
      <c r="BF15" t="str">
        <f>HYPERLINK("http://dx.doi.org/10.1111/fwb.13845","http://dx.doi.org/10.1111/fwb.13845")</f>
        <v>http://dx.doi.org/10.1111/fwb.13845</v>
      </c>
      <c r="BG15" t="s">
        <v>74</v>
      </c>
      <c r="BH15" t="s">
        <v>1496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">
        <v>1502</v>
      </c>
      <c r="BT15" t="str">
        <f>HYPERLINK("https%3A%2F%2Fwww.webofscience.com%2Fwos%2Fwoscc%2Ffull-record%2FWOS:000719862300001","View Full Record in Web of Science")</f>
        <v>View Full Record in Web of Science</v>
      </c>
    </row>
    <row r="16" spans="1:72" x14ac:dyDescent="0.2">
      <c r="A16" t="s">
        <v>72</v>
      </c>
      <c r="B16" t="s">
        <v>1559</v>
      </c>
      <c r="C16" t="s">
        <v>74</v>
      </c>
      <c r="D16" t="s">
        <v>74</v>
      </c>
      <c r="E16" t="s">
        <v>74</v>
      </c>
      <c r="F16" t="s">
        <v>1560</v>
      </c>
      <c r="G16" t="s">
        <v>74</v>
      </c>
      <c r="H16" t="s">
        <v>74</v>
      </c>
      <c r="I16" t="s">
        <v>1561</v>
      </c>
      <c r="J16" t="s">
        <v>423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1562</v>
      </c>
      <c r="AB16" t="s">
        <v>1563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425</v>
      </c>
      <c r="AP16" t="s">
        <v>426</v>
      </c>
      <c r="AQ16" t="s">
        <v>74</v>
      </c>
      <c r="AR16" t="s">
        <v>74</v>
      </c>
      <c r="AS16" t="s">
        <v>74</v>
      </c>
      <c r="AT16" t="s">
        <v>335</v>
      </c>
      <c r="AU16">
        <v>2021</v>
      </c>
      <c r="AV16">
        <v>66</v>
      </c>
      <c r="AW16">
        <v>11</v>
      </c>
      <c r="AX16" t="s">
        <v>74</v>
      </c>
      <c r="AY16" t="s">
        <v>74</v>
      </c>
      <c r="AZ16" t="s">
        <v>74</v>
      </c>
      <c r="BA16" t="s">
        <v>74</v>
      </c>
      <c r="BB16">
        <v>2145</v>
      </c>
      <c r="BC16">
        <v>2157</v>
      </c>
      <c r="BD16" t="s">
        <v>74</v>
      </c>
      <c r="BE16" t="s">
        <v>1564</v>
      </c>
      <c r="BF16" t="str">
        <f>HYPERLINK("http://dx.doi.org/10.1111/fwb.13822","http://dx.doi.org/10.1111/fwb.13822")</f>
        <v>http://dx.doi.org/10.1111/fwb.13822</v>
      </c>
      <c r="BG16" t="s">
        <v>74</v>
      </c>
      <c r="BH16" t="s">
        <v>1549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 t="s">
        <v>74</v>
      </c>
      <c r="BR16" t="s">
        <v>74</v>
      </c>
      <c r="BS16" t="s">
        <v>1565</v>
      </c>
      <c r="BT16" t="str">
        <f>HYPERLINK("https%3A%2F%2Fwww.webofscience.com%2Fwos%2Fwoscc%2Ffull-record%2FWOS:000695725100001","View Full Record in Web of Science")</f>
        <v>View Full Record in Web of Science</v>
      </c>
    </row>
    <row r="17" spans="1:72" x14ac:dyDescent="0.2">
      <c r="A17" t="s">
        <v>72</v>
      </c>
      <c r="B17" t="s">
        <v>1566</v>
      </c>
      <c r="C17" t="s">
        <v>74</v>
      </c>
      <c r="D17" t="s">
        <v>74</v>
      </c>
      <c r="E17" t="s">
        <v>74</v>
      </c>
      <c r="F17" t="s">
        <v>1567</v>
      </c>
      <c r="G17" t="s">
        <v>74</v>
      </c>
      <c r="H17" t="s">
        <v>74</v>
      </c>
      <c r="I17" t="s">
        <v>1568</v>
      </c>
      <c r="J17" t="s">
        <v>1569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74</v>
      </c>
      <c r="AA17" t="s">
        <v>1570</v>
      </c>
      <c r="AB17" t="s">
        <v>74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1571</v>
      </c>
      <c r="AP17" t="s">
        <v>1572</v>
      </c>
      <c r="AQ17" t="s">
        <v>74</v>
      </c>
      <c r="AR17" t="s">
        <v>74</v>
      </c>
      <c r="AS17" t="s">
        <v>74</v>
      </c>
      <c r="AT17" t="s">
        <v>1573</v>
      </c>
      <c r="AU17">
        <v>2021</v>
      </c>
      <c r="AV17">
        <v>40</v>
      </c>
      <c r="AW17">
        <v>3</v>
      </c>
      <c r="AX17" t="s">
        <v>74</v>
      </c>
      <c r="AY17" t="s">
        <v>74</v>
      </c>
      <c r="AZ17" t="s">
        <v>74</v>
      </c>
      <c r="BA17" t="s">
        <v>74</v>
      </c>
      <c r="BB17">
        <v>463</v>
      </c>
      <c r="BC17">
        <v>477</v>
      </c>
      <c r="BD17" t="s">
        <v>74</v>
      </c>
      <c r="BE17" t="s">
        <v>1574</v>
      </c>
      <c r="BF17" t="str">
        <f>HYPERLINK("http://dx.doi.org/10.1086/716236","http://dx.doi.org/10.1086/716236")</f>
        <v>http://dx.doi.org/10.1086/716236</v>
      </c>
      <c r="BG17" t="s">
        <v>74</v>
      </c>
      <c r="BH17" t="s">
        <v>1549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 t="s">
        <v>74</v>
      </c>
      <c r="BR17" t="s">
        <v>74</v>
      </c>
      <c r="BS17" t="s">
        <v>1575</v>
      </c>
      <c r="BT17" t="str">
        <f>HYPERLINK("https%3A%2F%2Fwww.webofscience.com%2Fwos%2Fwoscc%2Ffull-record%2FWOS:000685515500001","View Full Record in Web of Science")</f>
        <v>View Full Record in Web of Science</v>
      </c>
    </row>
    <row r="18" spans="1:72" x14ac:dyDescent="0.2">
      <c r="A18" t="s">
        <v>72</v>
      </c>
      <c r="B18" t="s">
        <v>1701</v>
      </c>
      <c r="C18" t="s">
        <v>74</v>
      </c>
      <c r="D18" t="s">
        <v>74</v>
      </c>
      <c r="E18" t="s">
        <v>74</v>
      </c>
      <c r="F18" t="s">
        <v>1702</v>
      </c>
      <c r="G18" t="s">
        <v>74</v>
      </c>
      <c r="H18" t="s">
        <v>74</v>
      </c>
      <c r="I18" t="s">
        <v>1703</v>
      </c>
      <c r="J18" t="s">
        <v>1523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 t="s">
        <v>74</v>
      </c>
      <c r="AA18" t="s">
        <v>6873</v>
      </c>
      <c r="AB18" t="s">
        <v>6874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1524</v>
      </c>
      <c r="AP18" t="s">
        <v>1525</v>
      </c>
      <c r="AQ18" t="s">
        <v>74</v>
      </c>
      <c r="AR18" t="s">
        <v>74</v>
      </c>
      <c r="AS18" t="s">
        <v>74</v>
      </c>
      <c r="AT18" t="s">
        <v>624</v>
      </c>
      <c r="AU18">
        <v>2021</v>
      </c>
      <c r="AV18">
        <v>102</v>
      </c>
      <c r="AW18">
        <v>7</v>
      </c>
      <c r="AX18" t="s">
        <v>74</v>
      </c>
      <c r="AY18" t="s">
        <v>74</v>
      </c>
      <c r="AZ18" t="s">
        <v>74</v>
      </c>
      <c r="BA18" t="s">
        <v>74</v>
      </c>
      <c r="BB18" t="s">
        <v>74</v>
      </c>
      <c r="BC18" t="s">
        <v>74</v>
      </c>
      <c r="BD18" t="s">
        <v>1704</v>
      </c>
      <c r="BE18" t="s">
        <v>1705</v>
      </c>
      <c r="BF18" t="str">
        <f>HYPERLINK("http://dx.doi.org/10.1002/ecy.3370","http://dx.doi.org/10.1002/ecy.3370")</f>
        <v>http://dx.doi.org/10.1002/ecy.3370</v>
      </c>
      <c r="BG18" t="s">
        <v>74</v>
      </c>
      <c r="BH18" t="s">
        <v>1650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>
        <v>33961286</v>
      </c>
      <c r="BO18" t="s">
        <v>74</v>
      </c>
      <c r="BP18" t="s">
        <v>74</v>
      </c>
      <c r="BQ18" t="s">
        <v>74</v>
      </c>
      <c r="BR18" t="s">
        <v>74</v>
      </c>
      <c r="BS18" t="s">
        <v>1706</v>
      </c>
      <c r="BT18" t="str">
        <f>HYPERLINK("https%3A%2F%2Fwww.webofscience.com%2Fwos%2Fwoscc%2Ffull-record%2FWOS:000656432900001","View Full Record in Web of Science")</f>
        <v>View Full Record in Web of Science</v>
      </c>
    </row>
    <row r="19" spans="1:72" x14ac:dyDescent="0.2">
      <c r="A19" t="s">
        <v>72</v>
      </c>
      <c r="B19" t="s">
        <v>1809</v>
      </c>
      <c r="C19" t="s">
        <v>74</v>
      </c>
      <c r="D19" t="s">
        <v>74</v>
      </c>
      <c r="E19" t="s">
        <v>74</v>
      </c>
      <c r="F19" t="s">
        <v>1810</v>
      </c>
      <c r="G19" t="s">
        <v>74</v>
      </c>
      <c r="H19" t="s">
        <v>74</v>
      </c>
      <c r="I19" t="s">
        <v>1811</v>
      </c>
      <c r="J19" t="s">
        <v>596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6886</v>
      </c>
      <c r="AB19" t="s">
        <v>6887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597</v>
      </c>
      <c r="AP19" t="s">
        <v>74</v>
      </c>
      <c r="AQ19" t="s">
        <v>74</v>
      </c>
      <c r="AR19" t="s">
        <v>74</v>
      </c>
      <c r="AS19" t="s">
        <v>74</v>
      </c>
      <c r="AT19" t="s">
        <v>157</v>
      </c>
      <c r="AU19">
        <v>2021</v>
      </c>
      <c r="AV19">
        <v>12</v>
      </c>
      <c r="AW19">
        <v>3</v>
      </c>
      <c r="AX19" t="s">
        <v>74</v>
      </c>
      <c r="AY19" t="s">
        <v>74</v>
      </c>
      <c r="AZ19" t="s">
        <v>74</v>
      </c>
      <c r="BA19" t="s">
        <v>74</v>
      </c>
      <c r="BB19" t="s">
        <v>74</v>
      </c>
      <c r="BC19" t="s">
        <v>74</v>
      </c>
      <c r="BD19" t="s">
        <v>1812</v>
      </c>
      <c r="BE19" t="s">
        <v>1813</v>
      </c>
      <c r="BF19" t="str">
        <f>HYPERLINK("http://dx.doi.org/10.1002/ecs2.3420","http://dx.doi.org/10.1002/ecs2.3420")</f>
        <v>http://dx.doi.org/10.1002/ecs2.3420</v>
      </c>
      <c r="BG19" t="s">
        <v>74</v>
      </c>
      <c r="BH19" t="s">
        <v>74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 t="s">
        <v>1814</v>
      </c>
      <c r="BT19" t="str">
        <f>HYPERLINK("https%3A%2F%2Fwww.webofscience.com%2Fwos%2Fwoscc%2Ffull-record%2FWOS:000636318200013","View Full Record in Web of Science")</f>
        <v>View Full Record in Web of Science</v>
      </c>
    </row>
    <row r="20" spans="1:72" x14ac:dyDescent="0.2">
      <c r="A20" t="s">
        <v>72</v>
      </c>
      <c r="B20" t="s">
        <v>1850</v>
      </c>
      <c r="C20" t="s">
        <v>74</v>
      </c>
      <c r="D20" t="s">
        <v>74</v>
      </c>
      <c r="E20" t="s">
        <v>74</v>
      </c>
      <c r="F20" t="s">
        <v>1851</v>
      </c>
      <c r="G20" t="s">
        <v>74</v>
      </c>
      <c r="H20" t="s">
        <v>74</v>
      </c>
      <c r="I20" t="s">
        <v>1852</v>
      </c>
      <c r="J20" t="s">
        <v>227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6894</v>
      </c>
      <c r="AB20" t="s">
        <v>6895</v>
      </c>
      <c r="AC20" t="s">
        <v>74</v>
      </c>
      <c r="AD20" t="s">
        <v>74</v>
      </c>
      <c r="AE20" t="s">
        <v>74</v>
      </c>
      <c r="AF20" t="s">
        <v>74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t="s">
        <v>74</v>
      </c>
      <c r="AN20" t="s">
        <v>74</v>
      </c>
      <c r="AO20" t="s">
        <v>230</v>
      </c>
      <c r="AP20" t="s">
        <v>231</v>
      </c>
      <c r="AQ20" t="s">
        <v>74</v>
      </c>
      <c r="AR20" t="s">
        <v>74</v>
      </c>
      <c r="AS20" t="s">
        <v>74</v>
      </c>
      <c r="AT20" t="s">
        <v>203</v>
      </c>
      <c r="AU20">
        <v>2021</v>
      </c>
      <c r="AV20">
        <v>66</v>
      </c>
      <c r="AW20">
        <v>4</v>
      </c>
      <c r="AX20" t="s">
        <v>74</v>
      </c>
      <c r="AY20" t="s">
        <v>74</v>
      </c>
      <c r="AZ20" t="s">
        <v>74</v>
      </c>
      <c r="BA20" t="s">
        <v>74</v>
      </c>
      <c r="BB20">
        <v>1409</v>
      </c>
      <c r="BC20">
        <v>1423</v>
      </c>
      <c r="BD20" t="s">
        <v>74</v>
      </c>
      <c r="BE20" t="s">
        <v>1854</v>
      </c>
      <c r="BF20" t="str">
        <f>HYPERLINK("http://dx.doi.org/10.1002/lno.11694","http://dx.doi.org/10.1002/lno.11694")</f>
        <v>http://dx.doi.org/10.1002/lno.11694</v>
      </c>
      <c r="BG20" t="s">
        <v>74</v>
      </c>
      <c r="BH20" t="s">
        <v>1848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 t="s">
        <v>1855</v>
      </c>
      <c r="BT20" t="str">
        <f>HYPERLINK("https%3A%2F%2Fwww.webofscience.com%2Fwos%2Fwoscc%2Ffull-record%2FWOS:000606839900001","View Full Record in Web of Science")</f>
        <v>View Full Record in Web of Science</v>
      </c>
    </row>
    <row r="21" spans="1:72" x14ac:dyDescent="0.2">
      <c r="A21" t="s">
        <v>72</v>
      </c>
      <c r="B21" t="s">
        <v>1964</v>
      </c>
      <c r="C21" t="s">
        <v>74</v>
      </c>
      <c r="D21" t="s">
        <v>74</v>
      </c>
      <c r="E21" t="s">
        <v>74</v>
      </c>
      <c r="F21" t="s">
        <v>1965</v>
      </c>
      <c r="G21" t="s">
        <v>74</v>
      </c>
      <c r="H21" t="s">
        <v>74</v>
      </c>
      <c r="I21" t="s">
        <v>1966</v>
      </c>
      <c r="J21" t="s">
        <v>1967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6908</v>
      </c>
      <c r="AB21" t="s">
        <v>6909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1968</v>
      </c>
      <c r="AP21" t="s">
        <v>1969</v>
      </c>
      <c r="AQ21" t="s">
        <v>74</v>
      </c>
      <c r="AR21" t="s">
        <v>74</v>
      </c>
      <c r="AS21" t="s">
        <v>74</v>
      </c>
      <c r="AT21" t="s">
        <v>82</v>
      </c>
      <c r="AU21">
        <v>2020</v>
      </c>
      <c r="AV21">
        <v>192</v>
      </c>
      <c r="AW21">
        <v>12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>
        <v>792</v>
      </c>
      <c r="BE21" t="s">
        <v>1970</v>
      </c>
      <c r="BF21" t="str">
        <f>HYPERLINK("http://dx.doi.org/10.1007/s10661-020-08766-5","http://dx.doi.org/10.1007/s10661-020-08766-5")</f>
        <v>http://dx.doi.org/10.1007/s10661-020-08766-5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>
        <v>33242179</v>
      </c>
      <c r="BO21" t="s">
        <v>74</v>
      </c>
      <c r="BP21" t="s">
        <v>74</v>
      </c>
      <c r="BQ21" t="s">
        <v>74</v>
      </c>
      <c r="BR21" t="s">
        <v>74</v>
      </c>
      <c r="BS21" t="s">
        <v>1971</v>
      </c>
      <c r="BT21" t="str">
        <f>HYPERLINK("https%3A%2F%2Fwww.webofscience.com%2Fwos%2Fwoscc%2Ffull-record%2FWOS:000595751100003","View Full Record in Web of Science")</f>
        <v>View Full Record in Web of Science</v>
      </c>
    </row>
    <row r="22" spans="1:72" x14ac:dyDescent="0.2">
      <c r="A22" t="s">
        <v>72</v>
      </c>
      <c r="B22" t="s">
        <v>1983</v>
      </c>
      <c r="C22" t="s">
        <v>74</v>
      </c>
      <c r="D22" t="s">
        <v>74</v>
      </c>
      <c r="E22" t="s">
        <v>74</v>
      </c>
      <c r="F22" t="s">
        <v>1984</v>
      </c>
      <c r="G22" t="s">
        <v>74</v>
      </c>
      <c r="H22" t="s">
        <v>74</v>
      </c>
      <c r="I22" t="s">
        <v>1985</v>
      </c>
      <c r="J22" t="s">
        <v>1377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74</v>
      </c>
      <c r="AA22" t="s">
        <v>6912</v>
      </c>
      <c r="AB22" t="s">
        <v>6913</v>
      </c>
      <c r="AC22" t="s">
        <v>74</v>
      </c>
      <c r="AD22" t="s">
        <v>74</v>
      </c>
      <c r="AE22" t="s">
        <v>74</v>
      </c>
      <c r="AF22" t="s">
        <v>74</v>
      </c>
      <c r="AG22" t="s">
        <v>74</v>
      </c>
      <c r="AH22" t="s">
        <v>74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1380</v>
      </c>
      <c r="AP22" t="s">
        <v>1381</v>
      </c>
      <c r="AQ22" t="s">
        <v>74</v>
      </c>
      <c r="AR22" t="s">
        <v>74</v>
      </c>
      <c r="AS22" t="s">
        <v>74</v>
      </c>
      <c r="AT22" t="s">
        <v>451</v>
      </c>
      <c r="AU22">
        <v>2021</v>
      </c>
      <c r="AV22">
        <v>109</v>
      </c>
      <c r="AW22">
        <v>9</v>
      </c>
      <c r="AX22" t="s">
        <v>74</v>
      </c>
      <c r="AY22" t="s">
        <v>74</v>
      </c>
      <c r="AZ22" t="s">
        <v>74</v>
      </c>
      <c r="BA22" t="s">
        <v>74</v>
      </c>
      <c r="BB22">
        <v>3182</v>
      </c>
      <c r="BC22">
        <v>3194</v>
      </c>
      <c r="BD22" t="s">
        <v>74</v>
      </c>
      <c r="BE22" t="s">
        <v>1986</v>
      </c>
      <c r="BF22" t="str">
        <f>HYPERLINK("http://dx.doi.org/10.1111/1365-2745.13544","http://dx.doi.org/10.1111/1365-2745.13544")</f>
        <v>http://dx.doi.org/10.1111/1365-2745.13544</v>
      </c>
      <c r="BG22" t="s">
        <v>74</v>
      </c>
      <c r="BH22" t="s">
        <v>1987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 t="s">
        <v>74</v>
      </c>
      <c r="BR22" t="s">
        <v>74</v>
      </c>
      <c r="BS22" t="s">
        <v>1988</v>
      </c>
      <c r="BT22" t="str">
        <f>HYPERLINK("https%3A%2F%2Fwww.webofscience.com%2Fwos%2Fwoscc%2Ffull-record%2FWOS:000593644800001","View Full Record in Web of Science")</f>
        <v>View Full Record in Web of Science</v>
      </c>
    </row>
    <row r="23" spans="1:72" x14ac:dyDescent="0.2">
      <c r="A23" t="s">
        <v>72</v>
      </c>
      <c r="B23" t="s">
        <v>2404</v>
      </c>
      <c r="C23" t="s">
        <v>74</v>
      </c>
      <c r="D23" t="s">
        <v>74</v>
      </c>
      <c r="E23" t="s">
        <v>74</v>
      </c>
      <c r="F23" t="s">
        <v>2405</v>
      </c>
      <c r="G23" t="s">
        <v>74</v>
      </c>
      <c r="H23" t="s">
        <v>74</v>
      </c>
      <c r="I23" t="s">
        <v>2406</v>
      </c>
      <c r="J23" t="s">
        <v>106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74</v>
      </c>
      <c r="Y23" t="s">
        <v>74</v>
      </c>
      <c r="Z23" t="s">
        <v>74</v>
      </c>
      <c r="AA23" t="s">
        <v>2407</v>
      </c>
      <c r="AB23" t="s">
        <v>6957</v>
      </c>
      <c r="AC23" t="s">
        <v>74</v>
      </c>
      <c r="AD23" t="s">
        <v>74</v>
      </c>
      <c r="AE23" t="s">
        <v>74</v>
      </c>
      <c r="AF23" t="s">
        <v>74</v>
      </c>
      <c r="AG23" t="s">
        <v>74</v>
      </c>
      <c r="AH23" t="s">
        <v>74</v>
      </c>
      <c r="AI23" t="s">
        <v>74</v>
      </c>
      <c r="AJ23" t="s">
        <v>74</v>
      </c>
      <c r="AK23" t="s">
        <v>74</v>
      </c>
      <c r="AL23" t="s">
        <v>74</v>
      </c>
      <c r="AM23" t="s">
        <v>74</v>
      </c>
      <c r="AN23" t="s">
        <v>74</v>
      </c>
      <c r="AO23" t="s">
        <v>107</v>
      </c>
      <c r="AP23" t="s">
        <v>108</v>
      </c>
      <c r="AQ23" t="s">
        <v>74</v>
      </c>
      <c r="AR23" t="s">
        <v>74</v>
      </c>
      <c r="AS23" t="s">
        <v>74</v>
      </c>
      <c r="AT23" t="s">
        <v>315</v>
      </c>
      <c r="AU23">
        <v>2020</v>
      </c>
      <c r="AV23">
        <v>42</v>
      </c>
      <c r="AW23">
        <v>1</v>
      </c>
      <c r="AX23" t="s">
        <v>74</v>
      </c>
      <c r="AY23" t="s">
        <v>74</v>
      </c>
      <c r="AZ23" t="s">
        <v>74</v>
      </c>
      <c r="BA23" t="s">
        <v>74</v>
      </c>
      <c r="BB23">
        <v>19</v>
      </c>
      <c r="BC23">
        <v>30</v>
      </c>
      <c r="BD23" t="s">
        <v>74</v>
      </c>
      <c r="BE23" t="s">
        <v>2408</v>
      </c>
      <c r="BF23" t="str">
        <f>HYPERLINK("http://dx.doi.org/10.1093/plankt/fbz075","http://dx.doi.org/10.1093/plankt/fbz075")</f>
        <v>http://dx.doi.org/10.1093/plankt/fbz075</v>
      </c>
      <c r="BG23" t="s">
        <v>74</v>
      </c>
      <c r="BH23" t="s">
        <v>74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 t="s">
        <v>2409</v>
      </c>
      <c r="BT23" t="str">
        <f>HYPERLINK("https%3A%2F%2Fwww.webofscience.com%2Fwos%2Fwoscc%2Ffull-record%2FWOS:000518532300003","View Full Record in Web of Science")</f>
        <v>View Full Record in Web of Science</v>
      </c>
    </row>
    <row r="24" spans="1:72" x14ac:dyDescent="0.2">
      <c r="A24" t="s">
        <v>72</v>
      </c>
      <c r="B24" t="s">
        <v>2425</v>
      </c>
      <c r="C24" t="s">
        <v>74</v>
      </c>
      <c r="D24" t="s">
        <v>74</v>
      </c>
      <c r="E24" t="s">
        <v>74</v>
      </c>
      <c r="F24" t="s">
        <v>2426</v>
      </c>
      <c r="G24" t="s">
        <v>74</v>
      </c>
      <c r="H24" t="s">
        <v>74</v>
      </c>
      <c r="I24" t="s">
        <v>2427</v>
      </c>
      <c r="J24" t="s">
        <v>2428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74</v>
      </c>
      <c r="W24" t="s">
        <v>74</v>
      </c>
      <c r="X24" t="s">
        <v>74</v>
      </c>
      <c r="Y24" t="s">
        <v>74</v>
      </c>
      <c r="Z24" t="s">
        <v>74</v>
      </c>
      <c r="AA24" t="s">
        <v>74</v>
      </c>
      <c r="AB24" t="s">
        <v>74</v>
      </c>
      <c r="AC24" t="s">
        <v>74</v>
      </c>
      <c r="AD24" t="s">
        <v>74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2429</v>
      </c>
      <c r="AP24" t="s">
        <v>2430</v>
      </c>
      <c r="AQ24" t="s">
        <v>74</v>
      </c>
      <c r="AR24" t="s">
        <v>74</v>
      </c>
      <c r="AS24" t="s">
        <v>74</v>
      </c>
      <c r="AT24" t="s">
        <v>82</v>
      </c>
      <c r="AU24">
        <v>2019</v>
      </c>
      <c r="AV24">
        <v>187</v>
      </c>
      <c r="AW24">
        <v>4</v>
      </c>
      <c r="AX24" t="s">
        <v>74</v>
      </c>
      <c r="AY24" t="s">
        <v>74</v>
      </c>
      <c r="AZ24" t="s">
        <v>74</v>
      </c>
      <c r="BA24" t="s">
        <v>74</v>
      </c>
      <c r="BB24">
        <v>1119</v>
      </c>
      <c r="BC24">
        <v>1130</v>
      </c>
      <c r="BD24" t="s">
        <v>74</v>
      </c>
      <c r="BE24" t="s">
        <v>2431</v>
      </c>
      <c r="BF24" t="str">
        <f>HYPERLINK("http://dx.doi.org/10.1093/zoolinnean/zlz053","http://dx.doi.org/10.1093/zoolinnean/zlz053")</f>
        <v>http://dx.doi.org/10.1093/zoolinnean/zlz053</v>
      </c>
      <c r="BG24" t="s">
        <v>74</v>
      </c>
      <c r="BH24" t="s">
        <v>74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 t="s">
        <v>74</v>
      </c>
      <c r="BR24" t="s">
        <v>74</v>
      </c>
      <c r="BS24" t="s">
        <v>2432</v>
      </c>
      <c r="BT24" t="str">
        <f>HYPERLINK("https%3A%2F%2Fwww.webofscience.com%2Fwos%2Fwoscc%2Ffull-record%2FWOS:000501739500006","View Full Record in Web of Science")</f>
        <v>View Full Record in Web of Science</v>
      </c>
    </row>
    <row r="25" spans="1:72" x14ac:dyDescent="0.2">
      <c r="A25" t="s">
        <v>72</v>
      </c>
      <c r="B25" t="s">
        <v>2444</v>
      </c>
      <c r="C25" t="s">
        <v>74</v>
      </c>
      <c r="D25" t="s">
        <v>74</v>
      </c>
      <c r="E25" t="s">
        <v>74</v>
      </c>
      <c r="F25" t="s">
        <v>2445</v>
      </c>
      <c r="G25" t="s">
        <v>74</v>
      </c>
      <c r="H25" t="s">
        <v>74</v>
      </c>
      <c r="I25" t="s">
        <v>2446</v>
      </c>
      <c r="J25" t="s">
        <v>331</v>
      </c>
      <c r="K25" t="s">
        <v>74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74</v>
      </c>
      <c r="AA25" t="s">
        <v>2447</v>
      </c>
      <c r="AB25" t="s">
        <v>2448</v>
      </c>
      <c r="AC25" t="s">
        <v>74</v>
      </c>
      <c r="AD25" t="s">
        <v>74</v>
      </c>
      <c r="AE25" t="s">
        <v>74</v>
      </c>
      <c r="AF25" t="s">
        <v>74</v>
      </c>
      <c r="AG25" t="s">
        <v>74</v>
      </c>
      <c r="AH25" t="s">
        <v>74</v>
      </c>
      <c r="AI25" t="s">
        <v>74</v>
      </c>
      <c r="AJ25" t="s">
        <v>74</v>
      </c>
      <c r="AK25" t="s">
        <v>74</v>
      </c>
      <c r="AL25" t="s">
        <v>74</v>
      </c>
      <c r="AM25" t="s">
        <v>74</v>
      </c>
      <c r="AN25" t="s">
        <v>74</v>
      </c>
      <c r="AO25" t="s">
        <v>74</v>
      </c>
      <c r="AP25" t="s">
        <v>334</v>
      </c>
      <c r="AQ25" t="s">
        <v>74</v>
      </c>
      <c r="AR25" t="s">
        <v>74</v>
      </c>
      <c r="AS25" t="s">
        <v>74</v>
      </c>
      <c r="AT25" t="s">
        <v>335</v>
      </c>
      <c r="AU25">
        <v>2019</v>
      </c>
      <c r="AV25">
        <v>11</v>
      </c>
      <c r="AW25">
        <v>11</v>
      </c>
      <c r="AX25" t="s">
        <v>74</v>
      </c>
      <c r="AY25" t="s">
        <v>74</v>
      </c>
      <c r="AZ25" t="s">
        <v>74</v>
      </c>
      <c r="BA25" t="s">
        <v>74</v>
      </c>
      <c r="BB25" t="s">
        <v>74</v>
      </c>
      <c r="BC25" t="s">
        <v>74</v>
      </c>
      <c r="BD25">
        <v>2423</v>
      </c>
      <c r="BE25" t="s">
        <v>2449</v>
      </c>
      <c r="BF25" t="str">
        <f>HYPERLINK("http://dx.doi.org/10.3390/w11112423","http://dx.doi.org/10.3390/w11112423")</f>
        <v>http://dx.doi.org/10.3390/w11112423</v>
      </c>
      <c r="BG25" t="s">
        <v>74</v>
      </c>
      <c r="BH25" t="s">
        <v>74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">
        <v>2450</v>
      </c>
      <c r="BT25" t="str">
        <f>HYPERLINK("https%3A%2F%2Fwww.webofscience.com%2Fwos%2Fwoscc%2Ffull-record%2FWOS:000502264500225","View Full Record in Web of Science")</f>
        <v>View Full Record in Web of Science</v>
      </c>
    </row>
    <row r="26" spans="1:72" x14ac:dyDescent="0.2">
      <c r="A26" t="s">
        <v>72</v>
      </c>
      <c r="B26" t="s">
        <v>2486</v>
      </c>
      <c r="C26" t="s">
        <v>74</v>
      </c>
      <c r="D26" t="s">
        <v>74</v>
      </c>
      <c r="E26" t="s">
        <v>74</v>
      </c>
      <c r="F26" t="s">
        <v>2487</v>
      </c>
      <c r="G26" t="s">
        <v>74</v>
      </c>
      <c r="H26" t="s">
        <v>74</v>
      </c>
      <c r="I26" t="s">
        <v>2488</v>
      </c>
      <c r="J26" t="s">
        <v>443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  <c r="Z26" t="s">
        <v>74</v>
      </c>
      <c r="AA26" t="s">
        <v>6958</v>
      </c>
      <c r="AB26" t="s">
        <v>6959</v>
      </c>
      <c r="AC26" t="s">
        <v>74</v>
      </c>
      <c r="AD26" t="s">
        <v>74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444</v>
      </c>
      <c r="AP26" t="s">
        <v>74</v>
      </c>
      <c r="AQ26" t="s">
        <v>74</v>
      </c>
      <c r="AR26" t="s">
        <v>74</v>
      </c>
      <c r="AS26" t="s">
        <v>74</v>
      </c>
      <c r="AT26" t="s">
        <v>2489</v>
      </c>
      <c r="AU26">
        <v>2019</v>
      </c>
      <c r="AV26">
        <v>10</v>
      </c>
      <c r="AW26" t="s">
        <v>74</v>
      </c>
      <c r="AX26" t="s">
        <v>74</v>
      </c>
      <c r="AY26" t="s">
        <v>74</v>
      </c>
      <c r="AZ26" t="s">
        <v>74</v>
      </c>
      <c r="BA26" t="s">
        <v>74</v>
      </c>
      <c r="BB26" t="s">
        <v>74</v>
      </c>
      <c r="BC26" t="s">
        <v>74</v>
      </c>
      <c r="BD26">
        <v>4396</v>
      </c>
      <c r="BE26" t="s">
        <v>2490</v>
      </c>
      <c r="BF26" t="str">
        <f>HYPERLINK("http://dx.doi.org/10.1038/s41467-019-12289-0","http://dx.doi.org/10.1038/s41467-019-12289-0")</f>
        <v>http://dx.doi.org/10.1038/s41467-019-12289-0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>
        <v>31562299</v>
      </c>
      <c r="BO26" t="s">
        <v>74</v>
      </c>
      <c r="BP26" t="s">
        <v>74</v>
      </c>
      <c r="BQ26" t="s">
        <v>74</v>
      </c>
      <c r="BR26" t="s">
        <v>74</v>
      </c>
      <c r="BS26" t="s">
        <v>2491</v>
      </c>
      <c r="BT26" t="str">
        <f>HYPERLINK("https%3A%2F%2Fwww.webofscience.com%2Fwos%2Fwoscc%2Ffull-record%2FWOS:000488232600004","View Full Record in Web of Science")</f>
        <v>View Full Record in Web of Science</v>
      </c>
    </row>
    <row r="27" spans="1:72" x14ac:dyDescent="0.2">
      <c r="A27" t="s">
        <v>72</v>
      </c>
      <c r="B27" t="s">
        <v>2902</v>
      </c>
      <c r="C27" t="s">
        <v>74</v>
      </c>
      <c r="D27" t="s">
        <v>74</v>
      </c>
      <c r="E27" t="s">
        <v>74</v>
      </c>
      <c r="F27" t="s">
        <v>2903</v>
      </c>
      <c r="G27" t="s">
        <v>74</v>
      </c>
      <c r="H27" t="s">
        <v>74</v>
      </c>
      <c r="I27" t="s">
        <v>2904</v>
      </c>
      <c r="J27" t="s">
        <v>2096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74</v>
      </c>
      <c r="Y27" t="s">
        <v>74</v>
      </c>
      <c r="Z27" t="s">
        <v>74</v>
      </c>
      <c r="AA27" t="s">
        <v>2905</v>
      </c>
      <c r="AB27" t="s">
        <v>2906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2097</v>
      </c>
      <c r="AP27" t="s">
        <v>2098</v>
      </c>
      <c r="AQ27" t="s">
        <v>74</v>
      </c>
      <c r="AR27" t="s">
        <v>74</v>
      </c>
      <c r="AS27" t="s">
        <v>74</v>
      </c>
      <c r="AT27" t="s">
        <v>520</v>
      </c>
      <c r="AU27">
        <v>2018</v>
      </c>
      <c r="AV27">
        <v>151</v>
      </c>
      <c r="AW27" t="s">
        <v>74</v>
      </c>
      <c r="AX27" t="s">
        <v>74</v>
      </c>
      <c r="AY27" t="s">
        <v>74</v>
      </c>
      <c r="AZ27" t="s">
        <v>74</v>
      </c>
      <c r="BA27" t="s">
        <v>74</v>
      </c>
      <c r="BB27">
        <v>20</v>
      </c>
      <c r="BC27">
        <v>27</v>
      </c>
      <c r="BD27" t="s">
        <v>74</v>
      </c>
      <c r="BE27" t="s">
        <v>2907</v>
      </c>
      <c r="BF27" t="str">
        <f>HYPERLINK("http://dx.doi.org/10.1016/j.mimet.2018.05.021","http://dx.doi.org/10.1016/j.mimet.2018.05.021")</f>
        <v>http://dx.doi.org/10.1016/j.mimet.2018.05.021</v>
      </c>
      <c r="BG27" t="s">
        <v>74</v>
      </c>
      <c r="BH27" t="s">
        <v>74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>
        <v>29847777</v>
      </c>
      <c r="BO27" t="s">
        <v>74</v>
      </c>
      <c r="BP27" t="s">
        <v>74</v>
      </c>
      <c r="BQ27" t="s">
        <v>74</v>
      </c>
      <c r="BR27" t="s">
        <v>74</v>
      </c>
      <c r="BS27" t="s">
        <v>2908</v>
      </c>
      <c r="BT27" t="str">
        <f>HYPERLINK("https%3A%2F%2Fwww.webofscience.com%2Fwos%2Fwoscc%2Ffull-record%2FWOS:000440119500004","View Full Record in Web of Science")</f>
        <v>View Full Record in Web of Science</v>
      </c>
    </row>
    <row r="28" spans="1:72" x14ac:dyDescent="0.2">
      <c r="A28" t="s">
        <v>72</v>
      </c>
      <c r="B28" t="s">
        <v>3002</v>
      </c>
      <c r="C28" t="s">
        <v>74</v>
      </c>
      <c r="D28" t="s">
        <v>74</v>
      </c>
      <c r="E28" t="s">
        <v>74</v>
      </c>
      <c r="F28" t="s">
        <v>3003</v>
      </c>
      <c r="G28" t="s">
        <v>74</v>
      </c>
      <c r="H28" t="s">
        <v>74</v>
      </c>
      <c r="I28" t="s">
        <v>3004</v>
      </c>
      <c r="J28" t="s">
        <v>3005</v>
      </c>
      <c r="K28" t="s">
        <v>74</v>
      </c>
      <c r="L28" t="s">
        <v>74</v>
      </c>
      <c r="M28" t="s">
        <v>74</v>
      </c>
      <c r="N28" t="s">
        <v>74</v>
      </c>
      <c r="O28" t="s">
        <v>74</v>
      </c>
      <c r="P28" t="s">
        <v>74</v>
      </c>
      <c r="Q28" t="s">
        <v>74</v>
      </c>
      <c r="R28" t="s">
        <v>74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74</v>
      </c>
      <c r="Y28" t="s">
        <v>74</v>
      </c>
      <c r="Z28" t="s">
        <v>74</v>
      </c>
      <c r="AA28" t="s">
        <v>74</v>
      </c>
      <c r="AB28" t="s">
        <v>3006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3007</v>
      </c>
      <c r="AP28" t="s">
        <v>3008</v>
      </c>
      <c r="AQ28" t="s">
        <v>74</v>
      </c>
      <c r="AR28" t="s">
        <v>74</v>
      </c>
      <c r="AS28" t="s">
        <v>74</v>
      </c>
      <c r="AT28" t="s">
        <v>575</v>
      </c>
      <c r="AU28">
        <v>2018</v>
      </c>
      <c r="AV28">
        <v>14</v>
      </c>
      <c r="AW28">
        <v>5</v>
      </c>
      <c r="AX28" t="s">
        <v>74</v>
      </c>
      <c r="AY28" t="s">
        <v>74</v>
      </c>
      <c r="AZ28" t="s">
        <v>74</v>
      </c>
      <c r="BA28" t="s">
        <v>74</v>
      </c>
      <c r="BB28" t="s">
        <v>74</v>
      </c>
      <c r="BC28" t="s">
        <v>74</v>
      </c>
      <c r="BD28">
        <v>20170790</v>
      </c>
      <c r="BE28" t="s">
        <v>3009</v>
      </c>
      <c r="BF28" t="str">
        <f>HYPERLINK("http://dx.doi.org/10.1098/rsbl.2017.0790","http://dx.doi.org/10.1098/rsbl.2017.0790")</f>
        <v>http://dx.doi.org/10.1098/rsbl.2017.0790</v>
      </c>
      <c r="BG28" t="s">
        <v>74</v>
      </c>
      <c r="BH28" t="s">
        <v>74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>
        <v>29743263</v>
      </c>
      <c r="BO28" t="s">
        <v>74</v>
      </c>
      <c r="BP28" t="s">
        <v>74</v>
      </c>
      <c r="BQ28" t="s">
        <v>74</v>
      </c>
      <c r="BR28" t="s">
        <v>74</v>
      </c>
      <c r="BS28" t="s">
        <v>3010</v>
      </c>
      <c r="BT28" t="str">
        <f>HYPERLINK("https%3A%2F%2Fwww.webofscience.com%2Fwos%2Fwoscc%2Ffull-record%2FWOS:000433530000003","View Full Record in Web of Science")</f>
        <v>View Full Record in Web of Science</v>
      </c>
    </row>
    <row r="29" spans="1:72" x14ac:dyDescent="0.2">
      <c r="A29" t="s">
        <v>72</v>
      </c>
      <c r="B29" t="s">
        <v>3028</v>
      </c>
      <c r="C29" t="s">
        <v>74</v>
      </c>
      <c r="D29" t="s">
        <v>74</v>
      </c>
      <c r="E29" t="s">
        <v>74</v>
      </c>
      <c r="F29" t="s">
        <v>3029</v>
      </c>
      <c r="G29" t="s">
        <v>74</v>
      </c>
      <c r="H29" t="s">
        <v>74</v>
      </c>
      <c r="I29" t="s">
        <v>3030</v>
      </c>
      <c r="J29" t="s">
        <v>1299</v>
      </c>
      <c r="K29" t="s">
        <v>74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74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74</v>
      </c>
      <c r="Y29" t="s">
        <v>74</v>
      </c>
      <c r="Z29" t="s">
        <v>74</v>
      </c>
      <c r="AA29" t="s">
        <v>7001</v>
      </c>
      <c r="AB29" t="s">
        <v>3031</v>
      </c>
      <c r="AC29" t="s">
        <v>74</v>
      </c>
      <c r="AD29" t="s">
        <v>74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1302</v>
      </c>
      <c r="AP29" t="s">
        <v>1303</v>
      </c>
      <c r="AQ29" t="s">
        <v>74</v>
      </c>
      <c r="AR29" t="s">
        <v>74</v>
      </c>
      <c r="AS29" t="s">
        <v>74</v>
      </c>
      <c r="AT29" t="s">
        <v>203</v>
      </c>
      <c r="AU29">
        <v>2018</v>
      </c>
      <c r="AV29">
        <v>186</v>
      </c>
      <c r="AW29">
        <v>4</v>
      </c>
      <c r="AX29" t="s">
        <v>74</v>
      </c>
      <c r="AY29" t="s">
        <v>74</v>
      </c>
      <c r="AZ29" t="s">
        <v>74</v>
      </c>
      <c r="BA29" t="s">
        <v>74</v>
      </c>
      <c r="BB29">
        <v>1017</v>
      </c>
      <c r="BC29">
        <v>1030</v>
      </c>
      <c r="BD29" t="s">
        <v>74</v>
      </c>
      <c r="BE29" t="s">
        <v>3032</v>
      </c>
      <c r="BF29" t="str">
        <f>HYPERLINK("http://dx.doi.org/10.1007/s00442-018-4074-x","http://dx.doi.org/10.1007/s00442-018-4074-x")</f>
        <v>http://dx.doi.org/10.1007/s00442-018-4074-x</v>
      </c>
      <c r="BG29" t="s">
        <v>74</v>
      </c>
      <c r="BH29" t="s">
        <v>74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>
        <v>29368058</v>
      </c>
      <c r="BO29" t="s">
        <v>74</v>
      </c>
      <c r="BP29" t="s">
        <v>74</v>
      </c>
      <c r="BQ29" t="s">
        <v>74</v>
      </c>
      <c r="BR29" t="s">
        <v>74</v>
      </c>
      <c r="BS29" t="s">
        <v>3033</v>
      </c>
      <c r="BT29" t="str">
        <f>HYPERLINK("https%3A%2F%2Fwww.webofscience.com%2Fwos%2Fwoscc%2Ffull-record%2FWOS:000427875700012","View Full Record in Web of Science")</f>
        <v>View Full Record in Web of Science</v>
      </c>
    </row>
    <row r="30" spans="1:72" x14ac:dyDescent="0.2">
      <c r="A30" t="s">
        <v>72</v>
      </c>
      <c r="B30" t="s">
        <v>3105</v>
      </c>
      <c r="C30" t="s">
        <v>74</v>
      </c>
      <c r="D30" t="s">
        <v>74</v>
      </c>
      <c r="E30" t="s">
        <v>74</v>
      </c>
      <c r="F30" t="s">
        <v>3106</v>
      </c>
      <c r="G30" t="s">
        <v>74</v>
      </c>
      <c r="H30" t="s">
        <v>74</v>
      </c>
      <c r="I30" t="s">
        <v>3107</v>
      </c>
      <c r="J30" t="s">
        <v>2702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74</v>
      </c>
      <c r="T30" t="s">
        <v>74</v>
      </c>
      <c r="U30" t="s">
        <v>74</v>
      </c>
      <c r="V30" t="s">
        <v>74</v>
      </c>
      <c r="W30" t="s">
        <v>74</v>
      </c>
      <c r="X30" t="s">
        <v>74</v>
      </c>
      <c r="Y30" t="s">
        <v>74</v>
      </c>
      <c r="Z30" t="s">
        <v>74</v>
      </c>
      <c r="AA30" t="s">
        <v>1853</v>
      </c>
      <c r="AB30" t="s">
        <v>3108</v>
      </c>
      <c r="AC30" t="s">
        <v>74</v>
      </c>
      <c r="AD30" t="s">
        <v>74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2704</v>
      </c>
      <c r="AP30" t="s">
        <v>2705</v>
      </c>
      <c r="AQ30" t="s">
        <v>74</v>
      </c>
      <c r="AR30" t="s">
        <v>74</v>
      </c>
      <c r="AS30" t="s">
        <v>74</v>
      </c>
      <c r="AT30" t="s">
        <v>157</v>
      </c>
      <c r="AU30">
        <v>2018</v>
      </c>
      <c r="AV30">
        <v>54</v>
      </c>
      <c r="AW30">
        <v>3</v>
      </c>
      <c r="AX30" t="s">
        <v>74</v>
      </c>
      <c r="AY30" t="s">
        <v>74</v>
      </c>
      <c r="AZ30" t="s">
        <v>74</v>
      </c>
      <c r="BA30" t="s">
        <v>74</v>
      </c>
      <c r="BB30">
        <v>2362</v>
      </c>
      <c r="BC30">
        <v>2375</v>
      </c>
      <c r="BD30" t="s">
        <v>74</v>
      </c>
      <c r="BE30" t="s">
        <v>3109</v>
      </c>
      <c r="BF30" t="str">
        <f>HYPERLINK("http://dx.doi.org/10.1002/2017WR021956","http://dx.doi.org/10.1002/2017WR021956")</f>
        <v>http://dx.doi.org/10.1002/2017WR021956</v>
      </c>
      <c r="BG30" t="s">
        <v>74</v>
      </c>
      <c r="BH30" t="s">
        <v>74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 t="s">
        <v>3110</v>
      </c>
      <c r="BT30" t="str">
        <f>HYPERLINK("https%3A%2F%2Fwww.webofscience.com%2Fwos%2Fwoscc%2Ffull-record%2FWOS:000430364900051","View Full Record in Web of Science")</f>
        <v>View Full Record in Web of Science</v>
      </c>
    </row>
    <row r="31" spans="1:72" x14ac:dyDescent="0.2">
      <c r="A31" t="s">
        <v>72</v>
      </c>
      <c r="B31" t="s">
        <v>3182</v>
      </c>
      <c r="C31" t="s">
        <v>74</v>
      </c>
      <c r="D31" t="s">
        <v>74</v>
      </c>
      <c r="E31" t="s">
        <v>74</v>
      </c>
      <c r="F31" t="s">
        <v>3183</v>
      </c>
      <c r="G31" t="s">
        <v>74</v>
      </c>
      <c r="H31" t="s">
        <v>74</v>
      </c>
      <c r="I31" t="s">
        <v>3184</v>
      </c>
      <c r="J31" t="s">
        <v>756</v>
      </c>
      <c r="K31" t="s">
        <v>74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74</v>
      </c>
      <c r="U31" t="s">
        <v>74</v>
      </c>
      <c r="V31" t="s">
        <v>74</v>
      </c>
      <c r="W31" t="s">
        <v>74</v>
      </c>
      <c r="X31" t="s">
        <v>74</v>
      </c>
      <c r="Y31" t="s">
        <v>74</v>
      </c>
      <c r="Z31" t="s">
        <v>74</v>
      </c>
      <c r="AA31" t="s">
        <v>74</v>
      </c>
      <c r="AB31" t="s">
        <v>3185</v>
      </c>
      <c r="AC31" t="s">
        <v>74</v>
      </c>
      <c r="AD31" t="s">
        <v>74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759</v>
      </c>
      <c r="AP31" t="s">
        <v>74</v>
      </c>
      <c r="AQ31" t="s">
        <v>74</v>
      </c>
      <c r="AR31" t="s">
        <v>74</v>
      </c>
      <c r="AS31" t="s">
        <v>74</v>
      </c>
      <c r="AT31" t="s">
        <v>82</v>
      </c>
      <c r="AU31">
        <v>2017</v>
      </c>
      <c r="AV31">
        <v>191</v>
      </c>
      <c r="AW31">
        <v>1</v>
      </c>
      <c r="AX31" t="s">
        <v>74</v>
      </c>
      <c r="AY31" t="s">
        <v>74</v>
      </c>
      <c r="AZ31" t="s">
        <v>74</v>
      </c>
      <c r="BA31" t="s">
        <v>74</v>
      </c>
      <c r="BB31">
        <v>25</v>
      </c>
      <c r="BC31">
        <v>36</v>
      </c>
      <c r="BD31" t="s">
        <v>74</v>
      </c>
      <c r="BE31" t="s">
        <v>3186</v>
      </c>
      <c r="BF31" t="str">
        <f>HYPERLINK("http://dx.doi.org/10.1127/fal/2017/1051","http://dx.doi.org/10.1127/fal/2017/1051")</f>
        <v>http://dx.doi.org/10.1127/fal/2017/1051</v>
      </c>
      <c r="BG31" t="s">
        <v>74</v>
      </c>
      <c r="BH31" t="s">
        <v>74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 t="s">
        <v>3187</v>
      </c>
      <c r="BT31" t="str">
        <f>HYPERLINK("https%3A%2F%2Fwww.webofscience.com%2Fwos%2Fwoscc%2Ffull-record%2FWOS:000419313600003","View Full Record in Web of Science")</f>
        <v>View Full Record in Web of Science</v>
      </c>
    </row>
    <row r="32" spans="1:72" x14ac:dyDescent="0.2">
      <c r="A32" t="s">
        <v>72</v>
      </c>
      <c r="B32" t="s">
        <v>3188</v>
      </c>
      <c r="C32" t="s">
        <v>74</v>
      </c>
      <c r="D32" t="s">
        <v>74</v>
      </c>
      <c r="E32" t="s">
        <v>74</v>
      </c>
      <c r="F32" t="s">
        <v>3189</v>
      </c>
      <c r="G32" t="s">
        <v>74</v>
      </c>
      <c r="H32" t="s">
        <v>74</v>
      </c>
      <c r="I32" t="s">
        <v>3190</v>
      </c>
      <c r="J32" t="s">
        <v>3191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74</v>
      </c>
      <c r="V32" t="s">
        <v>74</v>
      </c>
      <c r="W32" t="s">
        <v>74</v>
      </c>
      <c r="X32" t="s">
        <v>74</v>
      </c>
      <c r="Y32" t="s">
        <v>74</v>
      </c>
      <c r="Z32" t="s">
        <v>74</v>
      </c>
      <c r="AA32" t="s">
        <v>3192</v>
      </c>
      <c r="AB32" t="s">
        <v>3193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3194</v>
      </c>
      <c r="AP32" t="s">
        <v>3195</v>
      </c>
      <c r="AQ32" t="s">
        <v>74</v>
      </c>
      <c r="AR32" t="s">
        <v>74</v>
      </c>
      <c r="AS32" t="s">
        <v>74</v>
      </c>
      <c r="AT32" t="s">
        <v>335</v>
      </c>
      <c r="AU32">
        <v>2017</v>
      </c>
      <c r="AV32">
        <v>92</v>
      </c>
      <c r="AW32">
        <v>4</v>
      </c>
      <c r="AX32" t="s">
        <v>74</v>
      </c>
      <c r="AY32" t="s">
        <v>74</v>
      </c>
      <c r="AZ32" t="s">
        <v>74</v>
      </c>
      <c r="BA32" t="s">
        <v>74</v>
      </c>
      <c r="BB32">
        <v>2003</v>
      </c>
      <c r="BC32">
        <v>2023</v>
      </c>
      <c r="BD32" t="s">
        <v>74</v>
      </c>
      <c r="BE32" t="s">
        <v>3196</v>
      </c>
      <c r="BF32" t="str">
        <f>HYPERLINK("http://dx.doi.org/10.1111/brv.12318","http://dx.doi.org/10.1111/brv.12318")</f>
        <v>http://dx.doi.org/10.1111/brv.12318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>
        <v>28008706</v>
      </c>
      <c r="BO32" t="s">
        <v>74</v>
      </c>
      <c r="BP32" t="s">
        <v>74</v>
      </c>
      <c r="BQ32" t="s">
        <v>74</v>
      </c>
      <c r="BR32" t="s">
        <v>74</v>
      </c>
      <c r="BS32" t="s">
        <v>3197</v>
      </c>
      <c r="BT32" t="str">
        <f>HYPERLINK("https%3A%2F%2Fwww.webofscience.com%2Fwos%2Fwoscc%2Ffull-record%2FWOS:000412314400008","View Full Record in Web of Science")</f>
        <v>View Full Record in Web of Science</v>
      </c>
    </row>
    <row r="33" spans="1:72" x14ac:dyDescent="0.2">
      <c r="A33" t="s">
        <v>72</v>
      </c>
      <c r="B33" t="s">
        <v>3278</v>
      </c>
      <c r="C33" t="s">
        <v>74</v>
      </c>
      <c r="D33" t="s">
        <v>74</v>
      </c>
      <c r="E33" t="s">
        <v>74</v>
      </c>
      <c r="F33" t="s">
        <v>3279</v>
      </c>
      <c r="G33" t="s">
        <v>74</v>
      </c>
      <c r="H33" t="s">
        <v>74</v>
      </c>
      <c r="I33" t="s">
        <v>3280</v>
      </c>
      <c r="J33" t="s">
        <v>124</v>
      </c>
      <c r="K33" t="s">
        <v>74</v>
      </c>
      <c r="L33" t="s">
        <v>74</v>
      </c>
      <c r="M33" t="s">
        <v>74</v>
      </c>
      <c r="N33" t="s">
        <v>74</v>
      </c>
      <c r="O33" t="s">
        <v>74</v>
      </c>
      <c r="P33" t="s">
        <v>74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74</v>
      </c>
      <c r="Y33" t="s">
        <v>74</v>
      </c>
      <c r="Z33" t="s">
        <v>74</v>
      </c>
      <c r="AA33" t="s">
        <v>74</v>
      </c>
      <c r="AB33" t="s">
        <v>74</v>
      </c>
      <c r="AC33" t="s">
        <v>74</v>
      </c>
      <c r="AD33" t="s">
        <v>74</v>
      </c>
      <c r="AE33" t="s">
        <v>74</v>
      </c>
      <c r="AF33" t="s">
        <v>74</v>
      </c>
      <c r="AG33" t="s">
        <v>74</v>
      </c>
      <c r="AH33" t="s">
        <v>74</v>
      </c>
      <c r="AI33" t="s">
        <v>74</v>
      </c>
      <c r="AJ33" t="s">
        <v>74</v>
      </c>
      <c r="AK33" t="s">
        <v>74</v>
      </c>
      <c r="AL33" t="s">
        <v>74</v>
      </c>
      <c r="AM33" t="s">
        <v>74</v>
      </c>
      <c r="AN33" t="s">
        <v>74</v>
      </c>
      <c r="AO33" t="s">
        <v>127</v>
      </c>
      <c r="AP33" t="s">
        <v>128</v>
      </c>
      <c r="AQ33" t="s">
        <v>74</v>
      </c>
      <c r="AR33" t="s">
        <v>74</v>
      </c>
      <c r="AS33" t="s">
        <v>74</v>
      </c>
      <c r="AT33" t="s">
        <v>451</v>
      </c>
      <c r="AU33">
        <v>2017</v>
      </c>
      <c r="AV33">
        <v>799</v>
      </c>
      <c r="AW33">
        <v>1</v>
      </c>
      <c r="AX33" t="s">
        <v>74</v>
      </c>
      <c r="AY33" t="s">
        <v>74</v>
      </c>
      <c r="AZ33" t="s">
        <v>74</v>
      </c>
      <c r="BA33" t="s">
        <v>74</v>
      </c>
      <c r="BB33">
        <v>83</v>
      </c>
      <c r="BC33">
        <v>99</v>
      </c>
      <c r="BD33" t="s">
        <v>74</v>
      </c>
      <c r="BE33" t="s">
        <v>3281</v>
      </c>
      <c r="BF33" t="str">
        <f>HYPERLINK("http://dx.doi.org/10.1007/s10750-017-3199-y","http://dx.doi.org/10.1007/s10750-017-3199-y")</f>
        <v>http://dx.doi.org/10.1007/s10750-017-3199-y</v>
      </c>
      <c r="BG33" t="s">
        <v>74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">
        <v>3282</v>
      </c>
      <c r="BT33" t="str">
        <f>HYPERLINK("https%3A%2F%2Fwww.webofscience.com%2Fwos%2Fwoscc%2Ffull-record%2FWOS:000405720000006","View Full Record in Web of Science")</f>
        <v>View Full Record in Web of Science</v>
      </c>
    </row>
    <row r="34" spans="1:72" x14ac:dyDescent="0.2">
      <c r="A34" t="s">
        <v>72</v>
      </c>
      <c r="B34" t="s">
        <v>3340</v>
      </c>
      <c r="C34" t="s">
        <v>74</v>
      </c>
      <c r="D34" t="s">
        <v>74</v>
      </c>
      <c r="E34" t="s">
        <v>74</v>
      </c>
      <c r="F34" t="s">
        <v>3341</v>
      </c>
      <c r="G34" t="s">
        <v>74</v>
      </c>
      <c r="H34" t="s">
        <v>74</v>
      </c>
      <c r="I34" t="s">
        <v>3342</v>
      </c>
      <c r="J34" t="s">
        <v>124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7019</v>
      </c>
      <c r="AB34" t="s">
        <v>7020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127</v>
      </c>
      <c r="AP34" t="s">
        <v>128</v>
      </c>
      <c r="AQ34" t="s">
        <v>74</v>
      </c>
      <c r="AR34" t="s">
        <v>74</v>
      </c>
      <c r="AS34" t="s">
        <v>74</v>
      </c>
      <c r="AT34" t="s">
        <v>624</v>
      </c>
      <c r="AU34">
        <v>2017</v>
      </c>
      <c r="AV34">
        <v>796</v>
      </c>
      <c r="AW34">
        <v>1</v>
      </c>
      <c r="AX34" t="s">
        <v>74</v>
      </c>
      <c r="AY34" t="s">
        <v>74</v>
      </c>
      <c r="AZ34" t="s">
        <v>74</v>
      </c>
      <c r="BA34" t="s">
        <v>74</v>
      </c>
      <c r="BB34">
        <v>287</v>
      </c>
      <c r="BC34">
        <v>307</v>
      </c>
      <c r="BD34" t="s">
        <v>74</v>
      </c>
      <c r="BE34" t="s">
        <v>3343</v>
      </c>
      <c r="BF34" t="str">
        <f>HYPERLINK("http://dx.doi.org/10.1007/s10750-016-2923-3","http://dx.doi.org/10.1007/s10750-016-2923-3")</f>
        <v>http://dx.doi.org/10.1007/s10750-016-2923-3</v>
      </c>
      <c r="BG34" t="s">
        <v>74</v>
      </c>
      <c r="BH34" t="s">
        <v>74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 t="s">
        <v>3344</v>
      </c>
      <c r="BT34" t="str">
        <f>HYPERLINK("https%3A%2F%2Fwww.webofscience.com%2Fwos%2Fwoscc%2Ffull-record%2FWOS:000403357600024","View Full Record in Web of Science")</f>
        <v>View Full Record in Web of Science</v>
      </c>
    </row>
    <row r="35" spans="1:72" x14ac:dyDescent="0.2">
      <c r="A35" t="s">
        <v>72</v>
      </c>
      <c r="B35" t="s">
        <v>3376</v>
      </c>
      <c r="C35" t="s">
        <v>74</v>
      </c>
      <c r="D35" t="s">
        <v>74</v>
      </c>
      <c r="E35" t="s">
        <v>74</v>
      </c>
      <c r="F35" t="s">
        <v>3377</v>
      </c>
      <c r="G35" t="s">
        <v>74</v>
      </c>
      <c r="H35" t="s">
        <v>74</v>
      </c>
      <c r="I35" t="s">
        <v>3378</v>
      </c>
      <c r="J35" t="s">
        <v>1824</v>
      </c>
      <c r="K35" t="s">
        <v>74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74</v>
      </c>
      <c r="T35" t="s">
        <v>74</v>
      </c>
      <c r="U35" t="s">
        <v>74</v>
      </c>
      <c r="V35" t="s">
        <v>74</v>
      </c>
      <c r="W35" t="s">
        <v>74</v>
      </c>
      <c r="X35" t="s">
        <v>74</v>
      </c>
      <c r="Y35" t="s">
        <v>74</v>
      </c>
      <c r="Z35" t="s">
        <v>74</v>
      </c>
      <c r="AA35" t="s">
        <v>7024</v>
      </c>
      <c r="AB35" t="s">
        <v>7025</v>
      </c>
      <c r="AC35" t="s">
        <v>74</v>
      </c>
      <c r="AD35" t="s">
        <v>74</v>
      </c>
      <c r="AE35" t="s">
        <v>74</v>
      </c>
      <c r="AF35" t="s">
        <v>74</v>
      </c>
      <c r="AG35" t="s">
        <v>74</v>
      </c>
      <c r="AH35" t="s">
        <v>74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1825</v>
      </c>
      <c r="AP35" t="s">
        <v>1826</v>
      </c>
      <c r="AQ35" t="s">
        <v>74</v>
      </c>
      <c r="AR35" t="s">
        <v>74</v>
      </c>
      <c r="AS35" t="s">
        <v>74</v>
      </c>
      <c r="AT35" t="s">
        <v>569</v>
      </c>
      <c r="AU35">
        <v>2017</v>
      </c>
      <c r="AV35">
        <v>40</v>
      </c>
      <c r="AW35">
        <v>6</v>
      </c>
      <c r="AX35" t="s">
        <v>74</v>
      </c>
      <c r="AY35" t="s">
        <v>74</v>
      </c>
      <c r="AZ35" t="s">
        <v>74</v>
      </c>
      <c r="BA35" t="s">
        <v>74</v>
      </c>
      <c r="BB35">
        <v>742</v>
      </c>
      <c r="BC35">
        <v>752</v>
      </c>
      <c r="BD35" t="s">
        <v>74</v>
      </c>
      <c r="BE35" t="s">
        <v>3379</v>
      </c>
      <c r="BF35" t="str">
        <f>HYPERLINK("http://dx.doi.org/10.1111/ecog.02263","http://dx.doi.org/10.1111/ecog.02263")</f>
        <v>http://dx.doi.org/10.1111/ecog.02263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 t="s">
        <v>74</v>
      </c>
      <c r="BR35" t="s">
        <v>74</v>
      </c>
      <c r="BS35" t="s">
        <v>3380</v>
      </c>
      <c r="BT35" t="str">
        <f>HYPERLINK("https%3A%2F%2Fwww.webofscience.com%2Fwos%2Fwoscc%2Ffull-record%2FWOS:000403075500007","View Full Record in Web of Science")</f>
        <v>View Full Record in Web of Science</v>
      </c>
    </row>
    <row r="36" spans="1:72" x14ac:dyDescent="0.2">
      <c r="A36" t="s">
        <v>72</v>
      </c>
      <c r="B36" t="s">
        <v>3494</v>
      </c>
      <c r="C36" t="s">
        <v>74</v>
      </c>
      <c r="D36" t="s">
        <v>74</v>
      </c>
      <c r="E36" t="s">
        <v>74</v>
      </c>
      <c r="F36" t="s">
        <v>3495</v>
      </c>
      <c r="G36" t="s">
        <v>74</v>
      </c>
      <c r="H36" t="s">
        <v>74</v>
      </c>
      <c r="I36" t="s">
        <v>3496</v>
      </c>
      <c r="J36" t="s">
        <v>2990</v>
      </c>
      <c r="K36" t="s">
        <v>74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7034</v>
      </c>
      <c r="AB36" t="s">
        <v>7035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 t="s">
        <v>74</v>
      </c>
      <c r="AK36" t="s">
        <v>74</v>
      </c>
      <c r="AL36" t="s">
        <v>74</v>
      </c>
      <c r="AM36" t="s">
        <v>74</v>
      </c>
      <c r="AN36" t="s">
        <v>74</v>
      </c>
      <c r="AO36" t="s">
        <v>2993</v>
      </c>
      <c r="AP36" t="s">
        <v>2994</v>
      </c>
      <c r="AQ36" t="s">
        <v>74</v>
      </c>
      <c r="AR36" t="s">
        <v>74</v>
      </c>
      <c r="AS36" t="s">
        <v>74</v>
      </c>
      <c r="AT36" t="s">
        <v>315</v>
      </c>
      <c r="AU36">
        <v>2017</v>
      </c>
      <c r="AV36">
        <v>20</v>
      </c>
      <c r="AW36">
        <v>1</v>
      </c>
      <c r="AX36" t="s">
        <v>74</v>
      </c>
      <c r="AY36" t="s">
        <v>74</v>
      </c>
      <c r="AZ36" t="s">
        <v>74</v>
      </c>
      <c r="BA36" t="s">
        <v>74</v>
      </c>
      <c r="BB36">
        <v>98</v>
      </c>
      <c r="BC36">
        <v>111</v>
      </c>
      <c r="BD36" t="s">
        <v>74</v>
      </c>
      <c r="BE36" t="s">
        <v>3497</v>
      </c>
      <c r="BF36" t="str">
        <f>HYPERLINK("http://dx.doi.org/10.1111/ele.12699","http://dx.doi.org/10.1111/ele.12699")</f>
        <v>http://dx.doi.org/10.1111/ele.12699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>
        <v>27889953</v>
      </c>
      <c r="BO36" t="s">
        <v>74</v>
      </c>
      <c r="BP36" t="s">
        <v>74</v>
      </c>
      <c r="BQ36" t="s">
        <v>74</v>
      </c>
      <c r="BR36" t="s">
        <v>74</v>
      </c>
      <c r="BS36" t="s">
        <v>3498</v>
      </c>
      <c r="BT36" t="str">
        <f>HYPERLINK("https%3A%2F%2Fwww.webofscience.com%2Fwos%2Fwoscc%2Ffull-record%2FWOS:000390026200010","View Full Record in Web of Science")</f>
        <v>View Full Record in Web of Science</v>
      </c>
    </row>
    <row r="37" spans="1:72" x14ac:dyDescent="0.2">
      <c r="A37" t="s">
        <v>72</v>
      </c>
      <c r="B37" t="s">
        <v>3499</v>
      </c>
      <c r="C37" t="s">
        <v>74</v>
      </c>
      <c r="D37" t="s">
        <v>74</v>
      </c>
      <c r="E37" t="s">
        <v>74</v>
      </c>
      <c r="F37" t="s">
        <v>3500</v>
      </c>
      <c r="G37" t="s">
        <v>74</v>
      </c>
      <c r="H37" t="s">
        <v>74</v>
      </c>
      <c r="I37" t="s">
        <v>3501</v>
      </c>
      <c r="J37" t="s">
        <v>949</v>
      </c>
      <c r="K37" t="s">
        <v>74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74</v>
      </c>
      <c r="V37" t="s">
        <v>74</v>
      </c>
      <c r="W37" t="s">
        <v>74</v>
      </c>
      <c r="X37" t="s">
        <v>74</v>
      </c>
      <c r="Y37" t="s">
        <v>74</v>
      </c>
      <c r="Z37" t="s">
        <v>74</v>
      </c>
      <c r="AA37" t="s">
        <v>7036</v>
      </c>
      <c r="AB37" t="s">
        <v>7037</v>
      </c>
      <c r="AC37" t="s">
        <v>74</v>
      </c>
      <c r="AD37" t="s">
        <v>74</v>
      </c>
      <c r="AE37" t="s">
        <v>74</v>
      </c>
      <c r="AF37" t="s">
        <v>74</v>
      </c>
      <c r="AG37" t="s">
        <v>74</v>
      </c>
      <c r="AH37" t="s">
        <v>74</v>
      </c>
      <c r="AI37" t="s">
        <v>74</v>
      </c>
      <c r="AJ37" t="s">
        <v>74</v>
      </c>
      <c r="AK37" t="s">
        <v>74</v>
      </c>
      <c r="AL37" t="s">
        <v>74</v>
      </c>
      <c r="AM37" t="s">
        <v>74</v>
      </c>
      <c r="AN37" t="s">
        <v>74</v>
      </c>
      <c r="AO37" t="s">
        <v>74</v>
      </c>
      <c r="AP37" t="s">
        <v>951</v>
      </c>
      <c r="AQ37" t="s">
        <v>74</v>
      </c>
      <c r="AR37" t="s">
        <v>74</v>
      </c>
      <c r="AS37" t="s">
        <v>74</v>
      </c>
      <c r="AT37" t="s">
        <v>74</v>
      </c>
      <c r="AU37">
        <v>2017</v>
      </c>
      <c r="AV37">
        <v>4</v>
      </c>
      <c r="AW37" t="s">
        <v>74</v>
      </c>
      <c r="AX37" t="s">
        <v>74</v>
      </c>
      <c r="AY37" t="s">
        <v>74</v>
      </c>
      <c r="AZ37" t="s">
        <v>74</v>
      </c>
      <c r="BA37" t="s">
        <v>74</v>
      </c>
      <c r="BB37" t="s">
        <v>74</v>
      </c>
      <c r="BC37" t="s">
        <v>74</v>
      </c>
      <c r="BD37">
        <v>45</v>
      </c>
      <c r="BE37" t="s">
        <v>3502</v>
      </c>
      <c r="BF37" t="str">
        <f>HYPERLINK("http://dx.doi.org/10.3389/fmars.2017.00045","http://dx.doi.org/10.3389/fmars.2017.00045")</f>
        <v>http://dx.doi.org/10.3389/fmars.2017.00045</v>
      </c>
      <c r="BG37" t="s">
        <v>74</v>
      </c>
      <c r="BH37" t="s">
        <v>74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 t="s">
        <v>74</v>
      </c>
      <c r="BR37" t="s">
        <v>74</v>
      </c>
      <c r="BS37" t="s">
        <v>3503</v>
      </c>
      <c r="BT37" t="str">
        <f>HYPERLINK("https%3A%2F%2Fwww.webofscience.com%2Fwos%2Fwoscc%2Ffull-record%2FWOS:000457690600045","View Full Record in Web of Science")</f>
        <v>View Full Record in Web of Science</v>
      </c>
    </row>
    <row r="38" spans="1:72" x14ac:dyDescent="0.2">
      <c r="A38" t="s">
        <v>72</v>
      </c>
      <c r="B38" t="s">
        <v>3649</v>
      </c>
      <c r="C38" t="s">
        <v>74</v>
      </c>
      <c r="D38" t="s">
        <v>74</v>
      </c>
      <c r="E38" t="s">
        <v>74</v>
      </c>
      <c r="F38" t="s">
        <v>3650</v>
      </c>
      <c r="G38" t="s">
        <v>74</v>
      </c>
      <c r="H38" t="s">
        <v>74</v>
      </c>
      <c r="I38" t="s">
        <v>3651</v>
      </c>
      <c r="J38" t="s">
        <v>827</v>
      </c>
      <c r="K38" t="s">
        <v>74</v>
      </c>
      <c r="L38" t="s">
        <v>74</v>
      </c>
      <c r="M38" t="s">
        <v>74</v>
      </c>
      <c r="N38" t="s">
        <v>74</v>
      </c>
      <c r="O38" t="s">
        <v>74</v>
      </c>
      <c r="P38" t="s">
        <v>74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74</v>
      </c>
      <c r="Y38" t="s">
        <v>74</v>
      </c>
      <c r="Z38" t="s">
        <v>74</v>
      </c>
      <c r="AA38" t="s">
        <v>3652</v>
      </c>
      <c r="AB38" t="s">
        <v>3653</v>
      </c>
      <c r="AC38" t="s">
        <v>74</v>
      </c>
      <c r="AD38" t="s">
        <v>74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829</v>
      </c>
      <c r="AP38" t="s">
        <v>830</v>
      </c>
      <c r="AQ38" t="s">
        <v>74</v>
      </c>
      <c r="AR38" t="s">
        <v>74</v>
      </c>
      <c r="AS38" t="s">
        <v>74</v>
      </c>
      <c r="AT38" t="s">
        <v>520</v>
      </c>
      <c r="AU38">
        <v>2016</v>
      </c>
      <c r="AV38">
        <v>25</v>
      </c>
      <c r="AW38">
        <v>8</v>
      </c>
      <c r="AX38" t="s">
        <v>74</v>
      </c>
      <c r="AY38" t="s">
        <v>74</v>
      </c>
      <c r="AZ38" t="s">
        <v>74</v>
      </c>
      <c r="BA38" t="s">
        <v>74</v>
      </c>
      <c r="BB38">
        <v>988</v>
      </c>
      <c r="BC38">
        <v>999</v>
      </c>
      <c r="BD38" t="s">
        <v>74</v>
      </c>
      <c r="BE38" t="s">
        <v>3654</v>
      </c>
      <c r="BF38" t="str">
        <f>HYPERLINK("http://dx.doi.org/10.1111/geb.12460","http://dx.doi.org/10.1111/geb.12460")</f>
        <v>http://dx.doi.org/10.1111/geb.12460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R38" t="s">
        <v>74</v>
      </c>
      <c r="BS38" t="s">
        <v>3655</v>
      </c>
      <c r="BT38" t="str">
        <f>HYPERLINK("https%3A%2F%2Fwww.webofscience.com%2Fwos%2Fwoscc%2Ffull-record%2FWOS:000383517000006","View Full Record in Web of Science")</f>
        <v>View Full Record in Web of Science</v>
      </c>
    </row>
    <row r="39" spans="1:72" x14ac:dyDescent="0.2">
      <c r="A39" t="s">
        <v>72</v>
      </c>
      <c r="B39" t="s">
        <v>3762</v>
      </c>
      <c r="C39" t="s">
        <v>74</v>
      </c>
      <c r="D39" t="s">
        <v>74</v>
      </c>
      <c r="E39" t="s">
        <v>74</v>
      </c>
      <c r="F39" t="s">
        <v>3763</v>
      </c>
      <c r="G39" t="s">
        <v>74</v>
      </c>
      <c r="H39" t="s">
        <v>74</v>
      </c>
      <c r="I39" t="s">
        <v>3764</v>
      </c>
      <c r="J39" t="s">
        <v>180</v>
      </c>
      <c r="K39" t="s">
        <v>74</v>
      </c>
      <c r="L39" t="s">
        <v>74</v>
      </c>
      <c r="M39" t="s">
        <v>74</v>
      </c>
      <c r="N39" t="s">
        <v>74</v>
      </c>
      <c r="O39" t="s">
        <v>74</v>
      </c>
      <c r="P39" t="s">
        <v>74</v>
      </c>
      <c r="Q39" t="s">
        <v>74</v>
      </c>
      <c r="R39" t="s">
        <v>74</v>
      </c>
      <c r="S39" t="s">
        <v>74</v>
      </c>
      <c r="T39" t="s">
        <v>74</v>
      </c>
      <c r="U39" t="s">
        <v>74</v>
      </c>
      <c r="V39" t="s">
        <v>74</v>
      </c>
      <c r="W39" t="s">
        <v>74</v>
      </c>
      <c r="X39" t="s">
        <v>74</v>
      </c>
      <c r="Y39" t="s">
        <v>74</v>
      </c>
      <c r="Z39" t="s">
        <v>74</v>
      </c>
      <c r="AA39" t="s">
        <v>3765</v>
      </c>
      <c r="AB39" t="s">
        <v>3766</v>
      </c>
      <c r="AC39" t="s">
        <v>74</v>
      </c>
      <c r="AD39" t="s">
        <v>74</v>
      </c>
      <c r="AE39" t="s">
        <v>74</v>
      </c>
      <c r="AF39" t="s">
        <v>74</v>
      </c>
      <c r="AG39" t="s">
        <v>74</v>
      </c>
      <c r="AH39" t="s">
        <v>74</v>
      </c>
      <c r="AI39" t="s">
        <v>74</v>
      </c>
      <c r="AJ39" t="s">
        <v>74</v>
      </c>
      <c r="AK39" t="s">
        <v>74</v>
      </c>
      <c r="AL39" t="s">
        <v>74</v>
      </c>
      <c r="AM39" t="s">
        <v>74</v>
      </c>
      <c r="AN39" t="s">
        <v>74</v>
      </c>
      <c r="AO39" t="s">
        <v>182</v>
      </c>
      <c r="AP39" t="s">
        <v>183</v>
      </c>
      <c r="AQ39" t="s">
        <v>74</v>
      </c>
      <c r="AR39" t="s">
        <v>74</v>
      </c>
      <c r="AS39" t="s">
        <v>74</v>
      </c>
      <c r="AT39" t="s">
        <v>157</v>
      </c>
      <c r="AU39">
        <v>2016</v>
      </c>
      <c r="AV39">
        <v>125</v>
      </c>
      <c r="AW39">
        <v>3</v>
      </c>
      <c r="AX39" t="s">
        <v>74</v>
      </c>
      <c r="AY39" t="s">
        <v>74</v>
      </c>
      <c r="AZ39" t="s">
        <v>74</v>
      </c>
      <c r="BA39" t="s">
        <v>74</v>
      </c>
      <c r="BB39">
        <v>424</v>
      </c>
      <c r="BC39">
        <v>433</v>
      </c>
      <c r="BD39" t="s">
        <v>74</v>
      </c>
      <c r="BE39" t="s">
        <v>3767</v>
      </c>
      <c r="BF39" t="str">
        <f>HYPERLINK("http://dx.doi.org/10.1111/oik.02220","http://dx.doi.org/10.1111/oik.02220")</f>
        <v>http://dx.doi.org/10.1111/oik.02220</v>
      </c>
      <c r="BG39" t="s">
        <v>74</v>
      </c>
      <c r="BH39" t="s">
        <v>74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74</v>
      </c>
      <c r="BP39" t="s">
        <v>74</v>
      </c>
      <c r="BQ39" t="s">
        <v>74</v>
      </c>
      <c r="BR39" t="s">
        <v>74</v>
      </c>
      <c r="BS39" t="s">
        <v>3768</v>
      </c>
      <c r="BT39" t="str">
        <f>HYPERLINK("https%3A%2F%2Fwww.webofscience.com%2Fwos%2Fwoscc%2Ffull-record%2FWOS:000371222300016","View Full Record in Web of Science")</f>
        <v>View Full Record in Web of Science</v>
      </c>
    </row>
    <row r="40" spans="1:72" x14ac:dyDescent="0.2">
      <c r="A40" t="s">
        <v>72</v>
      </c>
      <c r="B40" t="s">
        <v>3786</v>
      </c>
      <c r="C40" t="s">
        <v>74</v>
      </c>
      <c r="D40" t="s">
        <v>74</v>
      </c>
      <c r="E40" t="s">
        <v>74</v>
      </c>
      <c r="F40" t="s">
        <v>3787</v>
      </c>
      <c r="G40" t="s">
        <v>74</v>
      </c>
      <c r="H40" t="s">
        <v>74</v>
      </c>
      <c r="I40" t="s">
        <v>3788</v>
      </c>
      <c r="J40" t="s">
        <v>1299</v>
      </c>
      <c r="K40" t="s">
        <v>74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74</v>
      </c>
      <c r="V40" t="s">
        <v>74</v>
      </c>
      <c r="W40" t="s">
        <v>74</v>
      </c>
      <c r="X40" t="s">
        <v>74</v>
      </c>
      <c r="Y40" t="s">
        <v>74</v>
      </c>
      <c r="Z40" t="s">
        <v>74</v>
      </c>
      <c r="AA40" t="s">
        <v>74</v>
      </c>
      <c r="AB40" t="s">
        <v>7057</v>
      </c>
      <c r="AC40" t="s">
        <v>74</v>
      </c>
      <c r="AD40" t="s">
        <v>74</v>
      </c>
      <c r="AE40" t="s">
        <v>74</v>
      </c>
      <c r="AF40" t="s">
        <v>74</v>
      </c>
      <c r="AG40" t="s">
        <v>74</v>
      </c>
      <c r="AH40" t="s">
        <v>74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1302</v>
      </c>
      <c r="AP40" t="s">
        <v>1303</v>
      </c>
      <c r="AQ40" t="s">
        <v>74</v>
      </c>
      <c r="AR40" t="s">
        <v>74</v>
      </c>
      <c r="AS40" t="s">
        <v>74</v>
      </c>
      <c r="AT40" t="s">
        <v>416</v>
      </c>
      <c r="AU40">
        <v>2016</v>
      </c>
      <c r="AV40">
        <v>180</v>
      </c>
      <c r="AW40">
        <v>2</v>
      </c>
      <c r="AX40" t="s">
        <v>74</v>
      </c>
      <c r="AY40" t="s">
        <v>74</v>
      </c>
      <c r="AZ40" t="s">
        <v>74</v>
      </c>
      <c r="BA40" t="s">
        <v>74</v>
      </c>
      <c r="BB40">
        <v>543</v>
      </c>
      <c r="BC40">
        <v>550</v>
      </c>
      <c r="BD40" t="s">
        <v>74</v>
      </c>
      <c r="BE40" t="s">
        <v>3789</v>
      </c>
      <c r="BF40" t="str">
        <f>HYPERLINK("http://dx.doi.org/10.1007/s00442-015-3487-z","http://dx.doi.org/10.1007/s00442-015-3487-z")</f>
        <v>http://dx.doi.org/10.1007/s00442-015-3487-z</v>
      </c>
      <c r="BG40" t="s">
        <v>74</v>
      </c>
      <c r="BH40" t="s">
        <v>74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>
        <v>26552379</v>
      </c>
      <c r="BO40" t="s">
        <v>74</v>
      </c>
      <c r="BP40" t="s">
        <v>74</v>
      </c>
      <c r="BQ40" t="s">
        <v>74</v>
      </c>
      <c r="BR40" t="s">
        <v>74</v>
      </c>
      <c r="BS40" t="s">
        <v>3790</v>
      </c>
      <c r="BT40" t="str">
        <f>HYPERLINK("https%3A%2F%2Fwww.webofscience.com%2Fwos%2Fwoscc%2Ffull-record%2FWOS:000368829300022","View Full Record in Web of Science")</f>
        <v>View Full Record in Web of Science</v>
      </c>
    </row>
    <row r="41" spans="1:72" x14ac:dyDescent="0.2">
      <c r="A41" t="s">
        <v>72</v>
      </c>
      <c r="B41" t="s">
        <v>3836</v>
      </c>
      <c r="C41" t="s">
        <v>74</v>
      </c>
      <c r="D41" t="s">
        <v>74</v>
      </c>
      <c r="E41" t="s">
        <v>74</v>
      </c>
      <c r="F41" t="s">
        <v>3837</v>
      </c>
      <c r="G41" t="s">
        <v>74</v>
      </c>
      <c r="H41" t="s">
        <v>74</v>
      </c>
      <c r="I41" t="s">
        <v>3838</v>
      </c>
      <c r="J41" t="s">
        <v>1543</v>
      </c>
      <c r="K41" t="s">
        <v>74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  <c r="T41" t="s">
        <v>74</v>
      </c>
      <c r="U41" t="s">
        <v>74</v>
      </c>
      <c r="V41" t="s">
        <v>74</v>
      </c>
      <c r="W41" t="s">
        <v>74</v>
      </c>
      <c r="X41" t="s">
        <v>74</v>
      </c>
      <c r="Y41" t="s">
        <v>74</v>
      </c>
      <c r="Z41" t="s">
        <v>74</v>
      </c>
      <c r="AA41" t="s">
        <v>74</v>
      </c>
      <c r="AB41" t="s">
        <v>74</v>
      </c>
      <c r="AC41" t="s">
        <v>74</v>
      </c>
      <c r="AD41" t="s">
        <v>74</v>
      </c>
      <c r="AE41" t="s">
        <v>74</v>
      </c>
      <c r="AF41" t="s">
        <v>74</v>
      </c>
      <c r="AG41" t="s">
        <v>74</v>
      </c>
      <c r="AH41" t="s">
        <v>74</v>
      </c>
      <c r="AI41" t="s">
        <v>74</v>
      </c>
      <c r="AJ41" t="s">
        <v>74</v>
      </c>
      <c r="AK41" t="s">
        <v>74</v>
      </c>
      <c r="AL41" t="s">
        <v>74</v>
      </c>
      <c r="AM41" t="s">
        <v>74</v>
      </c>
      <c r="AN41" t="s">
        <v>74</v>
      </c>
      <c r="AO41" t="s">
        <v>1545</v>
      </c>
      <c r="AP41" t="s">
        <v>1546</v>
      </c>
      <c r="AQ41" t="s">
        <v>74</v>
      </c>
      <c r="AR41" t="s">
        <v>74</v>
      </c>
      <c r="AS41" t="s">
        <v>74</v>
      </c>
      <c r="AT41" t="s">
        <v>74</v>
      </c>
      <c r="AU41">
        <v>2016</v>
      </c>
      <c r="AV41">
        <v>6</v>
      </c>
      <c r="AW41">
        <v>2</v>
      </c>
      <c r="AX41" t="s">
        <v>74</v>
      </c>
      <c r="AY41" t="s">
        <v>74</v>
      </c>
      <c r="AZ41" t="s">
        <v>74</v>
      </c>
      <c r="BA41" t="s">
        <v>74</v>
      </c>
      <c r="BB41">
        <v>147</v>
      </c>
      <c r="BC41">
        <v>154</v>
      </c>
      <c r="BD41" t="s">
        <v>74</v>
      </c>
      <c r="BE41" t="s">
        <v>3839</v>
      </c>
      <c r="BF41" t="str">
        <f>HYPERLINK("http://dx.doi.org/10.5268/IW-6.2.937","http://dx.doi.org/10.5268/IW-6.2.937")</f>
        <v>http://dx.doi.org/10.5268/IW-6.2.937</v>
      </c>
      <c r="BG41" t="s">
        <v>74</v>
      </c>
      <c r="BH41" t="s">
        <v>74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 t="s">
        <v>74</v>
      </c>
      <c r="BR41" t="s">
        <v>74</v>
      </c>
      <c r="BS41" t="s">
        <v>3840</v>
      </c>
      <c r="BT41" t="str">
        <f>HYPERLINK("https%3A%2F%2Fwww.webofscience.com%2Fwos%2Fwoscc%2Ffull-record%2FWOS:000376486500005","View Full Record in Web of Science")</f>
        <v>View Full Record in Web of Science</v>
      </c>
    </row>
    <row r="42" spans="1:72" x14ac:dyDescent="0.2">
      <c r="A42" t="s">
        <v>72</v>
      </c>
      <c r="B42" t="s">
        <v>3866</v>
      </c>
      <c r="C42" t="s">
        <v>74</v>
      </c>
      <c r="D42" t="s">
        <v>74</v>
      </c>
      <c r="E42" t="s">
        <v>74</v>
      </c>
      <c r="F42" t="s">
        <v>3867</v>
      </c>
      <c r="G42" t="s">
        <v>74</v>
      </c>
      <c r="H42" t="s">
        <v>74</v>
      </c>
      <c r="I42" t="s">
        <v>3868</v>
      </c>
      <c r="J42" t="s">
        <v>227</v>
      </c>
      <c r="K42" t="s">
        <v>74</v>
      </c>
      <c r="L42" t="s">
        <v>74</v>
      </c>
      <c r="M42" t="s">
        <v>74</v>
      </c>
      <c r="N42" t="s">
        <v>74</v>
      </c>
      <c r="O42" t="s">
        <v>74</v>
      </c>
      <c r="P42" t="s">
        <v>74</v>
      </c>
      <c r="Q42" t="s">
        <v>74</v>
      </c>
      <c r="R42" t="s">
        <v>74</v>
      </c>
      <c r="S42" t="s">
        <v>74</v>
      </c>
      <c r="T42" t="s">
        <v>74</v>
      </c>
      <c r="U42" t="s">
        <v>74</v>
      </c>
      <c r="V42" t="s">
        <v>74</v>
      </c>
      <c r="W42" t="s">
        <v>74</v>
      </c>
      <c r="X42" t="s">
        <v>74</v>
      </c>
      <c r="Y42" t="s">
        <v>74</v>
      </c>
      <c r="Z42" t="s">
        <v>74</v>
      </c>
      <c r="AA42" t="s">
        <v>74</v>
      </c>
      <c r="AB42" t="s">
        <v>74</v>
      </c>
      <c r="AC42" t="s">
        <v>74</v>
      </c>
      <c r="AD42" t="s">
        <v>74</v>
      </c>
      <c r="AE42" t="s">
        <v>74</v>
      </c>
      <c r="AF42" t="s">
        <v>74</v>
      </c>
      <c r="AG42" t="s">
        <v>74</v>
      </c>
      <c r="AH42" t="s">
        <v>74</v>
      </c>
      <c r="AI42" t="s">
        <v>74</v>
      </c>
      <c r="AJ42" t="s">
        <v>74</v>
      </c>
      <c r="AK42" t="s">
        <v>74</v>
      </c>
      <c r="AL42" t="s">
        <v>74</v>
      </c>
      <c r="AM42" t="s">
        <v>74</v>
      </c>
      <c r="AN42" t="s">
        <v>74</v>
      </c>
      <c r="AO42" t="s">
        <v>230</v>
      </c>
      <c r="AP42" t="s">
        <v>231</v>
      </c>
      <c r="AQ42" t="s">
        <v>74</v>
      </c>
      <c r="AR42" t="s">
        <v>74</v>
      </c>
      <c r="AS42" t="s">
        <v>74</v>
      </c>
      <c r="AT42" t="s">
        <v>335</v>
      </c>
      <c r="AU42">
        <v>2015</v>
      </c>
      <c r="AV42">
        <v>60</v>
      </c>
      <c r="AW42">
        <v>6</v>
      </c>
      <c r="AX42" t="s">
        <v>74</v>
      </c>
      <c r="AY42" t="s">
        <v>74</v>
      </c>
      <c r="AZ42" t="s">
        <v>74</v>
      </c>
      <c r="BA42" t="s">
        <v>74</v>
      </c>
      <c r="BB42">
        <v>2037</v>
      </c>
      <c r="BC42">
        <v>2047</v>
      </c>
      <c r="BD42" t="s">
        <v>74</v>
      </c>
      <c r="BE42" t="s">
        <v>3869</v>
      </c>
      <c r="BF42" t="str">
        <f>HYPERLINK("http://dx.doi.org/10.1002/lno.10150","http://dx.doi.org/10.1002/lno.10150")</f>
        <v>http://dx.doi.org/10.1002/lno.10150</v>
      </c>
      <c r="BG42" t="s">
        <v>74</v>
      </c>
      <c r="BH42" t="s">
        <v>74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 t="s">
        <v>3870</v>
      </c>
      <c r="BT42" t="str">
        <f>HYPERLINK("https%3A%2F%2Fwww.webofscience.com%2Fwos%2Fwoscc%2Ffull-record%2FWOS:000363888400013","View Full Record in Web of Science")</f>
        <v>View Full Record in Web of Science</v>
      </c>
    </row>
    <row r="43" spans="1:72" x14ac:dyDescent="0.2">
      <c r="A43" t="s">
        <v>72</v>
      </c>
      <c r="B43" t="s">
        <v>3878</v>
      </c>
      <c r="C43" t="s">
        <v>74</v>
      </c>
      <c r="D43" t="s">
        <v>74</v>
      </c>
      <c r="E43" t="s">
        <v>74</v>
      </c>
      <c r="F43" t="s">
        <v>3879</v>
      </c>
      <c r="G43" t="s">
        <v>74</v>
      </c>
      <c r="H43" t="s">
        <v>74</v>
      </c>
      <c r="I43" t="s">
        <v>3880</v>
      </c>
      <c r="J43" t="s">
        <v>1323</v>
      </c>
      <c r="K43" t="s">
        <v>74</v>
      </c>
      <c r="L43" t="s">
        <v>74</v>
      </c>
      <c r="M43" t="s">
        <v>74</v>
      </c>
      <c r="N43" t="s">
        <v>74</v>
      </c>
      <c r="O43" t="s">
        <v>74</v>
      </c>
      <c r="P43" t="s">
        <v>74</v>
      </c>
      <c r="Q43" t="s">
        <v>74</v>
      </c>
      <c r="R43" t="s">
        <v>74</v>
      </c>
      <c r="S43" t="s">
        <v>74</v>
      </c>
      <c r="T43" t="s">
        <v>74</v>
      </c>
      <c r="U43" t="s">
        <v>74</v>
      </c>
      <c r="V43" t="s">
        <v>74</v>
      </c>
      <c r="W43" t="s">
        <v>74</v>
      </c>
      <c r="X43" t="s">
        <v>74</v>
      </c>
      <c r="Y43" t="s">
        <v>74</v>
      </c>
      <c r="Z43" t="s">
        <v>74</v>
      </c>
      <c r="AA43" t="s">
        <v>3881</v>
      </c>
      <c r="AB43" t="s">
        <v>74</v>
      </c>
      <c r="AC43" t="s">
        <v>74</v>
      </c>
      <c r="AD43" t="s">
        <v>74</v>
      </c>
      <c r="AE43" t="s">
        <v>74</v>
      </c>
      <c r="AF43" t="s">
        <v>74</v>
      </c>
      <c r="AG43" t="s">
        <v>74</v>
      </c>
      <c r="AH43" t="s">
        <v>74</v>
      </c>
      <c r="AI43" t="s">
        <v>74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1326</v>
      </c>
      <c r="AP43" t="s">
        <v>1327</v>
      </c>
      <c r="AQ43" t="s">
        <v>74</v>
      </c>
      <c r="AR43" t="s">
        <v>74</v>
      </c>
      <c r="AS43" t="s">
        <v>74</v>
      </c>
      <c r="AT43" t="s">
        <v>406</v>
      </c>
      <c r="AU43">
        <v>2015</v>
      </c>
      <c r="AV43">
        <v>77</v>
      </c>
      <c r="AW43">
        <v>4</v>
      </c>
      <c r="AX43" t="s">
        <v>74</v>
      </c>
      <c r="AY43" t="s">
        <v>74</v>
      </c>
      <c r="AZ43" t="s">
        <v>74</v>
      </c>
      <c r="BA43" t="s">
        <v>74</v>
      </c>
      <c r="BB43">
        <v>681</v>
      </c>
      <c r="BC43">
        <v>694</v>
      </c>
      <c r="BD43" t="s">
        <v>74</v>
      </c>
      <c r="BE43" t="s">
        <v>3882</v>
      </c>
      <c r="BF43" t="str">
        <f>HYPERLINK("http://dx.doi.org/10.1007/s00027-015-0411-x","http://dx.doi.org/10.1007/s00027-015-0411-x")</f>
        <v>http://dx.doi.org/10.1007/s00027-015-0411-x</v>
      </c>
      <c r="BG43" t="s">
        <v>74</v>
      </c>
      <c r="BH43" t="s">
        <v>74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 t="s">
        <v>74</v>
      </c>
      <c r="BR43" t="s">
        <v>74</v>
      </c>
      <c r="BS43" t="s">
        <v>3883</v>
      </c>
      <c r="BT43" t="str">
        <f>HYPERLINK("https%3A%2F%2Fwww.webofscience.com%2Fwos%2Fwoscc%2Ffull-record%2FWOS:000361396800012","View Full Record in Web of Science")</f>
        <v>View Full Record in Web of Science</v>
      </c>
    </row>
    <row r="44" spans="1:72" x14ac:dyDescent="0.2">
      <c r="A44" t="s">
        <v>72</v>
      </c>
      <c r="B44" t="s">
        <v>4026</v>
      </c>
      <c r="C44" t="s">
        <v>74</v>
      </c>
      <c r="D44" t="s">
        <v>74</v>
      </c>
      <c r="E44" t="s">
        <v>74</v>
      </c>
      <c r="F44" t="s">
        <v>4027</v>
      </c>
      <c r="G44" t="s">
        <v>74</v>
      </c>
      <c r="H44" t="s">
        <v>74</v>
      </c>
      <c r="I44" t="s">
        <v>4028</v>
      </c>
      <c r="J44" t="s">
        <v>106</v>
      </c>
      <c r="K44" t="s">
        <v>74</v>
      </c>
      <c r="L44" t="s">
        <v>74</v>
      </c>
      <c r="M44" t="s">
        <v>74</v>
      </c>
      <c r="N44" t="s">
        <v>74</v>
      </c>
      <c r="O44" t="s">
        <v>74</v>
      </c>
      <c r="P44" t="s">
        <v>74</v>
      </c>
      <c r="Q44" t="s">
        <v>74</v>
      </c>
      <c r="R44" t="s">
        <v>74</v>
      </c>
      <c r="S44" t="s">
        <v>74</v>
      </c>
      <c r="T44" t="s">
        <v>74</v>
      </c>
      <c r="U44" t="s">
        <v>74</v>
      </c>
      <c r="V44" t="s">
        <v>74</v>
      </c>
      <c r="W44" t="s">
        <v>74</v>
      </c>
      <c r="X44" t="s">
        <v>74</v>
      </c>
      <c r="Y44" t="s">
        <v>74</v>
      </c>
      <c r="Z44" t="s">
        <v>74</v>
      </c>
      <c r="AA44" t="s">
        <v>4029</v>
      </c>
      <c r="AB44" t="s">
        <v>4030</v>
      </c>
      <c r="AC44" t="s">
        <v>74</v>
      </c>
      <c r="AD44" t="s">
        <v>74</v>
      </c>
      <c r="AE44" t="s">
        <v>74</v>
      </c>
      <c r="AF44" t="s">
        <v>74</v>
      </c>
      <c r="AG44" t="s">
        <v>74</v>
      </c>
      <c r="AH44" t="s">
        <v>74</v>
      </c>
      <c r="AI44" t="s">
        <v>74</v>
      </c>
      <c r="AJ44" t="s">
        <v>74</v>
      </c>
      <c r="AK44" t="s">
        <v>74</v>
      </c>
      <c r="AL44" t="s">
        <v>74</v>
      </c>
      <c r="AM44" t="s">
        <v>74</v>
      </c>
      <c r="AN44" t="s">
        <v>74</v>
      </c>
      <c r="AO44" t="s">
        <v>107</v>
      </c>
      <c r="AP44" t="s">
        <v>108</v>
      </c>
      <c r="AQ44" t="s">
        <v>74</v>
      </c>
      <c r="AR44" t="s">
        <v>74</v>
      </c>
      <c r="AS44" t="s">
        <v>74</v>
      </c>
      <c r="AT44" t="s">
        <v>3094</v>
      </c>
      <c r="AU44">
        <v>2015</v>
      </c>
      <c r="AV44">
        <v>37</v>
      </c>
      <c r="AW44">
        <v>2</v>
      </c>
      <c r="AX44" t="s">
        <v>74</v>
      </c>
      <c r="AY44" t="s">
        <v>74</v>
      </c>
      <c r="AZ44" t="s">
        <v>74</v>
      </c>
      <c r="BA44" t="s">
        <v>74</v>
      </c>
      <c r="BB44">
        <v>285</v>
      </c>
      <c r="BC44">
        <v>292</v>
      </c>
      <c r="BD44" t="s">
        <v>74</v>
      </c>
      <c r="BE44" t="s">
        <v>4031</v>
      </c>
      <c r="BF44" t="str">
        <f>HYPERLINK("http://dx.doi.org/10.1093/plankt/fbv009","http://dx.doi.org/10.1093/plankt/fbv009")</f>
        <v>http://dx.doi.org/10.1093/plankt/fbv009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 t="s">
        <v>74</v>
      </c>
      <c r="BR44" t="s">
        <v>74</v>
      </c>
      <c r="BS44" t="s">
        <v>4032</v>
      </c>
      <c r="BT44" t="str">
        <f>HYPERLINK("https%3A%2F%2Fwww.webofscience.com%2Fwos%2Fwoscc%2Ffull-record%2FWOS:000352487600002","View Full Record in Web of Science")</f>
        <v>View Full Record in Web of Science</v>
      </c>
    </row>
    <row r="45" spans="1:72" x14ac:dyDescent="0.2">
      <c r="A45" t="s">
        <v>72</v>
      </c>
      <c r="B45" t="s">
        <v>4054</v>
      </c>
      <c r="C45" t="s">
        <v>74</v>
      </c>
      <c r="D45" t="s">
        <v>74</v>
      </c>
      <c r="E45" t="s">
        <v>74</v>
      </c>
      <c r="F45" t="s">
        <v>4055</v>
      </c>
      <c r="G45" t="s">
        <v>74</v>
      </c>
      <c r="H45" t="s">
        <v>74</v>
      </c>
      <c r="I45" t="s">
        <v>4056</v>
      </c>
      <c r="J45" t="s">
        <v>2526</v>
      </c>
      <c r="K45" t="s">
        <v>74</v>
      </c>
      <c r="L45" t="s">
        <v>74</v>
      </c>
      <c r="M45" t="s">
        <v>74</v>
      </c>
      <c r="N45" t="s">
        <v>74</v>
      </c>
      <c r="O45" t="s">
        <v>74</v>
      </c>
      <c r="P45" t="s">
        <v>74</v>
      </c>
      <c r="Q45" t="s">
        <v>74</v>
      </c>
      <c r="R45" t="s">
        <v>74</v>
      </c>
      <c r="S45" t="s">
        <v>74</v>
      </c>
      <c r="T45" t="s">
        <v>74</v>
      </c>
      <c r="U45" t="s">
        <v>74</v>
      </c>
      <c r="V45" t="s">
        <v>74</v>
      </c>
      <c r="W45" t="s">
        <v>74</v>
      </c>
      <c r="X45" t="s">
        <v>74</v>
      </c>
      <c r="Y45" t="s">
        <v>74</v>
      </c>
      <c r="Z45" t="s">
        <v>74</v>
      </c>
      <c r="AA45" t="s">
        <v>74</v>
      </c>
      <c r="AB45" t="s">
        <v>6770</v>
      </c>
      <c r="AC45" t="s">
        <v>74</v>
      </c>
      <c r="AD45" t="s">
        <v>74</v>
      </c>
      <c r="AE45" t="s">
        <v>74</v>
      </c>
      <c r="AF45" t="s">
        <v>74</v>
      </c>
      <c r="AG45" t="s">
        <v>74</v>
      </c>
      <c r="AH45" t="s">
        <v>74</v>
      </c>
      <c r="AI45" t="s">
        <v>74</v>
      </c>
      <c r="AJ45" t="s">
        <v>74</v>
      </c>
      <c r="AK45" t="s">
        <v>74</v>
      </c>
      <c r="AL45" t="s">
        <v>74</v>
      </c>
      <c r="AM45" t="s">
        <v>74</v>
      </c>
      <c r="AN45" t="s">
        <v>74</v>
      </c>
      <c r="AO45" t="s">
        <v>2527</v>
      </c>
      <c r="AP45" t="s">
        <v>74</v>
      </c>
      <c r="AQ45" t="s">
        <v>74</v>
      </c>
      <c r="AR45" t="s">
        <v>74</v>
      </c>
      <c r="AS45" t="s">
        <v>74</v>
      </c>
      <c r="AT45" t="s">
        <v>4057</v>
      </c>
      <c r="AU45">
        <v>2015</v>
      </c>
      <c r="AV45">
        <v>112</v>
      </c>
      <c r="AW45">
        <v>8</v>
      </c>
      <c r="AX45" t="s">
        <v>74</v>
      </c>
      <c r="AY45" t="s">
        <v>74</v>
      </c>
      <c r="AZ45" t="s">
        <v>74</v>
      </c>
      <c r="BA45" t="s">
        <v>74</v>
      </c>
      <c r="BB45">
        <v>2617</v>
      </c>
      <c r="BC45">
        <v>2622</v>
      </c>
      <c r="BD45" t="s">
        <v>74</v>
      </c>
      <c r="BE45" t="s">
        <v>4058</v>
      </c>
      <c r="BF45" t="str">
        <f>HYPERLINK("http://dx.doi.org/10.1073/pnas.1423502112","http://dx.doi.org/10.1073/pnas.1423502112")</f>
        <v>http://dx.doi.org/10.1073/pnas.1423502112</v>
      </c>
      <c r="BG45" t="s">
        <v>74</v>
      </c>
      <c r="BH45" t="s">
        <v>74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>
        <v>25624499</v>
      </c>
      <c r="BO45" t="s">
        <v>74</v>
      </c>
      <c r="BP45" t="s">
        <v>74</v>
      </c>
      <c r="BQ45" t="s">
        <v>74</v>
      </c>
      <c r="BR45" t="s">
        <v>74</v>
      </c>
      <c r="BS45" t="s">
        <v>4059</v>
      </c>
      <c r="BT45" t="str">
        <f>HYPERLINK("https%3A%2F%2Fwww.webofscience.com%2Fwos%2Fwoscc%2Ffull-record%2FWOS:000349911700076","View Full Record in Web of Science")</f>
        <v>View Full Record in Web of Science</v>
      </c>
    </row>
    <row r="46" spans="1:72" x14ac:dyDescent="0.2">
      <c r="A46" t="s">
        <v>72</v>
      </c>
      <c r="B46" t="s">
        <v>4103</v>
      </c>
      <c r="C46" t="s">
        <v>74</v>
      </c>
      <c r="D46" t="s">
        <v>74</v>
      </c>
      <c r="E46" t="s">
        <v>74</v>
      </c>
      <c r="F46" t="s">
        <v>4104</v>
      </c>
      <c r="G46" t="s">
        <v>74</v>
      </c>
      <c r="H46" t="s">
        <v>74</v>
      </c>
      <c r="I46" t="s">
        <v>4105</v>
      </c>
      <c r="J46" t="s">
        <v>1323</v>
      </c>
      <c r="K46" t="s">
        <v>74</v>
      </c>
      <c r="L46" t="s">
        <v>74</v>
      </c>
      <c r="M46" t="s">
        <v>74</v>
      </c>
      <c r="N46" t="s">
        <v>74</v>
      </c>
      <c r="O46" t="s">
        <v>74</v>
      </c>
      <c r="P46" t="s">
        <v>74</v>
      </c>
      <c r="Q46" t="s">
        <v>74</v>
      </c>
      <c r="R46" t="s">
        <v>74</v>
      </c>
      <c r="S46" t="s">
        <v>74</v>
      </c>
      <c r="T46" t="s">
        <v>74</v>
      </c>
      <c r="U46" t="s">
        <v>74</v>
      </c>
      <c r="V46" t="s">
        <v>74</v>
      </c>
      <c r="W46" t="s">
        <v>74</v>
      </c>
      <c r="X46" t="s">
        <v>74</v>
      </c>
      <c r="Y46" t="s">
        <v>74</v>
      </c>
      <c r="Z46" t="s">
        <v>74</v>
      </c>
      <c r="AA46" t="s">
        <v>7081</v>
      </c>
      <c r="AB46" t="s">
        <v>7082</v>
      </c>
      <c r="AC46" t="s">
        <v>74</v>
      </c>
      <c r="AD46" t="s">
        <v>74</v>
      </c>
      <c r="AE46" t="s">
        <v>74</v>
      </c>
      <c r="AF46" t="s">
        <v>74</v>
      </c>
      <c r="AG46" t="s">
        <v>74</v>
      </c>
      <c r="AH46" t="s">
        <v>74</v>
      </c>
      <c r="AI46" t="s">
        <v>74</v>
      </c>
      <c r="AJ46" t="s">
        <v>74</v>
      </c>
      <c r="AK46" t="s">
        <v>74</v>
      </c>
      <c r="AL46" t="s">
        <v>74</v>
      </c>
      <c r="AM46" t="s">
        <v>74</v>
      </c>
      <c r="AN46" t="s">
        <v>74</v>
      </c>
      <c r="AO46" t="s">
        <v>1326</v>
      </c>
      <c r="AP46" t="s">
        <v>1327</v>
      </c>
      <c r="AQ46" t="s">
        <v>74</v>
      </c>
      <c r="AR46" t="s">
        <v>74</v>
      </c>
      <c r="AS46" t="s">
        <v>74</v>
      </c>
      <c r="AT46" t="s">
        <v>315</v>
      </c>
      <c r="AU46">
        <v>2015</v>
      </c>
      <c r="AV46">
        <v>77</v>
      </c>
      <c r="AW46">
        <v>1</v>
      </c>
      <c r="AX46" t="s">
        <v>74</v>
      </c>
      <c r="AY46" t="s">
        <v>74</v>
      </c>
      <c r="AZ46" t="s">
        <v>74</v>
      </c>
      <c r="BA46" t="s">
        <v>74</v>
      </c>
      <c r="BB46">
        <v>45</v>
      </c>
      <c r="BC46">
        <v>57</v>
      </c>
      <c r="BD46" t="s">
        <v>74</v>
      </c>
      <c r="BE46" t="s">
        <v>4106</v>
      </c>
      <c r="BF46" t="str">
        <f>HYPERLINK("http://dx.doi.org/10.1007/s00027-014-0368-1","http://dx.doi.org/10.1007/s00027-014-0368-1")</f>
        <v>http://dx.doi.org/10.1007/s00027-014-0368-1</v>
      </c>
      <c r="BG46" t="s">
        <v>74</v>
      </c>
      <c r="BH46" t="s">
        <v>74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 t="s">
        <v>74</v>
      </c>
      <c r="BR46" t="s">
        <v>74</v>
      </c>
      <c r="BS46" t="s">
        <v>4107</v>
      </c>
      <c r="BT46" t="str">
        <f>HYPERLINK("https%3A%2F%2Fwww.webofscience.com%2Fwos%2Fwoscc%2Ffull-record%2FWOS:000347149700005","View Full Record in Web of Science")</f>
        <v>View Full Record in Web of Science</v>
      </c>
    </row>
    <row r="47" spans="1:72" x14ac:dyDescent="0.2">
      <c r="A47" t="s">
        <v>72</v>
      </c>
      <c r="B47" t="s">
        <v>4270</v>
      </c>
      <c r="C47" t="s">
        <v>74</v>
      </c>
      <c r="D47" t="s">
        <v>74</v>
      </c>
      <c r="E47" t="s">
        <v>74</v>
      </c>
      <c r="F47" t="s">
        <v>4271</v>
      </c>
      <c r="G47" t="s">
        <v>74</v>
      </c>
      <c r="H47" t="s">
        <v>74</v>
      </c>
      <c r="I47" t="s">
        <v>4272</v>
      </c>
      <c r="J47" t="s">
        <v>2020</v>
      </c>
      <c r="K47" t="s">
        <v>74</v>
      </c>
      <c r="L47" t="s">
        <v>74</v>
      </c>
      <c r="M47" t="s">
        <v>74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74</v>
      </c>
      <c r="T47" t="s">
        <v>74</v>
      </c>
      <c r="U47" t="s">
        <v>74</v>
      </c>
      <c r="V47" t="s">
        <v>74</v>
      </c>
      <c r="W47" t="s">
        <v>74</v>
      </c>
      <c r="X47" t="s">
        <v>74</v>
      </c>
      <c r="Y47" t="s">
        <v>74</v>
      </c>
      <c r="Z47" t="s">
        <v>74</v>
      </c>
      <c r="AA47" t="s">
        <v>4273</v>
      </c>
      <c r="AB47" t="s">
        <v>4274</v>
      </c>
      <c r="AC47" t="s">
        <v>74</v>
      </c>
      <c r="AD47" t="s">
        <v>74</v>
      </c>
      <c r="AE47" t="s">
        <v>74</v>
      </c>
      <c r="AF47" t="s">
        <v>74</v>
      </c>
      <c r="AG47" t="s">
        <v>74</v>
      </c>
      <c r="AH47" t="s">
        <v>74</v>
      </c>
      <c r="AI47" t="s">
        <v>74</v>
      </c>
      <c r="AJ47" t="s">
        <v>74</v>
      </c>
      <c r="AK47" t="s">
        <v>74</v>
      </c>
      <c r="AL47" t="s">
        <v>74</v>
      </c>
      <c r="AM47" t="s">
        <v>74</v>
      </c>
      <c r="AN47" t="s">
        <v>74</v>
      </c>
      <c r="AO47" t="s">
        <v>2022</v>
      </c>
      <c r="AP47" t="s">
        <v>2023</v>
      </c>
      <c r="AQ47" t="s">
        <v>74</v>
      </c>
      <c r="AR47" t="s">
        <v>74</v>
      </c>
      <c r="AS47" t="s">
        <v>74</v>
      </c>
      <c r="AT47" t="s">
        <v>74</v>
      </c>
      <c r="AU47">
        <v>2014</v>
      </c>
      <c r="AV47">
        <v>29</v>
      </c>
      <c r="AW47">
        <v>4</v>
      </c>
      <c r="AX47" t="s">
        <v>74</v>
      </c>
      <c r="AY47" t="s">
        <v>74</v>
      </c>
      <c r="AZ47" t="s">
        <v>74</v>
      </c>
      <c r="BA47" t="s">
        <v>74</v>
      </c>
      <c r="BB47">
        <v>423</v>
      </c>
      <c r="BC47">
        <v>440</v>
      </c>
      <c r="BD47" t="s">
        <v>74</v>
      </c>
      <c r="BE47" t="s">
        <v>4275</v>
      </c>
      <c r="BF47" t="str">
        <f>HYPERLINK("http://dx.doi.org/10.1080/0269249X.2014.922125","http://dx.doi.org/10.1080/0269249X.2014.922125")</f>
        <v>http://dx.doi.org/10.1080/0269249X.2014.922125</v>
      </c>
      <c r="BG47" t="s">
        <v>74</v>
      </c>
      <c r="BH47" t="s">
        <v>74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 t="s">
        <v>74</v>
      </c>
      <c r="BR47" t="s">
        <v>74</v>
      </c>
      <c r="BS47" t="s">
        <v>4276</v>
      </c>
      <c r="BT47" t="str">
        <f>HYPERLINK("https%3A%2F%2Fwww.webofscience.com%2Fwos%2Fwoscc%2Ffull-record%2FWOS:000340134900009","View Full Record in Web of Science")</f>
        <v>View Full Record in Web of Science</v>
      </c>
    </row>
    <row r="48" spans="1:72" x14ac:dyDescent="0.2">
      <c r="A48" t="s">
        <v>72</v>
      </c>
      <c r="B48" t="s">
        <v>4277</v>
      </c>
      <c r="C48" t="s">
        <v>74</v>
      </c>
      <c r="D48" t="s">
        <v>74</v>
      </c>
      <c r="E48" t="s">
        <v>74</v>
      </c>
      <c r="F48" t="s">
        <v>4278</v>
      </c>
      <c r="G48" t="s">
        <v>74</v>
      </c>
      <c r="H48" t="s">
        <v>74</v>
      </c>
      <c r="I48" t="s">
        <v>4279</v>
      </c>
      <c r="J48" t="s">
        <v>227</v>
      </c>
      <c r="K48" t="s">
        <v>74</v>
      </c>
      <c r="L48" t="s">
        <v>74</v>
      </c>
      <c r="M48" t="s">
        <v>74</v>
      </c>
      <c r="N48" t="s">
        <v>74</v>
      </c>
      <c r="O48" t="s">
        <v>74</v>
      </c>
      <c r="P48" t="s">
        <v>74</v>
      </c>
      <c r="Q48" t="s">
        <v>74</v>
      </c>
      <c r="R48" t="s">
        <v>74</v>
      </c>
      <c r="S48" t="s">
        <v>74</v>
      </c>
      <c r="T48" t="s">
        <v>74</v>
      </c>
      <c r="U48" t="s">
        <v>74</v>
      </c>
      <c r="V48" t="s">
        <v>74</v>
      </c>
      <c r="W48" t="s">
        <v>74</v>
      </c>
      <c r="X48" t="s">
        <v>74</v>
      </c>
      <c r="Y48" t="s">
        <v>74</v>
      </c>
      <c r="Z48" t="s">
        <v>74</v>
      </c>
      <c r="AA48" t="s">
        <v>7094</v>
      </c>
      <c r="AB48" t="s">
        <v>7095</v>
      </c>
      <c r="AC48" t="s">
        <v>74</v>
      </c>
      <c r="AD48" t="s">
        <v>74</v>
      </c>
      <c r="AE48" t="s">
        <v>74</v>
      </c>
      <c r="AF48" t="s">
        <v>74</v>
      </c>
      <c r="AG48" t="s">
        <v>74</v>
      </c>
      <c r="AH48" t="s">
        <v>74</v>
      </c>
      <c r="AI48" t="s">
        <v>74</v>
      </c>
      <c r="AJ48" t="s">
        <v>74</v>
      </c>
      <c r="AK48" t="s">
        <v>74</v>
      </c>
      <c r="AL48" t="s">
        <v>74</v>
      </c>
      <c r="AM48" t="s">
        <v>74</v>
      </c>
      <c r="AN48" t="s">
        <v>74</v>
      </c>
      <c r="AO48" t="s">
        <v>230</v>
      </c>
      <c r="AP48" t="s">
        <v>231</v>
      </c>
      <c r="AQ48" t="s">
        <v>74</v>
      </c>
      <c r="AR48" t="s">
        <v>74</v>
      </c>
      <c r="AS48" t="s">
        <v>74</v>
      </c>
      <c r="AT48" t="s">
        <v>315</v>
      </c>
      <c r="AU48">
        <v>2014</v>
      </c>
      <c r="AV48">
        <v>59</v>
      </c>
      <c r="AW48">
        <v>1</v>
      </c>
      <c r="AX48" t="s">
        <v>74</v>
      </c>
      <c r="AY48" t="s">
        <v>74</v>
      </c>
      <c r="AZ48" t="s">
        <v>74</v>
      </c>
      <c r="BA48" t="s">
        <v>74</v>
      </c>
      <c r="BB48">
        <v>79</v>
      </c>
      <c r="BC48">
        <v>86</v>
      </c>
      <c r="BD48" t="s">
        <v>74</v>
      </c>
      <c r="BE48" t="s">
        <v>4280</v>
      </c>
      <c r="BF48" t="str">
        <f>HYPERLINK("http://dx.doi.org/10.4319/lo.2014.59.1.0079","http://dx.doi.org/10.4319/lo.2014.59.1.0079")</f>
        <v>http://dx.doi.org/10.4319/lo.2014.59.1.0079</v>
      </c>
      <c r="BG48" t="s">
        <v>74</v>
      </c>
      <c r="BH48" t="s">
        <v>74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 t="s">
        <v>74</v>
      </c>
      <c r="BR48" t="s">
        <v>74</v>
      </c>
      <c r="BS48" t="s">
        <v>4281</v>
      </c>
      <c r="BT48" t="str">
        <f>HYPERLINK("https%3A%2F%2Fwww.webofscience.com%2Fwos%2Fwoscc%2Ffull-record%2FWOS:000339901800007","View Full Record in Web of Science")</f>
        <v>View Full Record in Web of Science</v>
      </c>
    </row>
    <row r="49" spans="1:72" x14ac:dyDescent="0.2">
      <c r="A49" t="s">
        <v>72</v>
      </c>
      <c r="B49" t="s">
        <v>4299</v>
      </c>
      <c r="C49" t="s">
        <v>74</v>
      </c>
      <c r="D49" t="s">
        <v>74</v>
      </c>
      <c r="E49" t="s">
        <v>74</v>
      </c>
      <c r="F49" t="s">
        <v>4300</v>
      </c>
      <c r="G49" t="s">
        <v>74</v>
      </c>
      <c r="H49" t="s">
        <v>74</v>
      </c>
      <c r="I49" t="s">
        <v>4301</v>
      </c>
      <c r="J49" t="s">
        <v>227</v>
      </c>
      <c r="K49" t="s">
        <v>74</v>
      </c>
      <c r="L49" t="s">
        <v>74</v>
      </c>
      <c r="M49" t="s">
        <v>74</v>
      </c>
      <c r="N49" t="s">
        <v>74</v>
      </c>
      <c r="O49" t="s">
        <v>74</v>
      </c>
      <c r="P49" t="s">
        <v>74</v>
      </c>
      <c r="Q49" t="s">
        <v>74</v>
      </c>
      <c r="R49" t="s">
        <v>74</v>
      </c>
      <c r="S49" t="s">
        <v>74</v>
      </c>
      <c r="T49" t="s">
        <v>74</v>
      </c>
      <c r="U49" t="s">
        <v>74</v>
      </c>
      <c r="V49" t="s">
        <v>74</v>
      </c>
      <c r="W49" t="s">
        <v>74</v>
      </c>
      <c r="X49" t="s">
        <v>74</v>
      </c>
      <c r="Y49" t="s">
        <v>74</v>
      </c>
      <c r="Z49" t="s">
        <v>74</v>
      </c>
      <c r="AA49" t="s">
        <v>7096</v>
      </c>
      <c r="AB49" t="s">
        <v>4302</v>
      </c>
      <c r="AC49" t="s">
        <v>74</v>
      </c>
      <c r="AD49" t="s">
        <v>74</v>
      </c>
      <c r="AE49" t="s">
        <v>74</v>
      </c>
      <c r="AF49" t="s">
        <v>74</v>
      </c>
      <c r="AG49" t="s">
        <v>74</v>
      </c>
      <c r="AH49" t="s">
        <v>74</v>
      </c>
      <c r="AI49" t="s">
        <v>74</v>
      </c>
      <c r="AJ49" t="s">
        <v>74</v>
      </c>
      <c r="AK49" t="s">
        <v>74</v>
      </c>
      <c r="AL49" t="s">
        <v>74</v>
      </c>
      <c r="AM49" t="s">
        <v>74</v>
      </c>
      <c r="AN49" t="s">
        <v>74</v>
      </c>
      <c r="AO49" t="s">
        <v>230</v>
      </c>
      <c r="AP49" t="s">
        <v>231</v>
      </c>
      <c r="AQ49" t="s">
        <v>74</v>
      </c>
      <c r="AR49" t="s">
        <v>74</v>
      </c>
      <c r="AS49" t="s">
        <v>74</v>
      </c>
      <c r="AT49" t="s">
        <v>315</v>
      </c>
      <c r="AU49">
        <v>2014</v>
      </c>
      <c r="AV49">
        <v>59</v>
      </c>
      <c r="AW49">
        <v>1</v>
      </c>
      <c r="AX49" t="s">
        <v>74</v>
      </c>
      <c r="AY49" t="s">
        <v>74</v>
      </c>
      <c r="AZ49" t="s">
        <v>74</v>
      </c>
      <c r="BA49" t="s">
        <v>74</v>
      </c>
      <c r="BB49">
        <v>99</v>
      </c>
      <c r="BC49">
        <v>114</v>
      </c>
      <c r="BD49" t="s">
        <v>74</v>
      </c>
      <c r="BE49" t="s">
        <v>4303</v>
      </c>
      <c r="BF49" t="str">
        <f>HYPERLINK("http://dx.doi.org/10.4319/lo.2014.59.1.0099","http://dx.doi.org/10.4319/lo.2014.59.1.0099")</f>
        <v>http://dx.doi.org/10.4319/lo.2014.59.1.0099</v>
      </c>
      <c r="BG49" t="s">
        <v>74</v>
      </c>
      <c r="BH49" t="s">
        <v>74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 t="s">
        <v>74</v>
      </c>
      <c r="BR49" t="s">
        <v>74</v>
      </c>
      <c r="BS49" t="s">
        <v>4304</v>
      </c>
      <c r="BT49" t="str">
        <f>HYPERLINK("https%3A%2F%2Fwww.webofscience.com%2Fwos%2Fwoscc%2Ffull-record%2FWOS:000339901800009","View Full Record in Web of Science")</f>
        <v>View Full Record in Web of Science</v>
      </c>
    </row>
    <row r="50" spans="1:72" x14ac:dyDescent="0.2">
      <c r="A50" t="s">
        <v>72</v>
      </c>
      <c r="B50" t="s">
        <v>4451</v>
      </c>
      <c r="C50" t="s">
        <v>74</v>
      </c>
      <c r="D50" t="s">
        <v>74</v>
      </c>
      <c r="E50" t="s">
        <v>74</v>
      </c>
      <c r="F50" t="s">
        <v>4452</v>
      </c>
      <c r="G50" t="s">
        <v>74</v>
      </c>
      <c r="H50" t="s">
        <v>74</v>
      </c>
      <c r="I50" t="s">
        <v>4453</v>
      </c>
      <c r="J50" t="s">
        <v>106</v>
      </c>
      <c r="K50" t="s">
        <v>74</v>
      </c>
      <c r="L50" t="s">
        <v>74</v>
      </c>
      <c r="M50" t="s">
        <v>74</v>
      </c>
      <c r="N50" t="s">
        <v>74</v>
      </c>
      <c r="O50" t="s">
        <v>74</v>
      </c>
      <c r="P50" t="s">
        <v>74</v>
      </c>
      <c r="Q50" t="s">
        <v>74</v>
      </c>
      <c r="R50" t="s">
        <v>74</v>
      </c>
      <c r="S50" t="s">
        <v>74</v>
      </c>
      <c r="T50" t="s">
        <v>74</v>
      </c>
      <c r="U50" t="s">
        <v>74</v>
      </c>
      <c r="V50" t="s">
        <v>74</v>
      </c>
      <c r="W50" t="s">
        <v>74</v>
      </c>
      <c r="X50" t="s">
        <v>74</v>
      </c>
      <c r="Y50" t="s">
        <v>74</v>
      </c>
      <c r="Z50" t="s">
        <v>74</v>
      </c>
      <c r="AA50" t="s">
        <v>4454</v>
      </c>
      <c r="AB50" t="s">
        <v>4455</v>
      </c>
      <c r="AC50" t="s">
        <v>74</v>
      </c>
      <c r="AD50" t="s">
        <v>74</v>
      </c>
      <c r="AE50" t="s">
        <v>74</v>
      </c>
      <c r="AF50" t="s">
        <v>74</v>
      </c>
      <c r="AG50" t="s">
        <v>74</v>
      </c>
      <c r="AH50" t="s">
        <v>74</v>
      </c>
      <c r="AI50" t="s">
        <v>74</v>
      </c>
      <c r="AJ50" t="s">
        <v>74</v>
      </c>
      <c r="AK50" t="s">
        <v>74</v>
      </c>
      <c r="AL50" t="s">
        <v>74</v>
      </c>
      <c r="AM50" t="s">
        <v>74</v>
      </c>
      <c r="AN50" t="s">
        <v>74</v>
      </c>
      <c r="AO50" t="s">
        <v>107</v>
      </c>
      <c r="AP50" t="s">
        <v>108</v>
      </c>
      <c r="AQ50" t="s">
        <v>74</v>
      </c>
      <c r="AR50" t="s">
        <v>74</v>
      </c>
      <c r="AS50" t="s">
        <v>74</v>
      </c>
      <c r="AT50" t="s">
        <v>3094</v>
      </c>
      <c r="AU50">
        <v>2013</v>
      </c>
      <c r="AV50">
        <v>35</v>
      </c>
      <c r="AW50">
        <v>2</v>
      </c>
      <c r="AX50" t="s">
        <v>74</v>
      </c>
      <c r="AY50" t="s">
        <v>74</v>
      </c>
      <c r="AZ50" t="s">
        <v>74</v>
      </c>
      <c r="BA50" t="s">
        <v>74</v>
      </c>
      <c r="BB50">
        <v>407</v>
      </c>
      <c r="BC50">
        <v>420</v>
      </c>
      <c r="BD50" t="s">
        <v>74</v>
      </c>
      <c r="BE50" t="s">
        <v>4456</v>
      </c>
      <c r="BF50" t="str">
        <f>HYPERLINK("http://dx.doi.org/10.1093/plankt/fbs104","http://dx.doi.org/10.1093/plankt/fbs104")</f>
        <v>http://dx.doi.org/10.1093/plankt/fbs104</v>
      </c>
      <c r="BG50" t="s">
        <v>74</v>
      </c>
      <c r="BH50" t="s">
        <v>74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 t="s">
        <v>4457</v>
      </c>
      <c r="BT50" t="str">
        <f>HYPERLINK("https%3A%2F%2Fwww.webofscience.com%2Fwos%2Fwoscc%2Ffull-record%2FWOS:000316129700014","View Full Record in Web of Science")</f>
        <v>View Full Record in Web of Science</v>
      </c>
    </row>
    <row r="51" spans="1:72" x14ac:dyDescent="0.2">
      <c r="A51" t="s">
        <v>72</v>
      </c>
      <c r="B51" t="s">
        <v>4546</v>
      </c>
      <c r="C51" t="s">
        <v>74</v>
      </c>
      <c r="D51" t="s">
        <v>74</v>
      </c>
      <c r="E51" t="s">
        <v>74</v>
      </c>
      <c r="F51" t="s">
        <v>4547</v>
      </c>
      <c r="G51" t="s">
        <v>74</v>
      </c>
      <c r="H51" t="s">
        <v>74</v>
      </c>
      <c r="I51" t="s">
        <v>4548</v>
      </c>
      <c r="J51" t="s">
        <v>3360</v>
      </c>
      <c r="K51" t="s">
        <v>74</v>
      </c>
      <c r="L51" t="s">
        <v>74</v>
      </c>
      <c r="M51" t="s">
        <v>74</v>
      </c>
      <c r="N51" t="s">
        <v>74</v>
      </c>
      <c r="O51" t="s">
        <v>74</v>
      </c>
      <c r="P51" t="s">
        <v>74</v>
      </c>
      <c r="Q51" t="s">
        <v>74</v>
      </c>
      <c r="R51" t="s">
        <v>74</v>
      </c>
      <c r="S51" t="s">
        <v>74</v>
      </c>
      <c r="T51" t="s">
        <v>74</v>
      </c>
      <c r="U51" t="s">
        <v>74</v>
      </c>
      <c r="V51" t="s">
        <v>74</v>
      </c>
      <c r="W51" t="s">
        <v>74</v>
      </c>
      <c r="X51" t="s">
        <v>74</v>
      </c>
      <c r="Y51" t="s">
        <v>74</v>
      </c>
      <c r="Z51" t="s">
        <v>74</v>
      </c>
      <c r="AA51" t="s">
        <v>4549</v>
      </c>
      <c r="AB51" t="s">
        <v>4550</v>
      </c>
      <c r="AC51" t="s">
        <v>74</v>
      </c>
      <c r="AD51" t="s">
        <v>74</v>
      </c>
      <c r="AE51" t="s">
        <v>74</v>
      </c>
      <c r="AF51" t="s">
        <v>74</v>
      </c>
      <c r="AG51" t="s">
        <v>74</v>
      </c>
      <c r="AH51" t="s">
        <v>74</v>
      </c>
      <c r="AI51" t="s">
        <v>74</v>
      </c>
      <c r="AJ51" t="s">
        <v>74</v>
      </c>
      <c r="AK51" t="s">
        <v>74</v>
      </c>
      <c r="AL51" t="s">
        <v>74</v>
      </c>
      <c r="AM51" t="s">
        <v>74</v>
      </c>
      <c r="AN51" t="s">
        <v>74</v>
      </c>
      <c r="AO51" t="s">
        <v>3363</v>
      </c>
      <c r="AP51" t="s">
        <v>3364</v>
      </c>
      <c r="AQ51" t="s">
        <v>74</v>
      </c>
      <c r="AR51" t="s">
        <v>74</v>
      </c>
      <c r="AS51" t="s">
        <v>74</v>
      </c>
      <c r="AT51" t="s">
        <v>335</v>
      </c>
      <c r="AU51">
        <v>2012</v>
      </c>
      <c r="AV51">
        <v>159</v>
      </c>
      <c r="AW51">
        <v>11</v>
      </c>
      <c r="AX51" t="s">
        <v>74</v>
      </c>
      <c r="AY51" t="s">
        <v>74</v>
      </c>
      <c r="AZ51" t="s">
        <v>632</v>
      </c>
      <c r="BA51" t="s">
        <v>74</v>
      </c>
      <c r="BB51">
        <v>2367</v>
      </c>
      <c r="BC51">
        <v>2377</v>
      </c>
      <c r="BD51" t="s">
        <v>74</v>
      </c>
      <c r="BE51" t="s">
        <v>4551</v>
      </c>
      <c r="BF51" t="str">
        <f>HYPERLINK("http://dx.doi.org/10.1007/s00227-012-2085-4","http://dx.doi.org/10.1007/s00227-012-2085-4")</f>
        <v>http://dx.doi.org/10.1007/s00227-012-2085-4</v>
      </c>
      <c r="BG51" t="s">
        <v>74</v>
      </c>
      <c r="BH51" t="s">
        <v>74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74</v>
      </c>
      <c r="BP51" t="s">
        <v>74</v>
      </c>
      <c r="BQ51" t="s">
        <v>74</v>
      </c>
      <c r="BR51" t="s">
        <v>74</v>
      </c>
      <c r="BS51" t="s">
        <v>4552</v>
      </c>
      <c r="BT51" t="str">
        <f>HYPERLINK("https%3A%2F%2Fwww.webofscience.com%2Fwos%2Fwoscc%2Ffull-record%2FWOS:000310586900001","View Full Record in Web of Science")</f>
        <v>View Full Record in Web of Science</v>
      </c>
    </row>
    <row r="52" spans="1:72" x14ac:dyDescent="0.2">
      <c r="A52" t="s">
        <v>72</v>
      </c>
      <c r="B52" t="s">
        <v>4570</v>
      </c>
      <c r="C52" t="s">
        <v>74</v>
      </c>
      <c r="D52" t="s">
        <v>74</v>
      </c>
      <c r="E52" t="s">
        <v>74</v>
      </c>
      <c r="F52" t="s">
        <v>4571</v>
      </c>
      <c r="G52" t="s">
        <v>74</v>
      </c>
      <c r="H52" t="s">
        <v>74</v>
      </c>
      <c r="I52" t="s">
        <v>4572</v>
      </c>
      <c r="J52" t="s">
        <v>4573</v>
      </c>
      <c r="K52" t="s">
        <v>74</v>
      </c>
      <c r="L52" t="s">
        <v>74</v>
      </c>
      <c r="M52" t="s">
        <v>74</v>
      </c>
      <c r="N52" t="s">
        <v>74</v>
      </c>
      <c r="O52" t="s">
        <v>74</v>
      </c>
      <c r="P52" t="s">
        <v>74</v>
      </c>
      <c r="Q52" t="s">
        <v>74</v>
      </c>
      <c r="R52" t="s">
        <v>74</v>
      </c>
      <c r="S52" t="s">
        <v>74</v>
      </c>
      <c r="T52" t="s">
        <v>74</v>
      </c>
      <c r="U52" t="s">
        <v>74</v>
      </c>
      <c r="V52" t="s">
        <v>74</v>
      </c>
      <c r="W52" t="s">
        <v>74</v>
      </c>
      <c r="X52" t="s">
        <v>74</v>
      </c>
      <c r="Y52" t="s">
        <v>74</v>
      </c>
      <c r="Z52" t="s">
        <v>74</v>
      </c>
      <c r="AA52" t="s">
        <v>74</v>
      </c>
      <c r="AB52" t="s">
        <v>74</v>
      </c>
      <c r="AC52" t="s">
        <v>74</v>
      </c>
      <c r="AD52" t="s">
        <v>74</v>
      </c>
      <c r="AE52" t="s">
        <v>74</v>
      </c>
      <c r="AF52" t="s">
        <v>74</v>
      </c>
      <c r="AG52" t="s">
        <v>74</v>
      </c>
      <c r="AH52" t="s">
        <v>74</v>
      </c>
      <c r="AI52" t="s">
        <v>74</v>
      </c>
      <c r="AJ52" t="s">
        <v>74</v>
      </c>
      <c r="AK52" t="s">
        <v>74</v>
      </c>
      <c r="AL52" t="s">
        <v>74</v>
      </c>
      <c r="AM52" t="s">
        <v>74</v>
      </c>
      <c r="AN52" t="s">
        <v>74</v>
      </c>
      <c r="AO52" t="s">
        <v>4574</v>
      </c>
      <c r="AP52" t="s">
        <v>4575</v>
      </c>
      <c r="AQ52" t="s">
        <v>74</v>
      </c>
      <c r="AR52" t="s">
        <v>74</v>
      </c>
      <c r="AS52" t="s">
        <v>74</v>
      </c>
      <c r="AT52" t="s">
        <v>451</v>
      </c>
      <c r="AU52">
        <v>2012</v>
      </c>
      <c r="AV52">
        <v>15</v>
      </c>
      <c r="AW52">
        <v>6</v>
      </c>
      <c r="AX52" t="s">
        <v>74</v>
      </c>
      <c r="AY52" t="s">
        <v>74</v>
      </c>
      <c r="AZ52" t="s">
        <v>74</v>
      </c>
      <c r="BA52" t="s">
        <v>74</v>
      </c>
      <c r="BB52">
        <v>1010</v>
      </c>
      <c r="BC52">
        <v>1026</v>
      </c>
      <c r="BD52" t="s">
        <v>74</v>
      </c>
      <c r="BE52" t="s">
        <v>4576</v>
      </c>
      <c r="BF52" t="str">
        <f>HYPERLINK("http://dx.doi.org/10.1007/s10021-012-9560-0","http://dx.doi.org/10.1007/s10021-012-9560-0")</f>
        <v>http://dx.doi.org/10.1007/s10021-012-9560-0</v>
      </c>
      <c r="BG52" t="s">
        <v>74</v>
      </c>
      <c r="BH52" t="s">
        <v>74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 t="s">
        <v>74</v>
      </c>
      <c r="BO52" t="s">
        <v>74</v>
      </c>
      <c r="BP52" t="s">
        <v>74</v>
      </c>
      <c r="BQ52" t="s">
        <v>74</v>
      </c>
      <c r="BR52" t="s">
        <v>74</v>
      </c>
      <c r="BS52" t="s">
        <v>4577</v>
      </c>
      <c r="BT52" t="str">
        <f>HYPERLINK("https%3A%2F%2Fwww.webofscience.com%2Fwos%2Fwoscc%2Ffull-record%2FWOS:000307763700012","View Full Record in Web of Science")</f>
        <v>View Full Record in Web of Science</v>
      </c>
    </row>
    <row r="53" spans="1:72" x14ac:dyDescent="0.2">
      <c r="A53" t="s">
        <v>72</v>
      </c>
      <c r="B53" t="s">
        <v>4681</v>
      </c>
      <c r="C53" t="s">
        <v>74</v>
      </c>
      <c r="D53" t="s">
        <v>74</v>
      </c>
      <c r="E53" t="s">
        <v>74</v>
      </c>
      <c r="F53" t="s">
        <v>4682</v>
      </c>
      <c r="G53" t="s">
        <v>74</v>
      </c>
      <c r="H53" t="s">
        <v>74</v>
      </c>
      <c r="I53" t="s">
        <v>4683</v>
      </c>
      <c r="J53" t="s">
        <v>227</v>
      </c>
      <c r="K53" t="s">
        <v>74</v>
      </c>
      <c r="L53" t="s">
        <v>74</v>
      </c>
      <c r="M53" t="s">
        <v>74</v>
      </c>
      <c r="N53" t="s">
        <v>74</v>
      </c>
      <c r="O53" t="s">
        <v>74</v>
      </c>
      <c r="P53" t="s">
        <v>74</v>
      </c>
      <c r="Q53" t="s">
        <v>74</v>
      </c>
      <c r="R53" t="s">
        <v>74</v>
      </c>
      <c r="S53" t="s">
        <v>74</v>
      </c>
      <c r="T53" t="s">
        <v>74</v>
      </c>
      <c r="U53" t="s">
        <v>74</v>
      </c>
      <c r="V53" t="s">
        <v>74</v>
      </c>
      <c r="W53" t="s">
        <v>74</v>
      </c>
      <c r="X53" t="s">
        <v>74</v>
      </c>
      <c r="Y53" t="s">
        <v>74</v>
      </c>
      <c r="Z53" t="s">
        <v>74</v>
      </c>
      <c r="AA53" t="s">
        <v>4684</v>
      </c>
      <c r="AB53" t="s">
        <v>7123</v>
      </c>
      <c r="AC53" t="s">
        <v>74</v>
      </c>
      <c r="AD53" t="s">
        <v>74</v>
      </c>
      <c r="AE53" t="s">
        <v>74</v>
      </c>
      <c r="AF53" t="s">
        <v>74</v>
      </c>
      <c r="AG53" t="s">
        <v>74</v>
      </c>
      <c r="AH53" t="s">
        <v>74</v>
      </c>
      <c r="AI53" t="s">
        <v>74</v>
      </c>
      <c r="AJ53" t="s">
        <v>74</v>
      </c>
      <c r="AK53" t="s">
        <v>74</v>
      </c>
      <c r="AL53" t="s">
        <v>74</v>
      </c>
      <c r="AM53" t="s">
        <v>74</v>
      </c>
      <c r="AN53" t="s">
        <v>74</v>
      </c>
      <c r="AO53" t="s">
        <v>230</v>
      </c>
      <c r="AP53" t="s">
        <v>231</v>
      </c>
      <c r="AQ53" t="s">
        <v>74</v>
      </c>
      <c r="AR53" t="s">
        <v>74</v>
      </c>
      <c r="AS53" t="s">
        <v>74</v>
      </c>
      <c r="AT53" t="s">
        <v>157</v>
      </c>
      <c r="AU53">
        <v>2012</v>
      </c>
      <c r="AV53">
        <v>57</v>
      </c>
      <c r="AW53">
        <v>2</v>
      </c>
      <c r="AX53" t="s">
        <v>74</v>
      </c>
      <c r="AY53" t="s">
        <v>74</v>
      </c>
      <c r="AZ53" t="s">
        <v>74</v>
      </c>
      <c r="BA53" t="s">
        <v>74</v>
      </c>
      <c r="BB53">
        <v>554</v>
      </c>
      <c r="BC53">
        <v>566</v>
      </c>
      <c r="BD53" t="s">
        <v>74</v>
      </c>
      <c r="BE53" t="s">
        <v>4685</v>
      </c>
      <c r="BF53" t="str">
        <f>HYPERLINK("http://dx.doi.org/10.4319/lo.2012.57.2.0554","http://dx.doi.org/10.4319/lo.2012.57.2.0554")</f>
        <v>http://dx.doi.org/10.4319/lo.2012.57.2.0554</v>
      </c>
      <c r="BG53" t="s">
        <v>74</v>
      </c>
      <c r="BH53" t="s">
        <v>74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 t="s">
        <v>74</v>
      </c>
      <c r="BR53" t="s">
        <v>74</v>
      </c>
      <c r="BS53" t="s">
        <v>4686</v>
      </c>
      <c r="BT53" t="str">
        <f>HYPERLINK("https%3A%2F%2Fwww.webofscience.com%2Fwos%2Fwoscc%2Ffull-record%2FWOS:000302613200014","View Full Record in Web of Science")</f>
        <v>View Full Record in Web of Science</v>
      </c>
    </row>
    <row r="54" spans="1:72" x14ac:dyDescent="0.2">
      <c r="A54" t="s">
        <v>72</v>
      </c>
      <c r="B54" t="s">
        <v>4801</v>
      </c>
      <c r="C54" t="s">
        <v>74</v>
      </c>
      <c r="D54" t="s">
        <v>74</v>
      </c>
      <c r="E54" t="s">
        <v>74</v>
      </c>
      <c r="F54" t="s">
        <v>4802</v>
      </c>
      <c r="G54" t="s">
        <v>74</v>
      </c>
      <c r="H54" t="s">
        <v>74</v>
      </c>
      <c r="I54" t="s">
        <v>4803</v>
      </c>
      <c r="J54" t="s">
        <v>1523</v>
      </c>
      <c r="K54" t="s">
        <v>74</v>
      </c>
      <c r="L54" t="s">
        <v>74</v>
      </c>
      <c r="M54" t="s">
        <v>74</v>
      </c>
      <c r="N54" t="s">
        <v>74</v>
      </c>
      <c r="O54" t="s">
        <v>74</v>
      </c>
      <c r="P54" t="s">
        <v>74</v>
      </c>
      <c r="Q54" t="s">
        <v>74</v>
      </c>
      <c r="R54" t="s">
        <v>74</v>
      </c>
      <c r="S54" t="s">
        <v>74</v>
      </c>
      <c r="T54" t="s">
        <v>74</v>
      </c>
      <c r="U54" t="s">
        <v>74</v>
      </c>
      <c r="V54" t="s">
        <v>74</v>
      </c>
      <c r="W54" t="s">
        <v>74</v>
      </c>
      <c r="X54" t="s">
        <v>74</v>
      </c>
      <c r="Y54" t="s">
        <v>74</v>
      </c>
      <c r="Z54" t="s">
        <v>74</v>
      </c>
      <c r="AA54" t="s">
        <v>4383</v>
      </c>
      <c r="AB54" t="s">
        <v>4804</v>
      </c>
      <c r="AC54" t="s">
        <v>74</v>
      </c>
      <c r="AD54" t="s">
        <v>74</v>
      </c>
      <c r="AE54" t="s">
        <v>74</v>
      </c>
      <c r="AF54" t="s">
        <v>74</v>
      </c>
      <c r="AG54" t="s">
        <v>74</v>
      </c>
      <c r="AH54" t="s">
        <v>74</v>
      </c>
      <c r="AI54" t="s">
        <v>74</v>
      </c>
      <c r="AJ54" t="s">
        <v>74</v>
      </c>
      <c r="AK54" t="s">
        <v>74</v>
      </c>
      <c r="AL54" t="s">
        <v>74</v>
      </c>
      <c r="AM54" t="s">
        <v>74</v>
      </c>
      <c r="AN54" t="s">
        <v>74</v>
      </c>
      <c r="AO54" t="s">
        <v>1524</v>
      </c>
      <c r="AP54" t="s">
        <v>1525</v>
      </c>
      <c r="AQ54" t="s">
        <v>74</v>
      </c>
      <c r="AR54" t="s">
        <v>74</v>
      </c>
      <c r="AS54" t="s">
        <v>74</v>
      </c>
      <c r="AT54" t="s">
        <v>335</v>
      </c>
      <c r="AU54">
        <v>2011</v>
      </c>
      <c r="AV54">
        <v>92</v>
      </c>
      <c r="AW54">
        <v>11</v>
      </c>
      <c r="AX54" t="s">
        <v>74</v>
      </c>
      <c r="AY54" t="s">
        <v>74</v>
      </c>
      <c r="AZ54" t="s">
        <v>74</v>
      </c>
      <c r="BA54" t="s">
        <v>74</v>
      </c>
      <c r="BB54">
        <v>2085</v>
      </c>
      <c r="BC54">
        <v>2095</v>
      </c>
      <c r="BD54" t="s">
        <v>74</v>
      </c>
      <c r="BE54" t="s">
        <v>4805</v>
      </c>
      <c r="BF54" t="str">
        <f>HYPERLINK("http://dx.doi.org/10.1890/11-0395.1","http://dx.doi.org/10.1890/11-0395.1")</f>
        <v>http://dx.doi.org/10.1890/11-0395.1</v>
      </c>
      <c r="BG54" t="s">
        <v>74</v>
      </c>
      <c r="BH54" t="s">
        <v>74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>
        <v>22164833</v>
      </c>
      <c r="BO54" t="s">
        <v>74</v>
      </c>
      <c r="BP54" t="s">
        <v>74</v>
      </c>
      <c r="BQ54" t="s">
        <v>74</v>
      </c>
      <c r="BR54" t="s">
        <v>74</v>
      </c>
      <c r="BS54" t="s">
        <v>4806</v>
      </c>
      <c r="BT54" t="str">
        <f>HYPERLINK("https%3A%2F%2Fwww.webofscience.com%2Fwos%2Fwoscc%2Ffull-record%2FWOS:000296426000010","View Full Record in Web of Science")</f>
        <v>View Full Record in Web of Science</v>
      </c>
    </row>
    <row r="55" spans="1:72" x14ac:dyDescent="0.2">
      <c r="A55" t="s">
        <v>72</v>
      </c>
      <c r="B55" t="s">
        <v>4961</v>
      </c>
      <c r="C55" t="s">
        <v>74</v>
      </c>
      <c r="D55" t="s">
        <v>74</v>
      </c>
      <c r="E55" t="s">
        <v>74</v>
      </c>
      <c r="F55" t="s">
        <v>4962</v>
      </c>
      <c r="G55" t="s">
        <v>74</v>
      </c>
      <c r="H55" t="s">
        <v>74</v>
      </c>
      <c r="I55" t="s">
        <v>4963</v>
      </c>
      <c r="J55" t="s">
        <v>227</v>
      </c>
      <c r="K55" t="s">
        <v>74</v>
      </c>
      <c r="L55" t="s">
        <v>74</v>
      </c>
      <c r="M55" t="s">
        <v>74</v>
      </c>
      <c r="N55" t="s">
        <v>74</v>
      </c>
      <c r="O55" t="s">
        <v>74</v>
      </c>
      <c r="P55" t="s">
        <v>74</v>
      </c>
      <c r="Q55" t="s">
        <v>74</v>
      </c>
      <c r="R55" t="s">
        <v>74</v>
      </c>
      <c r="S55" t="s">
        <v>74</v>
      </c>
      <c r="T55" t="s">
        <v>74</v>
      </c>
      <c r="U55" t="s">
        <v>74</v>
      </c>
      <c r="V55" t="s">
        <v>74</v>
      </c>
      <c r="W55" t="s">
        <v>74</v>
      </c>
      <c r="X55" t="s">
        <v>74</v>
      </c>
      <c r="Y55" t="s">
        <v>74</v>
      </c>
      <c r="Z55" t="s">
        <v>74</v>
      </c>
      <c r="AA55" t="s">
        <v>7134</v>
      </c>
      <c r="AB55" t="s">
        <v>4804</v>
      </c>
      <c r="AC55" t="s">
        <v>74</v>
      </c>
      <c r="AD55" t="s">
        <v>74</v>
      </c>
      <c r="AE55" t="s">
        <v>74</v>
      </c>
      <c r="AF55" t="s">
        <v>74</v>
      </c>
      <c r="AG55" t="s">
        <v>74</v>
      </c>
      <c r="AH55" t="s">
        <v>74</v>
      </c>
      <c r="AI55" t="s">
        <v>74</v>
      </c>
      <c r="AJ55" t="s">
        <v>74</v>
      </c>
      <c r="AK55" t="s">
        <v>74</v>
      </c>
      <c r="AL55" t="s">
        <v>74</v>
      </c>
      <c r="AM55" t="s">
        <v>74</v>
      </c>
      <c r="AN55" t="s">
        <v>74</v>
      </c>
      <c r="AO55" t="s">
        <v>230</v>
      </c>
      <c r="AP55" t="s">
        <v>231</v>
      </c>
      <c r="AQ55" t="s">
        <v>74</v>
      </c>
      <c r="AR55" t="s">
        <v>74</v>
      </c>
      <c r="AS55" t="s">
        <v>74</v>
      </c>
      <c r="AT55" t="s">
        <v>157</v>
      </c>
      <c r="AU55">
        <v>2011</v>
      </c>
      <c r="AV55">
        <v>56</v>
      </c>
      <c r="AW55">
        <v>2</v>
      </c>
      <c r="AX55" t="s">
        <v>74</v>
      </c>
      <c r="AY55" t="s">
        <v>74</v>
      </c>
      <c r="AZ55" t="s">
        <v>74</v>
      </c>
      <c r="BA55" t="s">
        <v>74</v>
      </c>
      <c r="BB55">
        <v>589</v>
      </c>
      <c r="BC55">
        <v>598</v>
      </c>
      <c r="BD55" t="s">
        <v>74</v>
      </c>
      <c r="BE55" t="s">
        <v>4964</v>
      </c>
      <c r="BF55" t="str">
        <f>HYPERLINK("http://dx.doi.org/10.4319/lo.2011.56.2.0589","http://dx.doi.org/10.4319/lo.2011.56.2.0589")</f>
        <v>http://dx.doi.org/10.4319/lo.2011.56.2.0589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 t="s">
        <v>74</v>
      </c>
      <c r="BO55" t="s">
        <v>74</v>
      </c>
      <c r="BP55" t="s">
        <v>74</v>
      </c>
      <c r="BQ55" t="s">
        <v>74</v>
      </c>
      <c r="BR55" t="s">
        <v>74</v>
      </c>
      <c r="BS55" t="s">
        <v>4965</v>
      </c>
      <c r="BT55" t="str">
        <f>HYPERLINK("https%3A%2F%2Fwww.webofscience.com%2Fwos%2Fwoscc%2Ffull-record%2FWOS:000290677800015","View Full Record in Web of Science")</f>
        <v>View Full Record in Web of Science</v>
      </c>
    </row>
    <row r="56" spans="1:72" x14ac:dyDescent="0.2">
      <c r="A56" t="s">
        <v>72</v>
      </c>
      <c r="B56" t="s">
        <v>4973</v>
      </c>
      <c r="C56" t="s">
        <v>74</v>
      </c>
      <c r="D56" t="s">
        <v>74</v>
      </c>
      <c r="E56" t="s">
        <v>74</v>
      </c>
      <c r="F56" t="s">
        <v>4974</v>
      </c>
      <c r="G56" t="s">
        <v>74</v>
      </c>
      <c r="H56" t="s">
        <v>74</v>
      </c>
      <c r="I56" t="s">
        <v>4975</v>
      </c>
      <c r="J56" t="s">
        <v>1716</v>
      </c>
      <c r="K56" t="s">
        <v>74</v>
      </c>
      <c r="L56" t="s">
        <v>74</v>
      </c>
      <c r="M56" t="s">
        <v>74</v>
      </c>
      <c r="N56" t="s">
        <v>74</v>
      </c>
      <c r="O56" t="s">
        <v>74</v>
      </c>
      <c r="P56" t="s">
        <v>74</v>
      </c>
      <c r="Q56" t="s">
        <v>74</v>
      </c>
      <c r="R56" t="s">
        <v>74</v>
      </c>
      <c r="S56" t="s">
        <v>74</v>
      </c>
      <c r="T56" t="s">
        <v>74</v>
      </c>
      <c r="U56" t="s">
        <v>74</v>
      </c>
      <c r="V56" t="s">
        <v>74</v>
      </c>
      <c r="W56" t="s">
        <v>74</v>
      </c>
      <c r="X56" t="s">
        <v>74</v>
      </c>
      <c r="Y56" t="s">
        <v>74</v>
      </c>
      <c r="Z56" t="s">
        <v>74</v>
      </c>
      <c r="AA56" t="s">
        <v>74</v>
      </c>
      <c r="AB56" t="s">
        <v>4976</v>
      </c>
      <c r="AC56" t="s">
        <v>74</v>
      </c>
      <c r="AD56" t="s">
        <v>74</v>
      </c>
      <c r="AE56" t="s">
        <v>74</v>
      </c>
      <c r="AF56" t="s">
        <v>74</v>
      </c>
      <c r="AG56" t="s">
        <v>74</v>
      </c>
      <c r="AH56" t="s">
        <v>74</v>
      </c>
      <c r="AI56" t="s">
        <v>74</v>
      </c>
      <c r="AJ56" t="s">
        <v>74</v>
      </c>
      <c r="AK56" t="s">
        <v>74</v>
      </c>
      <c r="AL56" t="s">
        <v>74</v>
      </c>
      <c r="AM56" t="s">
        <v>74</v>
      </c>
      <c r="AN56" t="s">
        <v>74</v>
      </c>
      <c r="AO56" t="s">
        <v>1717</v>
      </c>
      <c r="AP56" t="s">
        <v>1718</v>
      </c>
      <c r="AQ56" t="s">
        <v>74</v>
      </c>
      <c r="AR56" t="s">
        <v>74</v>
      </c>
      <c r="AS56" t="s">
        <v>74</v>
      </c>
      <c r="AT56" t="s">
        <v>416</v>
      </c>
      <c r="AU56">
        <v>2011</v>
      </c>
      <c r="AV56">
        <v>47</v>
      </c>
      <c r="AW56">
        <v>1</v>
      </c>
      <c r="AX56" t="s">
        <v>74</v>
      </c>
      <c r="AY56" t="s">
        <v>74</v>
      </c>
      <c r="AZ56" t="s">
        <v>74</v>
      </c>
      <c r="BA56" t="s">
        <v>74</v>
      </c>
      <c r="BB56">
        <v>52</v>
      </c>
      <c r="BC56">
        <v>65</v>
      </c>
      <c r="BD56" t="s">
        <v>74</v>
      </c>
      <c r="BE56" t="s">
        <v>4977</v>
      </c>
      <c r="BF56" t="str">
        <f>HYPERLINK("http://dx.doi.org/10.1111/j.1529-8817.2010.00946.x","http://dx.doi.org/10.1111/j.1529-8817.2010.00946.x")</f>
        <v>http://dx.doi.org/10.1111/j.1529-8817.2010.00946.x</v>
      </c>
      <c r="BG56" t="s">
        <v>74</v>
      </c>
      <c r="BH56" t="s">
        <v>74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>
        <v>27021710</v>
      </c>
      <c r="BO56" t="s">
        <v>74</v>
      </c>
      <c r="BP56" t="s">
        <v>74</v>
      </c>
      <c r="BQ56" t="s">
        <v>74</v>
      </c>
      <c r="BR56" t="s">
        <v>74</v>
      </c>
      <c r="BS56" t="s">
        <v>4978</v>
      </c>
      <c r="BT56" t="str">
        <f>HYPERLINK("https%3A%2F%2Fwww.webofscience.com%2Fwos%2Fwoscc%2Ffull-record%2FWOS:000287492700007","View Full Record in Web of Science")</f>
        <v>View Full Record in Web of Science</v>
      </c>
    </row>
    <row r="57" spans="1:72" x14ac:dyDescent="0.2">
      <c r="A57" t="s">
        <v>72</v>
      </c>
      <c r="B57" t="s">
        <v>5266</v>
      </c>
      <c r="C57" t="s">
        <v>74</v>
      </c>
      <c r="D57" t="s">
        <v>74</v>
      </c>
      <c r="E57" t="s">
        <v>74</v>
      </c>
      <c r="F57" t="s">
        <v>5267</v>
      </c>
      <c r="G57" t="s">
        <v>74</v>
      </c>
      <c r="H57" t="s">
        <v>74</v>
      </c>
      <c r="I57" t="s">
        <v>5268</v>
      </c>
      <c r="J57" t="s">
        <v>1299</v>
      </c>
      <c r="K57" t="s">
        <v>74</v>
      </c>
      <c r="L57" t="s">
        <v>74</v>
      </c>
      <c r="M57" t="s">
        <v>74</v>
      </c>
      <c r="N57" t="s">
        <v>74</v>
      </c>
      <c r="O57" t="s">
        <v>74</v>
      </c>
      <c r="P57" t="s">
        <v>74</v>
      </c>
      <c r="Q57" t="s">
        <v>74</v>
      </c>
      <c r="R57" t="s">
        <v>74</v>
      </c>
      <c r="S57" t="s">
        <v>74</v>
      </c>
      <c r="T57" t="s">
        <v>74</v>
      </c>
      <c r="U57" t="s">
        <v>74</v>
      </c>
      <c r="V57" t="s">
        <v>74</v>
      </c>
      <c r="W57" t="s">
        <v>74</v>
      </c>
      <c r="X57" t="s">
        <v>74</v>
      </c>
      <c r="Y57" t="s">
        <v>74</v>
      </c>
      <c r="Z57" t="s">
        <v>74</v>
      </c>
      <c r="AA57" t="s">
        <v>5747</v>
      </c>
      <c r="AB57" t="s">
        <v>7152</v>
      </c>
      <c r="AC57" t="s">
        <v>74</v>
      </c>
      <c r="AD57" t="s">
        <v>74</v>
      </c>
      <c r="AE57" t="s">
        <v>74</v>
      </c>
      <c r="AF57" t="s">
        <v>74</v>
      </c>
      <c r="AG57" t="s">
        <v>74</v>
      </c>
      <c r="AH57" t="s">
        <v>74</v>
      </c>
      <c r="AI57" t="s">
        <v>74</v>
      </c>
      <c r="AJ57" t="s">
        <v>74</v>
      </c>
      <c r="AK57" t="s">
        <v>74</v>
      </c>
      <c r="AL57" t="s">
        <v>74</v>
      </c>
      <c r="AM57" t="s">
        <v>74</v>
      </c>
      <c r="AN57" t="s">
        <v>74</v>
      </c>
      <c r="AO57" t="s">
        <v>1302</v>
      </c>
      <c r="AP57" t="s">
        <v>1303</v>
      </c>
      <c r="AQ57" t="s">
        <v>74</v>
      </c>
      <c r="AR57" t="s">
        <v>74</v>
      </c>
      <c r="AS57" t="s">
        <v>74</v>
      </c>
      <c r="AT57" t="s">
        <v>416</v>
      </c>
      <c r="AU57">
        <v>2009</v>
      </c>
      <c r="AV57">
        <v>159</v>
      </c>
      <c r="AW57">
        <v>1</v>
      </c>
      <c r="AX57" t="s">
        <v>74</v>
      </c>
      <c r="AY57" t="s">
        <v>74</v>
      </c>
      <c r="AZ57" t="s">
        <v>74</v>
      </c>
      <c r="BA57" t="s">
        <v>74</v>
      </c>
      <c r="BB57">
        <v>151</v>
      </c>
      <c r="BC57">
        <v>159</v>
      </c>
      <c r="BD57" t="s">
        <v>74</v>
      </c>
      <c r="BE57" t="s">
        <v>5269</v>
      </c>
      <c r="BF57" t="str">
        <f>HYPERLINK("http://dx.doi.org/10.1007/s00442-008-1174-z","http://dx.doi.org/10.1007/s00442-008-1174-z")</f>
        <v>http://dx.doi.org/10.1007/s00442-008-1174-z</v>
      </c>
      <c r="BG57" t="s">
        <v>74</v>
      </c>
      <c r="BH57" t="s">
        <v>74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>
        <v>18941791</v>
      </c>
      <c r="BO57" t="s">
        <v>74</v>
      </c>
      <c r="BP57" t="s">
        <v>74</v>
      </c>
      <c r="BQ57" t="s">
        <v>74</v>
      </c>
      <c r="BR57" t="s">
        <v>74</v>
      </c>
      <c r="BS57" t="s">
        <v>5270</v>
      </c>
      <c r="BT57" t="str">
        <f>HYPERLINK("https%3A%2F%2Fwww.webofscience.com%2Fwos%2Fwoscc%2Ffull-record%2FWOS:000262576700014","View Full Record in Web of Science")</f>
        <v>View Full Record in Web of Science</v>
      </c>
    </row>
    <row r="58" spans="1:72" x14ac:dyDescent="0.2">
      <c r="A58" t="s">
        <v>72</v>
      </c>
      <c r="B58" t="s">
        <v>5559</v>
      </c>
      <c r="C58" t="s">
        <v>74</v>
      </c>
      <c r="D58" t="s">
        <v>74</v>
      </c>
      <c r="E58" t="s">
        <v>74</v>
      </c>
      <c r="F58" t="s">
        <v>5560</v>
      </c>
      <c r="G58" t="s">
        <v>74</v>
      </c>
      <c r="H58" t="s">
        <v>74</v>
      </c>
      <c r="I58" t="s">
        <v>5561</v>
      </c>
      <c r="J58" t="s">
        <v>423</v>
      </c>
      <c r="K58" t="s">
        <v>74</v>
      </c>
      <c r="L58" t="s">
        <v>74</v>
      </c>
      <c r="M58" t="s">
        <v>74</v>
      </c>
      <c r="N58" t="s">
        <v>74</v>
      </c>
      <c r="O58" t="s">
        <v>74</v>
      </c>
      <c r="P58" t="s">
        <v>74</v>
      </c>
      <c r="Q58" t="s">
        <v>74</v>
      </c>
      <c r="R58" t="s">
        <v>74</v>
      </c>
      <c r="S58" t="s">
        <v>74</v>
      </c>
      <c r="T58" t="s">
        <v>74</v>
      </c>
      <c r="U58" t="s">
        <v>74</v>
      </c>
      <c r="V58" t="s">
        <v>74</v>
      </c>
      <c r="W58" t="s">
        <v>74</v>
      </c>
      <c r="X58" t="s">
        <v>74</v>
      </c>
      <c r="Y58" t="s">
        <v>74</v>
      </c>
      <c r="Z58" t="s">
        <v>74</v>
      </c>
      <c r="AA58" t="s">
        <v>7162</v>
      </c>
      <c r="AB58" t="s">
        <v>5562</v>
      </c>
      <c r="AC58" t="s">
        <v>74</v>
      </c>
      <c r="AD58" t="s">
        <v>74</v>
      </c>
      <c r="AE58" t="s">
        <v>74</v>
      </c>
      <c r="AF58" t="s">
        <v>74</v>
      </c>
      <c r="AG58" t="s">
        <v>74</v>
      </c>
      <c r="AH58" t="s">
        <v>74</v>
      </c>
      <c r="AI58" t="s">
        <v>74</v>
      </c>
      <c r="AJ58" t="s">
        <v>74</v>
      </c>
      <c r="AK58" t="s">
        <v>74</v>
      </c>
      <c r="AL58" t="s">
        <v>74</v>
      </c>
      <c r="AM58" t="s">
        <v>74</v>
      </c>
      <c r="AN58" t="s">
        <v>74</v>
      </c>
      <c r="AO58" t="s">
        <v>425</v>
      </c>
      <c r="AP58" t="s">
        <v>426</v>
      </c>
      <c r="AQ58" t="s">
        <v>74</v>
      </c>
      <c r="AR58" t="s">
        <v>74</v>
      </c>
      <c r="AS58" t="s">
        <v>74</v>
      </c>
      <c r="AT58" t="s">
        <v>575</v>
      </c>
      <c r="AU58">
        <v>2007</v>
      </c>
      <c r="AV58">
        <v>52</v>
      </c>
      <c r="AW58">
        <v>5</v>
      </c>
      <c r="AX58" t="s">
        <v>74</v>
      </c>
      <c r="AY58" t="s">
        <v>74</v>
      </c>
      <c r="AZ58" t="s">
        <v>74</v>
      </c>
      <c r="BA58" t="s">
        <v>74</v>
      </c>
      <c r="BB58">
        <v>796</v>
      </c>
      <c r="BC58">
        <v>813</v>
      </c>
      <c r="BD58" t="s">
        <v>74</v>
      </c>
      <c r="BE58" t="s">
        <v>5563</v>
      </c>
      <c r="BF58" t="str">
        <f>HYPERLINK("http://dx.doi.org/10.1111/j.1365-2427.2007.01733.x","http://dx.doi.org/10.1111/j.1365-2427.2007.01733.x")</f>
        <v>http://dx.doi.org/10.1111/j.1365-2427.2007.01733.x</v>
      </c>
      <c r="BG58" t="s">
        <v>74</v>
      </c>
      <c r="BH58" t="s">
        <v>74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 t="s">
        <v>74</v>
      </c>
      <c r="BR58" t="s">
        <v>74</v>
      </c>
      <c r="BS58" t="s">
        <v>5564</v>
      </c>
      <c r="BT58" t="str">
        <f>HYPERLINK("https%3A%2F%2Fwww.webofscience.com%2Fwos%2Fwoscc%2Ffull-record%2FWOS:000245987200003","View Full Record in Web of Science")</f>
        <v>View Full Record in Web of Science</v>
      </c>
    </row>
    <row r="59" spans="1:72" x14ac:dyDescent="0.2">
      <c r="A59" t="s">
        <v>72</v>
      </c>
      <c r="B59" t="s">
        <v>5992</v>
      </c>
      <c r="C59" t="s">
        <v>74</v>
      </c>
      <c r="D59" t="s">
        <v>74</v>
      </c>
      <c r="E59" t="s">
        <v>74</v>
      </c>
      <c r="F59" t="s">
        <v>5992</v>
      </c>
      <c r="G59" t="s">
        <v>74</v>
      </c>
      <c r="H59" t="s">
        <v>74</v>
      </c>
      <c r="I59" t="s">
        <v>5993</v>
      </c>
      <c r="J59" t="s">
        <v>360</v>
      </c>
      <c r="K59" t="s">
        <v>74</v>
      </c>
      <c r="L59" t="s">
        <v>74</v>
      </c>
      <c r="M59" t="s">
        <v>74</v>
      </c>
      <c r="N59" t="s">
        <v>74</v>
      </c>
      <c r="O59" t="s">
        <v>74</v>
      </c>
      <c r="P59" t="s">
        <v>74</v>
      </c>
      <c r="Q59" t="s">
        <v>74</v>
      </c>
      <c r="R59" t="s">
        <v>74</v>
      </c>
      <c r="S59" t="s">
        <v>74</v>
      </c>
      <c r="T59" t="s">
        <v>74</v>
      </c>
      <c r="U59" t="s">
        <v>74</v>
      </c>
      <c r="V59" t="s">
        <v>74</v>
      </c>
      <c r="W59" t="s">
        <v>74</v>
      </c>
      <c r="X59" t="s">
        <v>74</v>
      </c>
      <c r="Y59" t="s">
        <v>74</v>
      </c>
      <c r="Z59" t="s">
        <v>74</v>
      </c>
      <c r="AA59" t="s">
        <v>5333</v>
      </c>
      <c r="AB59" t="s">
        <v>5994</v>
      </c>
      <c r="AC59" t="s">
        <v>74</v>
      </c>
      <c r="AD59" t="s">
        <v>74</v>
      </c>
      <c r="AE59" t="s">
        <v>74</v>
      </c>
      <c r="AF59" t="s">
        <v>74</v>
      </c>
      <c r="AG59" t="s">
        <v>74</v>
      </c>
      <c r="AH59" t="s">
        <v>74</v>
      </c>
      <c r="AI59" t="s">
        <v>74</v>
      </c>
      <c r="AJ59" t="s">
        <v>74</v>
      </c>
      <c r="AK59" t="s">
        <v>74</v>
      </c>
      <c r="AL59" t="s">
        <v>74</v>
      </c>
      <c r="AM59" t="s">
        <v>74</v>
      </c>
      <c r="AN59" t="s">
        <v>74</v>
      </c>
      <c r="AO59" t="s">
        <v>361</v>
      </c>
      <c r="AP59" t="s">
        <v>362</v>
      </c>
      <c r="AQ59" t="s">
        <v>74</v>
      </c>
      <c r="AR59" t="s">
        <v>74</v>
      </c>
      <c r="AS59" t="s">
        <v>74</v>
      </c>
      <c r="AT59" t="s">
        <v>257</v>
      </c>
      <c r="AU59">
        <v>2003</v>
      </c>
      <c r="AV59">
        <v>270</v>
      </c>
      <c r="AW59">
        <v>1533</v>
      </c>
      <c r="AX59" t="s">
        <v>74</v>
      </c>
      <c r="AY59" t="s">
        <v>74</v>
      </c>
      <c r="AZ59" t="s">
        <v>74</v>
      </c>
      <c r="BA59" t="s">
        <v>74</v>
      </c>
      <c r="BB59">
        <v>2605</v>
      </c>
      <c r="BC59">
        <v>2611</v>
      </c>
      <c r="BD59" t="s">
        <v>74</v>
      </c>
      <c r="BE59" t="s">
        <v>5995</v>
      </c>
      <c r="BF59" t="str">
        <f>HYPERLINK("http://dx.doi.org/10.1098/rspb.2003.2538","http://dx.doi.org/10.1098/rspb.2003.2538")</f>
        <v>http://dx.doi.org/10.1098/rspb.2003.2538</v>
      </c>
      <c r="BG59" t="s">
        <v>74</v>
      </c>
      <c r="BH59" t="s">
        <v>74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>
        <v>14728784</v>
      </c>
      <c r="BO59" t="s">
        <v>74</v>
      </c>
      <c r="BP59" t="s">
        <v>74</v>
      </c>
      <c r="BQ59" t="s">
        <v>74</v>
      </c>
      <c r="BR59" t="s">
        <v>74</v>
      </c>
      <c r="BS59" t="s">
        <v>5996</v>
      </c>
      <c r="BT59" t="str">
        <f>HYPERLINK("https%3A%2F%2Fwww.webofscience.com%2Fwos%2Fwoscc%2Ffull-record%2FWOS:000187989900011","View Full Record in Web of Science")</f>
        <v>View Full Record in Web of Science</v>
      </c>
    </row>
    <row r="60" spans="1:72" x14ac:dyDescent="0.2">
      <c r="A60" t="s">
        <v>72</v>
      </c>
      <c r="B60" t="s">
        <v>6230</v>
      </c>
      <c r="C60" t="s">
        <v>74</v>
      </c>
      <c r="D60" t="s">
        <v>74</v>
      </c>
      <c r="E60" t="s">
        <v>74</v>
      </c>
      <c r="F60" t="s">
        <v>6230</v>
      </c>
      <c r="G60" t="s">
        <v>74</v>
      </c>
      <c r="H60" t="s">
        <v>74</v>
      </c>
      <c r="I60" t="s">
        <v>6231</v>
      </c>
      <c r="J60" t="s">
        <v>227</v>
      </c>
      <c r="K60" t="s">
        <v>74</v>
      </c>
      <c r="L60" t="s">
        <v>74</v>
      </c>
      <c r="M60" t="s">
        <v>74</v>
      </c>
      <c r="N60" t="s">
        <v>74</v>
      </c>
      <c r="O60" t="s">
        <v>74</v>
      </c>
      <c r="P60" t="s">
        <v>74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74</v>
      </c>
      <c r="Y60" t="s">
        <v>74</v>
      </c>
      <c r="Z60" t="s">
        <v>74</v>
      </c>
      <c r="AA60" t="s">
        <v>74</v>
      </c>
      <c r="AB60" t="s">
        <v>74</v>
      </c>
      <c r="AC60" t="s">
        <v>74</v>
      </c>
      <c r="AD60" t="s">
        <v>74</v>
      </c>
      <c r="AE60" t="s">
        <v>74</v>
      </c>
      <c r="AF60" t="s">
        <v>74</v>
      </c>
      <c r="AG60" t="s">
        <v>74</v>
      </c>
      <c r="AH60" t="s">
        <v>74</v>
      </c>
      <c r="AI60" t="s">
        <v>74</v>
      </c>
      <c r="AJ60" t="s">
        <v>74</v>
      </c>
      <c r="AK60" t="s">
        <v>74</v>
      </c>
      <c r="AL60" t="s">
        <v>74</v>
      </c>
      <c r="AM60" t="s">
        <v>74</v>
      </c>
      <c r="AN60" t="s">
        <v>74</v>
      </c>
      <c r="AO60" t="s">
        <v>230</v>
      </c>
      <c r="AP60" t="s">
        <v>231</v>
      </c>
      <c r="AQ60" t="s">
        <v>74</v>
      </c>
      <c r="AR60" t="s">
        <v>74</v>
      </c>
      <c r="AS60" t="s">
        <v>74</v>
      </c>
      <c r="AT60" t="s">
        <v>315</v>
      </c>
      <c r="AU60">
        <v>2000</v>
      </c>
      <c r="AV60">
        <v>45</v>
      </c>
      <c r="AW60">
        <v>1</v>
      </c>
      <c r="AX60" t="s">
        <v>74</v>
      </c>
      <c r="AY60" t="s">
        <v>74</v>
      </c>
      <c r="AZ60" t="s">
        <v>74</v>
      </c>
      <c r="BA60" t="s">
        <v>74</v>
      </c>
      <c r="BB60">
        <v>22</v>
      </c>
      <c r="BC60">
        <v>30</v>
      </c>
      <c r="BD60" t="s">
        <v>74</v>
      </c>
      <c r="BE60" t="s">
        <v>6232</v>
      </c>
      <c r="BF60" t="str">
        <f>HYPERLINK("http://dx.doi.org/10.4319/lo.2000.45.1.0022","http://dx.doi.org/10.4319/lo.2000.45.1.0022")</f>
        <v>http://dx.doi.org/10.4319/lo.2000.45.1.0022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 t="s">
        <v>74</v>
      </c>
      <c r="BR60" t="s">
        <v>74</v>
      </c>
      <c r="BS60" t="s">
        <v>6233</v>
      </c>
      <c r="BT60" t="str">
        <f>HYPERLINK("https%3A%2F%2Fwww.webofscience.com%2Fwos%2Fwoscc%2Ffull-record%2FWOS:000084949600003","View Full Record in Web of Science")</f>
        <v>View Full Record in Web of Science</v>
      </c>
    </row>
    <row r="61" spans="1:72" x14ac:dyDescent="0.2">
      <c r="A61" t="s">
        <v>72</v>
      </c>
      <c r="B61" t="s">
        <v>6310</v>
      </c>
      <c r="C61" t="s">
        <v>74</v>
      </c>
      <c r="D61" t="s">
        <v>74</v>
      </c>
      <c r="E61" t="s">
        <v>74</v>
      </c>
      <c r="F61" t="s">
        <v>6310</v>
      </c>
      <c r="G61" t="s">
        <v>74</v>
      </c>
      <c r="H61" t="s">
        <v>74</v>
      </c>
      <c r="I61" t="s">
        <v>6311</v>
      </c>
      <c r="J61" t="s">
        <v>198</v>
      </c>
      <c r="K61" t="s">
        <v>74</v>
      </c>
      <c r="L61" t="s">
        <v>74</v>
      </c>
      <c r="M61" t="s">
        <v>74</v>
      </c>
      <c r="N61" t="s">
        <v>74</v>
      </c>
      <c r="O61" t="s">
        <v>74</v>
      </c>
      <c r="P61" t="s">
        <v>74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74</v>
      </c>
      <c r="Y61" t="s">
        <v>74</v>
      </c>
      <c r="Z61" t="s">
        <v>74</v>
      </c>
      <c r="AA61" t="s">
        <v>6312</v>
      </c>
      <c r="AB61" t="s">
        <v>74</v>
      </c>
      <c r="AC61" t="s">
        <v>74</v>
      </c>
      <c r="AD61" t="s">
        <v>74</v>
      </c>
      <c r="AE61" t="s">
        <v>74</v>
      </c>
      <c r="AF61" t="s">
        <v>74</v>
      </c>
      <c r="AG61" t="s">
        <v>74</v>
      </c>
      <c r="AH61" t="s">
        <v>74</v>
      </c>
      <c r="AI61" t="s">
        <v>74</v>
      </c>
      <c r="AJ61" t="s">
        <v>74</v>
      </c>
      <c r="AK61" t="s">
        <v>74</v>
      </c>
      <c r="AL61" t="s">
        <v>74</v>
      </c>
      <c r="AM61" t="s">
        <v>74</v>
      </c>
      <c r="AN61" t="s">
        <v>74</v>
      </c>
      <c r="AO61" t="s">
        <v>201</v>
      </c>
      <c r="AP61" t="s">
        <v>202</v>
      </c>
      <c r="AQ61" t="s">
        <v>74</v>
      </c>
      <c r="AR61" t="s">
        <v>74</v>
      </c>
      <c r="AS61" t="s">
        <v>74</v>
      </c>
      <c r="AT61" t="s">
        <v>520</v>
      </c>
      <c r="AU61">
        <v>1998</v>
      </c>
      <c r="AV61">
        <v>12</v>
      </c>
      <c r="AW61">
        <v>4</v>
      </c>
      <c r="AX61" t="s">
        <v>74</v>
      </c>
      <c r="AY61" t="s">
        <v>74</v>
      </c>
      <c r="AZ61" t="s">
        <v>74</v>
      </c>
      <c r="BA61" t="s">
        <v>74</v>
      </c>
      <c r="BB61">
        <v>503</v>
      </c>
      <c r="BC61">
        <v>513</v>
      </c>
      <c r="BD61" t="s">
        <v>74</v>
      </c>
      <c r="BE61" t="s">
        <v>6313</v>
      </c>
      <c r="BF61" t="str">
        <f>HYPERLINK("http://dx.doi.org/10.1046/j.1365-2435.1998.00233.x","http://dx.doi.org/10.1046/j.1365-2435.1998.00233.x")</f>
        <v>http://dx.doi.org/10.1046/j.1365-2435.1998.00233.x</v>
      </c>
      <c r="BG61" t="s">
        <v>74</v>
      </c>
      <c r="BH61" t="s">
        <v>74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 t="s">
        <v>74</v>
      </c>
      <c r="BO61" t="s">
        <v>74</v>
      </c>
      <c r="BP61" t="s">
        <v>74</v>
      </c>
      <c r="BQ61" t="s">
        <v>74</v>
      </c>
      <c r="BR61" t="s">
        <v>74</v>
      </c>
      <c r="BS61" t="s">
        <v>6314</v>
      </c>
      <c r="BT61" t="str">
        <f>HYPERLINK("https%3A%2F%2Fwww.webofscience.com%2Fwos%2Fwoscc%2Ffull-record%2FWOS:000076276900001","View Full Record in Web of Science")</f>
        <v>View Full Record in Web of Science</v>
      </c>
    </row>
    <row r="62" spans="1:72" x14ac:dyDescent="0.2">
      <c r="A62" t="s">
        <v>72</v>
      </c>
      <c r="B62" t="s">
        <v>6399</v>
      </c>
      <c r="C62" t="s">
        <v>74</v>
      </c>
      <c r="D62" t="s">
        <v>74</v>
      </c>
      <c r="E62" t="s">
        <v>74</v>
      </c>
      <c r="F62" t="s">
        <v>6399</v>
      </c>
      <c r="G62" t="s">
        <v>74</v>
      </c>
      <c r="H62" t="s">
        <v>74</v>
      </c>
      <c r="I62" t="s">
        <v>6400</v>
      </c>
      <c r="J62" t="s">
        <v>227</v>
      </c>
      <c r="K62" t="s">
        <v>74</v>
      </c>
      <c r="L62" t="s">
        <v>74</v>
      </c>
      <c r="M62" t="s">
        <v>74</v>
      </c>
      <c r="N62" t="s">
        <v>74</v>
      </c>
      <c r="O62" t="s">
        <v>74</v>
      </c>
      <c r="P62" t="s">
        <v>74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74</v>
      </c>
      <c r="Y62" t="s">
        <v>74</v>
      </c>
      <c r="Z62" t="s">
        <v>74</v>
      </c>
      <c r="AA62" t="s">
        <v>6401</v>
      </c>
      <c r="AB62" t="s">
        <v>6402</v>
      </c>
      <c r="AC62" t="s">
        <v>74</v>
      </c>
      <c r="AD62" t="s">
        <v>74</v>
      </c>
      <c r="AE62" t="s">
        <v>74</v>
      </c>
      <c r="AF62" t="s">
        <v>74</v>
      </c>
      <c r="AG62" t="s">
        <v>74</v>
      </c>
      <c r="AH62" t="s">
        <v>74</v>
      </c>
      <c r="AI62" t="s">
        <v>74</v>
      </c>
      <c r="AJ62" t="s">
        <v>74</v>
      </c>
      <c r="AK62" t="s">
        <v>74</v>
      </c>
      <c r="AL62" t="s">
        <v>74</v>
      </c>
      <c r="AM62" t="s">
        <v>74</v>
      </c>
      <c r="AN62" t="s">
        <v>74</v>
      </c>
      <c r="AO62" t="s">
        <v>230</v>
      </c>
      <c r="AP62" t="s">
        <v>74</v>
      </c>
      <c r="AQ62" t="s">
        <v>74</v>
      </c>
      <c r="AR62" t="s">
        <v>74</v>
      </c>
      <c r="AS62" t="s">
        <v>74</v>
      </c>
      <c r="AT62" t="s">
        <v>569</v>
      </c>
      <c r="AU62">
        <v>1997</v>
      </c>
      <c r="AV62">
        <v>42</v>
      </c>
      <c r="AW62">
        <v>4</v>
      </c>
      <c r="AX62" t="s">
        <v>74</v>
      </c>
      <c r="AY62" t="s">
        <v>74</v>
      </c>
      <c r="AZ62" t="s">
        <v>74</v>
      </c>
      <c r="BA62" t="s">
        <v>74</v>
      </c>
      <c r="BB62">
        <v>687</v>
      </c>
      <c r="BC62">
        <v>704</v>
      </c>
      <c r="BD62" t="s">
        <v>74</v>
      </c>
      <c r="BE62" t="s">
        <v>6403</v>
      </c>
      <c r="BF62" t="str">
        <f>HYPERLINK("http://dx.doi.org/10.4319/lo.1997.42.4.0687","http://dx.doi.org/10.4319/lo.1997.42.4.0687")</f>
        <v>http://dx.doi.org/10.4319/lo.1997.42.4.0687</v>
      </c>
      <c r="BG62" t="s">
        <v>74</v>
      </c>
      <c r="BH62" t="s">
        <v>74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6404</v>
      </c>
      <c r="BT62" t="str">
        <f>HYPERLINK("https%3A%2F%2Fwww.webofscience.com%2Fwos%2Fwoscc%2Ffull-record%2FWOS:000071037700007","View Full Record in Web of Science")</f>
        <v>View Full Record in Web of Science</v>
      </c>
    </row>
    <row r="63" spans="1:72" x14ac:dyDescent="0.2">
      <c r="A63" t="s">
        <v>72</v>
      </c>
      <c r="B63" t="s">
        <v>6477</v>
      </c>
      <c r="C63" t="s">
        <v>74</v>
      </c>
      <c r="D63" t="s">
        <v>74</v>
      </c>
      <c r="E63" t="s">
        <v>74</v>
      </c>
      <c r="F63" t="s">
        <v>6477</v>
      </c>
      <c r="G63" t="s">
        <v>74</v>
      </c>
      <c r="H63" t="s">
        <v>74</v>
      </c>
      <c r="I63" t="s">
        <v>6478</v>
      </c>
      <c r="J63" t="s">
        <v>2827</v>
      </c>
      <c r="K63" t="s">
        <v>74</v>
      </c>
      <c r="L63" t="s">
        <v>74</v>
      </c>
      <c r="M63" t="s">
        <v>74</v>
      </c>
      <c r="N63" t="s">
        <v>74</v>
      </c>
      <c r="O63" t="s">
        <v>74</v>
      </c>
      <c r="P63" t="s">
        <v>74</v>
      </c>
      <c r="Q63" t="s">
        <v>74</v>
      </c>
      <c r="R63" t="s">
        <v>74</v>
      </c>
      <c r="S63" t="s">
        <v>74</v>
      </c>
      <c r="T63" t="s">
        <v>74</v>
      </c>
      <c r="U63" t="s">
        <v>74</v>
      </c>
      <c r="V63" t="s">
        <v>74</v>
      </c>
      <c r="W63" t="s">
        <v>74</v>
      </c>
      <c r="X63" t="s">
        <v>74</v>
      </c>
      <c r="Y63" t="s">
        <v>74</v>
      </c>
      <c r="Z63" t="s">
        <v>74</v>
      </c>
      <c r="AA63" t="s">
        <v>74</v>
      </c>
      <c r="AB63" t="s">
        <v>6479</v>
      </c>
      <c r="AC63" t="s">
        <v>74</v>
      </c>
      <c r="AD63" t="s">
        <v>74</v>
      </c>
      <c r="AE63" t="s">
        <v>74</v>
      </c>
      <c r="AF63" t="s">
        <v>74</v>
      </c>
      <c r="AG63" t="s">
        <v>74</v>
      </c>
      <c r="AH63" t="s">
        <v>74</v>
      </c>
      <c r="AI63" t="s">
        <v>74</v>
      </c>
      <c r="AJ63" t="s">
        <v>74</v>
      </c>
      <c r="AK63" t="s">
        <v>74</v>
      </c>
      <c r="AL63" t="s">
        <v>74</v>
      </c>
      <c r="AM63" t="s">
        <v>74</v>
      </c>
      <c r="AN63" t="s">
        <v>74</v>
      </c>
      <c r="AO63" t="s">
        <v>2828</v>
      </c>
      <c r="AP63" t="s">
        <v>74</v>
      </c>
      <c r="AQ63" t="s">
        <v>74</v>
      </c>
      <c r="AR63" t="s">
        <v>74</v>
      </c>
      <c r="AS63" t="s">
        <v>74</v>
      </c>
      <c r="AT63" t="s">
        <v>416</v>
      </c>
      <c r="AU63">
        <v>1996</v>
      </c>
      <c r="AV63">
        <v>132</v>
      </c>
      <c r="AW63" t="s">
        <v>5469</v>
      </c>
      <c r="AX63" t="s">
        <v>74</v>
      </c>
      <c r="AY63" t="s">
        <v>74</v>
      </c>
      <c r="AZ63" t="s">
        <v>74</v>
      </c>
      <c r="BA63" t="s">
        <v>74</v>
      </c>
      <c r="BB63">
        <v>249</v>
      </c>
      <c r="BC63">
        <v>255</v>
      </c>
      <c r="BD63" t="s">
        <v>74</v>
      </c>
      <c r="BE63" t="s">
        <v>6480</v>
      </c>
      <c r="BF63" t="str">
        <f>HYPERLINK("http://dx.doi.org/10.3354/meps132249","http://dx.doi.org/10.3354/meps132249")</f>
        <v>http://dx.doi.org/10.3354/meps132249</v>
      </c>
      <c r="BG63" t="s">
        <v>74</v>
      </c>
      <c r="BH63" t="s">
        <v>74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 t="s">
        <v>74</v>
      </c>
      <c r="BO63" t="s">
        <v>74</v>
      </c>
      <c r="BP63" t="s">
        <v>74</v>
      </c>
      <c r="BQ63" t="s">
        <v>74</v>
      </c>
      <c r="BR63" t="s">
        <v>74</v>
      </c>
      <c r="BS63" t="s">
        <v>6481</v>
      </c>
      <c r="BT63" t="str">
        <f>HYPERLINK("https%3A%2F%2Fwww.webofscience.com%2Fwos%2Fwoscc%2Ffull-record%2FWOS:A1996UD22300023","View Full Record in Web of Science")</f>
        <v>View Full Record in Web of Science</v>
      </c>
    </row>
    <row r="64" spans="1:72" x14ac:dyDescent="0.2">
      <c r="A64" t="s">
        <v>72</v>
      </c>
      <c r="B64" t="s">
        <v>6549</v>
      </c>
      <c r="C64" t="s">
        <v>74</v>
      </c>
      <c r="D64" t="s">
        <v>74</v>
      </c>
      <c r="E64" t="s">
        <v>74</v>
      </c>
      <c r="F64" t="s">
        <v>6549</v>
      </c>
      <c r="G64" t="s">
        <v>74</v>
      </c>
      <c r="H64" t="s">
        <v>74</v>
      </c>
      <c r="I64" t="s">
        <v>6550</v>
      </c>
      <c r="J64" t="s">
        <v>5867</v>
      </c>
      <c r="K64" t="s">
        <v>74</v>
      </c>
      <c r="L64" t="s">
        <v>74</v>
      </c>
      <c r="M64" t="s">
        <v>74</v>
      </c>
      <c r="N64" t="s">
        <v>74</v>
      </c>
      <c r="O64" t="s">
        <v>74</v>
      </c>
      <c r="P64" t="s">
        <v>74</v>
      </c>
      <c r="Q64" t="s">
        <v>74</v>
      </c>
      <c r="R64" t="s">
        <v>74</v>
      </c>
      <c r="S64" t="s">
        <v>74</v>
      </c>
      <c r="T64" t="s">
        <v>74</v>
      </c>
      <c r="U64" t="s">
        <v>74</v>
      </c>
      <c r="V64" t="s">
        <v>74</v>
      </c>
      <c r="W64" t="s">
        <v>74</v>
      </c>
      <c r="X64" t="s">
        <v>74</v>
      </c>
      <c r="Y64" t="s">
        <v>74</v>
      </c>
      <c r="Z64" t="s">
        <v>74</v>
      </c>
      <c r="AA64" t="s">
        <v>6551</v>
      </c>
      <c r="AB64" t="s">
        <v>6552</v>
      </c>
      <c r="AC64" t="s">
        <v>74</v>
      </c>
      <c r="AD64" t="s">
        <v>74</v>
      </c>
      <c r="AE64" t="s">
        <v>74</v>
      </c>
      <c r="AF64" t="s">
        <v>74</v>
      </c>
      <c r="AG64" t="s">
        <v>74</v>
      </c>
      <c r="AH64" t="s">
        <v>74</v>
      </c>
      <c r="AI64" t="s">
        <v>74</v>
      </c>
      <c r="AJ64" t="s">
        <v>74</v>
      </c>
      <c r="AK64" t="s">
        <v>74</v>
      </c>
      <c r="AL64" t="s">
        <v>74</v>
      </c>
      <c r="AM64" t="s">
        <v>74</v>
      </c>
      <c r="AN64" t="s">
        <v>74</v>
      </c>
      <c r="AO64" t="s">
        <v>5868</v>
      </c>
      <c r="AP64" t="s">
        <v>5869</v>
      </c>
      <c r="AQ64" t="s">
        <v>74</v>
      </c>
      <c r="AR64" t="s">
        <v>74</v>
      </c>
      <c r="AS64" t="s">
        <v>74</v>
      </c>
      <c r="AT64" t="s">
        <v>203</v>
      </c>
      <c r="AU64">
        <v>1995</v>
      </c>
      <c r="AV64">
        <v>49</v>
      </c>
      <c r="AW64">
        <v>2</v>
      </c>
      <c r="AX64" t="s">
        <v>74</v>
      </c>
      <c r="AY64" t="s">
        <v>74</v>
      </c>
      <c r="AZ64" t="s">
        <v>74</v>
      </c>
      <c r="BA64" t="s">
        <v>74</v>
      </c>
      <c r="BB64">
        <v>325</v>
      </c>
      <c r="BC64">
        <v>336</v>
      </c>
      <c r="BD64" t="s">
        <v>74</v>
      </c>
      <c r="BE64" t="s">
        <v>6553</v>
      </c>
      <c r="BF64" t="str">
        <f>HYPERLINK("http://dx.doi.org/10.2307/2410343","http://dx.doi.org/10.2307/2410343")</f>
        <v>http://dx.doi.org/10.2307/2410343</v>
      </c>
      <c r="BG64" t="s">
        <v>74</v>
      </c>
      <c r="BH64" t="s">
        <v>74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>
        <v>28565015</v>
      </c>
      <c r="BO64" t="s">
        <v>74</v>
      </c>
      <c r="BP64" t="s">
        <v>74</v>
      </c>
      <c r="BQ64" t="s">
        <v>74</v>
      </c>
      <c r="BR64" t="s">
        <v>74</v>
      </c>
      <c r="BS64" t="s">
        <v>6554</v>
      </c>
      <c r="BT64" t="str">
        <f>HYPERLINK("https%3A%2F%2Fwww.webofscience.com%2Fwos%2Fwoscc%2Ffull-record%2FWOS:A1995RR18600011","View Full Record in Web of Science")</f>
        <v>View Full Record in Web of Science</v>
      </c>
    </row>
    <row r="65" spans="1:72" x14ac:dyDescent="0.2">
      <c r="A65" t="s">
        <v>72</v>
      </c>
      <c r="B65" t="s">
        <v>6559</v>
      </c>
      <c r="C65" t="s">
        <v>74</v>
      </c>
      <c r="D65" t="s">
        <v>74</v>
      </c>
      <c r="E65" t="s">
        <v>74</v>
      </c>
      <c r="F65" t="s">
        <v>6559</v>
      </c>
      <c r="G65" t="s">
        <v>74</v>
      </c>
      <c r="H65" t="s">
        <v>74</v>
      </c>
      <c r="I65" t="s">
        <v>6560</v>
      </c>
      <c r="J65" t="s">
        <v>381</v>
      </c>
      <c r="K65" t="s">
        <v>74</v>
      </c>
      <c r="L65" t="s">
        <v>74</v>
      </c>
      <c r="M65" t="s">
        <v>74</v>
      </c>
      <c r="N65" t="s">
        <v>74</v>
      </c>
      <c r="O65" t="s">
        <v>74</v>
      </c>
      <c r="P65" t="s">
        <v>74</v>
      </c>
      <c r="Q65" t="s">
        <v>74</v>
      </c>
      <c r="R65" t="s">
        <v>74</v>
      </c>
      <c r="S65" t="s">
        <v>74</v>
      </c>
      <c r="T65" t="s">
        <v>74</v>
      </c>
      <c r="U65" t="s">
        <v>74</v>
      </c>
      <c r="V65" t="s">
        <v>74</v>
      </c>
      <c r="W65" t="s">
        <v>74</v>
      </c>
      <c r="X65" t="s">
        <v>74</v>
      </c>
      <c r="Y65" t="s">
        <v>74</v>
      </c>
      <c r="Z65" t="s">
        <v>74</v>
      </c>
      <c r="AA65" t="s">
        <v>74</v>
      </c>
      <c r="AB65" t="s">
        <v>74</v>
      </c>
      <c r="AC65" t="s">
        <v>74</v>
      </c>
      <c r="AD65" t="s">
        <v>74</v>
      </c>
      <c r="AE65" t="s">
        <v>74</v>
      </c>
      <c r="AF65" t="s">
        <v>74</v>
      </c>
      <c r="AG65" t="s">
        <v>74</v>
      </c>
      <c r="AH65" t="s">
        <v>74</v>
      </c>
      <c r="AI65" t="s">
        <v>74</v>
      </c>
      <c r="AJ65" t="s">
        <v>74</v>
      </c>
      <c r="AK65" t="s">
        <v>74</v>
      </c>
      <c r="AL65" t="s">
        <v>74</v>
      </c>
      <c r="AM65" t="s">
        <v>74</v>
      </c>
      <c r="AN65" t="s">
        <v>74</v>
      </c>
      <c r="AO65" t="s">
        <v>383</v>
      </c>
      <c r="AP65" t="s">
        <v>74</v>
      </c>
      <c r="AQ65" t="s">
        <v>74</v>
      </c>
      <c r="AR65" t="s">
        <v>74</v>
      </c>
      <c r="AS65" t="s">
        <v>74</v>
      </c>
      <c r="AT65" t="s">
        <v>74</v>
      </c>
      <c r="AU65">
        <v>1995</v>
      </c>
      <c r="AV65">
        <v>90</v>
      </c>
      <c r="AW65">
        <v>2</v>
      </c>
      <c r="AX65" t="s">
        <v>74</v>
      </c>
      <c r="AY65" t="s">
        <v>74</v>
      </c>
      <c r="AZ65" t="s">
        <v>74</v>
      </c>
      <c r="BA65" t="s">
        <v>74</v>
      </c>
      <c r="BB65">
        <v>263</v>
      </c>
      <c r="BC65">
        <v>267</v>
      </c>
      <c r="BD65" t="s">
        <v>74</v>
      </c>
      <c r="BE65" t="s">
        <v>6561</v>
      </c>
      <c r="BF65" t="str">
        <f>HYPERLINK("http://dx.doi.org/10.1016/0269-7491(95)00029-Q","http://dx.doi.org/10.1016/0269-7491(95)00029-Q")</f>
        <v>http://dx.doi.org/10.1016/0269-7491(95)00029-Q</v>
      </c>
      <c r="BG65" t="s">
        <v>74</v>
      </c>
      <c r="BH65" t="s">
        <v>74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>
        <v>15091493</v>
      </c>
      <c r="BO65" t="s">
        <v>74</v>
      </c>
      <c r="BP65" t="s">
        <v>74</v>
      </c>
      <c r="BQ65" t="s">
        <v>74</v>
      </c>
      <c r="BR65" t="s">
        <v>74</v>
      </c>
      <c r="BS65" t="s">
        <v>6562</v>
      </c>
      <c r="BT65" t="str">
        <f>HYPERLINK("https%3A%2F%2Fwww.webofscience.com%2Fwos%2Fwoscc%2Ffull-record%2FWOS:A1995RP93200016","View Full Record in Web of Science")</f>
        <v>View Full Record in Web of Science</v>
      </c>
    </row>
    <row r="66" spans="1:72" x14ac:dyDescent="0.2">
      <c r="A66" t="s">
        <v>72</v>
      </c>
      <c r="B66" t="s">
        <v>6624</v>
      </c>
      <c r="C66" t="s">
        <v>74</v>
      </c>
      <c r="D66" t="s">
        <v>74</v>
      </c>
      <c r="E66" t="s">
        <v>74</v>
      </c>
      <c r="F66" t="s">
        <v>6624</v>
      </c>
      <c r="G66" t="s">
        <v>74</v>
      </c>
      <c r="H66" t="s">
        <v>74</v>
      </c>
      <c r="I66" t="s">
        <v>6625</v>
      </c>
      <c r="J66" t="s">
        <v>124</v>
      </c>
      <c r="K66" t="s">
        <v>74</v>
      </c>
      <c r="L66" t="s">
        <v>74</v>
      </c>
      <c r="M66" t="s">
        <v>74</v>
      </c>
      <c r="N66" t="s">
        <v>74</v>
      </c>
      <c r="O66" t="s">
        <v>74</v>
      </c>
      <c r="P66" t="s">
        <v>74</v>
      </c>
      <c r="Q66" t="s">
        <v>74</v>
      </c>
      <c r="R66" t="s">
        <v>74</v>
      </c>
      <c r="S66" t="s">
        <v>74</v>
      </c>
      <c r="T66" t="s">
        <v>74</v>
      </c>
      <c r="U66" t="s">
        <v>74</v>
      </c>
      <c r="V66" t="s">
        <v>74</v>
      </c>
      <c r="W66" t="s">
        <v>74</v>
      </c>
      <c r="X66" t="s">
        <v>74</v>
      </c>
      <c r="Y66" t="s">
        <v>74</v>
      </c>
      <c r="Z66" t="s">
        <v>74</v>
      </c>
      <c r="AA66" t="s">
        <v>74</v>
      </c>
      <c r="AB66" t="s">
        <v>74</v>
      </c>
      <c r="AC66" t="s">
        <v>74</v>
      </c>
      <c r="AD66" t="s">
        <v>74</v>
      </c>
      <c r="AE66" t="s">
        <v>74</v>
      </c>
      <c r="AF66" t="s">
        <v>74</v>
      </c>
      <c r="AG66" t="s">
        <v>74</v>
      </c>
      <c r="AH66" t="s">
        <v>74</v>
      </c>
      <c r="AI66" t="s">
        <v>74</v>
      </c>
      <c r="AJ66" t="s">
        <v>74</v>
      </c>
      <c r="AK66" t="s">
        <v>74</v>
      </c>
      <c r="AL66" t="s">
        <v>74</v>
      </c>
      <c r="AM66" t="s">
        <v>74</v>
      </c>
      <c r="AN66" t="s">
        <v>74</v>
      </c>
      <c r="AO66" t="s">
        <v>127</v>
      </c>
      <c r="AP66" t="s">
        <v>74</v>
      </c>
      <c r="AQ66" t="s">
        <v>74</v>
      </c>
      <c r="AR66" t="s">
        <v>74</v>
      </c>
      <c r="AS66" t="s">
        <v>74</v>
      </c>
      <c r="AT66" t="s">
        <v>6626</v>
      </c>
      <c r="AU66">
        <v>1992</v>
      </c>
      <c r="AV66">
        <v>232</v>
      </c>
      <c r="AW66">
        <v>3</v>
      </c>
      <c r="AX66" t="s">
        <v>74</v>
      </c>
      <c r="AY66" t="s">
        <v>74</v>
      </c>
      <c r="AZ66" t="s">
        <v>74</v>
      </c>
      <c r="BA66" t="s">
        <v>74</v>
      </c>
      <c r="BB66">
        <v>175</v>
      </c>
      <c r="BC66">
        <v>191</v>
      </c>
      <c r="BD66" t="s">
        <v>74</v>
      </c>
      <c r="BE66" t="s">
        <v>6627</v>
      </c>
      <c r="BF66" t="str">
        <f>HYPERLINK("http://dx.doi.org/10.1007/BF00013703","http://dx.doi.org/10.1007/BF00013703")</f>
        <v>http://dx.doi.org/10.1007/BF00013703</v>
      </c>
      <c r="BG66" t="s">
        <v>74</v>
      </c>
      <c r="BH66" t="s">
        <v>74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">
        <v>6628</v>
      </c>
      <c r="BT66" t="str">
        <f>HYPERLINK("https%3A%2F%2Fwww.webofscience.com%2Fwos%2Fwoscc%2Ffull-record%2FWOS:A1992JA10200001","View Full Record in Web of Science")</f>
        <v>View Full Record in Web of Science</v>
      </c>
    </row>
    <row r="67" spans="1:72" x14ac:dyDescent="0.2">
      <c r="A67" t="s">
        <v>72</v>
      </c>
      <c r="B67" t="s">
        <v>6689</v>
      </c>
      <c r="C67" t="s">
        <v>74</v>
      </c>
      <c r="D67" t="s">
        <v>74</v>
      </c>
      <c r="E67" t="s">
        <v>74</v>
      </c>
      <c r="F67" t="s">
        <v>6689</v>
      </c>
      <c r="G67" t="s">
        <v>74</v>
      </c>
      <c r="H67" t="s">
        <v>74</v>
      </c>
      <c r="I67" t="s">
        <v>6690</v>
      </c>
      <c r="J67" t="s">
        <v>124</v>
      </c>
      <c r="K67" t="s">
        <v>74</v>
      </c>
      <c r="L67" t="s">
        <v>74</v>
      </c>
      <c r="M67" t="s">
        <v>74</v>
      </c>
      <c r="N67" t="s">
        <v>74</v>
      </c>
      <c r="O67" t="s">
        <v>74</v>
      </c>
      <c r="P67" t="s">
        <v>74</v>
      </c>
      <c r="Q67" t="s">
        <v>74</v>
      </c>
      <c r="R67" t="s">
        <v>74</v>
      </c>
      <c r="S67" t="s">
        <v>74</v>
      </c>
      <c r="T67" t="s">
        <v>74</v>
      </c>
      <c r="U67" t="s">
        <v>74</v>
      </c>
      <c r="V67" t="s">
        <v>74</v>
      </c>
      <c r="W67" t="s">
        <v>74</v>
      </c>
      <c r="X67" t="s">
        <v>74</v>
      </c>
      <c r="Y67" t="s">
        <v>74</v>
      </c>
      <c r="Z67" t="s">
        <v>74</v>
      </c>
      <c r="AA67" t="s">
        <v>74</v>
      </c>
      <c r="AB67" t="s">
        <v>74</v>
      </c>
      <c r="AC67" t="s">
        <v>74</v>
      </c>
      <c r="AD67" t="s">
        <v>74</v>
      </c>
      <c r="AE67" t="s">
        <v>74</v>
      </c>
      <c r="AF67" t="s">
        <v>74</v>
      </c>
      <c r="AG67" t="s">
        <v>74</v>
      </c>
      <c r="AH67" t="s">
        <v>74</v>
      </c>
      <c r="AI67" t="s">
        <v>74</v>
      </c>
      <c r="AJ67" t="s">
        <v>74</v>
      </c>
      <c r="AK67" t="s">
        <v>74</v>
      </c>
      <c r="AL67" t="s">
        <v>74</v>
      </c>
      <c r="AM67" t="s">
        <v>74</v>
      </c>
      <c r="AN67" t="s">
        <v>74</v>
      </c>
      <c r="AO67" t="s">
        <v>127</v>
      </c>
      <c r="AP67" t="s">
        <v>74</v>
      </c>
      <c r="AQ67" t="s">
        <v>74</v>
      </c>
      <c r="AR67" t="s">
        <v>74</v>
      </c>
      <c r="AS67" t="s">
        <v>74</v>
      </c>
      <c r="AT67" t="s">
        <v>6691</v>
      </c>
      <c r="AU67">
        <v>1990</v>
      </c>
      <c r="AV67">
        <v>206</v>
      </c>
      <c r="AW67">
        <v>3</v>
      </c>
      <c r="AX67" t="s">
        <v>74</v>
      </c>
      <c r="AY67" t="s">
        <v>74</v>
      </c>
      <c r="AZ67" t="s">
        <v>74</v>
      </c>
      <c r="BA67" t="s">
        <v>74</v>
      </c>
      <c r="BB67">
        <v>175</v>
      </c>
      <c r="BC67">
        <v>206</v>
      </c>
      <c r="BD67" t="s">
        <v>74</v>
      </c>
      <c r="BE67" t="s">
        <v>6692</v>
      </c>
      <c r="BF67" t="str">
        <f>HYPERLINK("http://dx.doi.org/10.1007/BF00014085","http://dx.doi.org/10.1007/BF00014085")</f>
        <v>http://dx.doi.org/10.1007/BF00014085</v>
      </c>
      <c r="BG67" t="s">
        <v>74</v>
      </c>
      <c r="BH67" t="s">
        <v>74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 t="s">
        <v>74</v>
      </c>
      <c r="BR67" t="s">
        <v>74</v>
      </c>
      <c r="BS67" t="s">
        <v>6693</v>
      </c>
      <c r="BT67" t="str">
        <f>HYPERLINK("https%3A%2F%2Fwww.webofscience.com%2Fwos%2Fwoscc%2Ffull-record%2FWOS:A1990EW45600001","View Full Record in Web of Science")</f>
        <v>View Full Record in Web of Science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AC8A-96E1-F840-92E2-0A9298AD87DA}">
  <dimension ref="A1:BT38"/>
  <sheetViews>
    <sheetView workbookViewId="0">
      <selection sqref="A1:BZ1048576"/>
    </sheetView>
  </sheetViews>
  <sheetFormatPr baseColWidth="10" defaultRowHeight="16" x14ac:dyDescent="0.2"/>
  <cols>
    <col min="1" max="78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121</v>
      </c>
      <c r="C2" t="s">
        <v>74</v>
      </c>
      <c r="D2" t="s">
        <v>74</v>
      </c>
      <c r="E2" t="s">
        <v>74</v>
      </c>
      <c r="F2" t="s">
        <v>122</v>
      </c>
      <c r="G2" t="s">
        <v>74</v>
      </c>
      <c r="H2" t="s">
        <v>74</v>
      </c>
      <c r="I2" t="s">
        <v>123</v>
      </c>
      <c r="J2" t="s">
        <v>124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125</v>
      </c>
      <c r="AB2" t="s">
        <v>126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127</v>
      </c>
      <c r="AP2" t="s">
        <v>128</v>
      </c>
      <c r="AQ2" t="s">
        <v>74</v>
      </c>
      <c r="AR2" t="s">
        <v>74</v>
      </c>
      <c r="AS2" t="s">
        <v>74</v>
      </c>
      <c r="AT2" t="s">
        <v>129</v>
      </c>
      <c r="AU2">
        <v>2024</v>
      </c>
      <c r="AV2" t="s">
        <v>74</v>
      </c>
      <c r="AW2" t="s">
        <v>74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74</v>
      </c>
      <c r="BE2" t="s">
        <v>130</v>
      </c>
      <c r="BF2" t="str">
        <f>HYPERLINK("http://dx.doi.org/10.1007/s10750-024-05521-6","http://dx.doi.org/10.1007/s10750-024-05521-6")</f>
        <v>http://dx.doi.org/10.1007/s10750-024-05521-6</v>
      </c>
      <c r="BG2" t="s">
        <v>74</v>
      </c>
      <c r="BH2" t="s">
        <v>110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131</v>
      </c>
      <c r="BT2" t="str">
        <f>HYPERLINK("https%3A%2F%2Fwww.webofscience.com%2Fwos%2Fwoscc%2Ffull-record%2FWOS:001200728500003","View Full Record in Web of Science")</f>
        <v>View Full Record in Web of Science</v>
      </c>
    </row>
    <row r="3" spans="1:72" x14ac:dyDescent="0.2">
      <c r="A3" t="s">
        <v>72</v>
      </c>
      <c r="B3" t="s">
        <v>241</v>
      </c>
      <c r="C3" t="s">
        <v>74</v>
      </c>
      <c r="D3" t="s">
        <v>74</v>
      </c>
      <c r="E3" t="s">
        <v>74</v>
      </c>
      <c r="F3" t="s">
        <v>242</v>
      </c>
      <c r="G3" t="s">
        <v>74</v>
      </c>
      <c r="H3" t="s">
        <v>74</v>
      </c>
      <c r="I3" t="s">
        <v>243</v>
      </c>
      <c r="J3" t="s">
        <v>244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245</v>
      </c>
      <c r="AB3" t="s">
        <v>246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247</v>
      </c>
      <c r="AP3" t="s">
        <v>248</v>
      </c>
      <c r="AQ3" t="s">
        <v>74</v>
      </c>
      <c r="AR3" t="s">
        <v>74</v>
      </c>
      <c r="AS3" t="s">
        <v>74</v>
      </c>
      <c r="AT3" t="s">
        <v>74</v>
      </c>
      <c r="AU3">
        <v>2024</v>
      </c>
      <c r="AV3">
        <v>75</v>
      </c>
      <c r="AW3">
        <v>6</v>
      </c>
      <c r="AX3" t="s">
        <v>74</v>
      </c>
      <c r="AY3" t="s">
        <v>74</v>
      </c>
      <c r="AZ3" t="s">
        <v>74</v>
      </c>
      <c r="BA3" t="s">
        <v>74</v>
      </c>
      <c r="BB3" t="s">
        <v>74</v>
      </c>
      <c r="BC3" t="s">
        <v>74</v>
      </c>
      <c r="BD3" t="s">
        <v>249</v>
      </c>
      <c r="BE3" t="s">
        <v>250</v>
      </c>
      <c r="BF3" t="str">
        <f>HYPERLINK("http://dx.doi.org/10.1071/MF23173","http://dx.doi.org/10.1071/MF23173")</f>
        <v>http://dx.doi.org/10.1071/MF23173</v>
      </c>
      <c r="BG3" t="s">
        <v>74</v>
      </c>
      <c r="BH3" t="s">
        <v>74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251</v>
      </c>
      <c r="BT3" t="str">
        <f>HYPERLINK("https%3A%2F%2Fwww.webofscience.com%2Fwos%2Fwoscc%2Ffull-record%2FWOS:001200313200001","View Full Record in Web of Science")</f>
        <v>View Full Record in Web of Science</v>
      </c>
    </row>
    <row r="4" spans="1:72" x14ac:dyDescent="0.2">
      <c r="A4" t="s">
        <v>72</v>
      </c>
      <c r="B4" t="s">
        <v>289</v>
      </c>
      <c r="C4" t="s">
        <v>74</v>
      </c>
      <c r="D4" t="s">
        <v>74</v>
      </c>
      <c r="E4" t="s">
        <v>74</v>
      </c>
      <c r="F4" t="s">
        <v>290</v>
      </c>
      <c r="G4" t="s">
        <v>74</v>
      </c>
      <c r="H4" t="s">
        <v>74</v>
      </c>
      <c r="I4" t="s">
        <v>291</v>
      </c>
      <c r="J4" t="s">
        <v>292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293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74</v>
      </c>
      <c r="AP4" t="s">
        <v>294</v>
      </c>
      <c r="AQ4" t="s">
        <v>74</v>
      </c>
      <c r="AR4" t="s">
        <v>74</v>
      </c>
      <c r="AS4" t="s">
        <v>74</v>
      </c>
      <c r="AT4" t="s">
        <v>82</v>
      </c>
      <c r="AU4">
        <v>2023</v>
      </c>
      <c r="AV4">
        <v>15</v>
      </c>
      <c r="AW4">
        <v>12</v>
      </c>
      <c r="AX4" t="s">
        <v>74</v>
      </c>
      <c r="AY4" t="s">
        <v>74</v>
      </c>
      <c r="AZ4" t="s">
        <v>74</v>
      </c>
      <c r="BA4" t="s">
        <v>74</v>
      </c>
      <c r="BB4" t="s">
        <v>74</v>
      </c>
      <c r="BC4" t="s">
        <v>74</v>
      </c>
      <c r="BD4">
        <v>1214</v>
      </c>
      <c r="BE4" t="s">
        <v>295</v>
      </c>
      <c r="BF4" t="str">
        <f>HYPERLINK("http://dx.doi.org/10.3390/d15121214","http://dx.doi.org/10.3390/d15121214")</f>
        <v>http://dx.doi.org/10.3390/d15121214</v>
      </c>
      <c r="BG4" t="s">
        <v>74</v>
      </c>
      <c r="BH4" t="s">
        <v>74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 t="s">
        <v>296</v>
      </c>
      <c r="BT4" t="str">
        <f>HYPERLINK("https%3A%2F%2Fwww.webofscience.com%2Fwos%2Fwoscc%2Ffull-record%2FWOS:001135967300001","View Full Record in Web of Science")</f>
        <v>View Full Record in Web of Science</v>
      </c>
    </row>
    <row r="5" spans="1:72" x14ac:dyDescent="0.2">
      <c r="A5" t="s">
        <v>72</v>
      </c>
      <c r="B5" t="s">
        <v>1515</v>
      </c>
      <c r="C5" t="s">
        <v>74</v>
      </c>
      <c r="D5" t="s">
        <v>74</v>
      </c>
      <c r="E5" t="s">
        <v>74</v>
      </c>
      <c r="F5" t="s">
        <v>1516</v>
      </c>
      <c r="G5" t="s">
        <v>74</v>
      </c>
      <c r="H5" t="s">
        <v>74</v>
      </c>
      <c r="I5" t="s">
        <v>1517</v>
      </c>
      <c r="J5" t="s">
        <v>423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6861</v>
      </c>
      <c r="AB5" t="s">
        <v>6862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425</v>
      </c>
      <c r="AP5" t="s">
        <v>426</v>
      </c>
      <c r="AQ5" t="s">
        <v>74</v>
      </c>
      <c r="AR5" t="s">
        <v>74</v>
      </c>
      <c r="AS5" t="s">
        <v>74</v>
      </c>
      <c r="AT5" t="s">
        <v>82</v>
      </c>
      <c r="AU5">
        <v>2021</v>
      </c>
      <c r="AV5">
        <v>66</v>
      </c>
      <c r="AW5">
        <v>12</v>
      </c>
      <c r="AX5" t="s">
        <v>74</v>
      </c>
      <c r="AY5" t="s">
        <v>74</v>
      </c>
      <c r="AZ5" t="s">
        <v>74</v>
      </c>
      <c r="BA5" t="s">
        <v>74</v>
      </c>
      <c r="BB5">
        <v>2322</v>
      </c>
      <c r="BC5">
        <v>2337</v>
      </c>
      <c r="BD5" t="s">
        <v>74</v>
      </c>
      <c r="BE5" t="s">
        <v>1518</v>
      </c>
      <c r="BF5" t="str">
        <f>HYPERLINK("http://dx.doi.org/10.1111/fwb.13835","http://dx.doi.org/10.1111/fwb.13835")</f>
        <v>http://dx.doi.org/10.1111/fwb.13835</v>
      </c>
      <c r="BG5" t="s">
        <v>74</v>
      </c>
      <c r="BH5" t="s">
        <v>1513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 t="s">
        <v>1519</v>
      </c>
      <c r="BT5" t="str">
        <f>HYPERLINK("https%3A%2F%2Fwww.webofscience.com%2Fwos%2Fwoscc%2Ffull-record%2FWOS:000706416100001","View Full Record in Web of Science")</f>
        <v>View Full Record in Web of Science</v>
      </c>
    </row>
    <row r="6" spans="1:72" x14ac:dyDescent="0.2">
      <c r="A6" t="s">
        <v>72</v>
      </c>
      <c r="B6" t="s">
        <v>1674</v>
      </c>
      <c r="C6" t="s">
        <v>74</v>
      </c>
      <c r="D6" t="s">
        <v>74</v>
      </c>
      <c r="E6" t="s">
        <v>74</v>
      </c>
      <c r="F6" t="s">
        <v>1675</v>
      </c>
      <c r="G6" t="s">
        <v>74</v>
      </c>
      <c r="H6" t="s">
        <v>74</v>
      </c>
      <c r="I6" t="s">
        <v>1676</v>
      </c>
      <c r="J6" t="s">
        <v>1677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6757</v>
      </c>
      <c r="AB6" t="s">
        <v>6758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1678</v>
      </c>
      <c r="AP6" t="s">
        <v>1679</v>
      </c>
      <c r="AQ6" t="s">
        <v>74</v>
      </c>
      <c r="AR6" t="s">
        <v>74</v>
      </c>
      <c r="AS6" t="s">
        <v>74</v>
      </c>
      <c r="AT6" t="s">
        <v>520</v>
      </c>
      <c r="AU6">
        <v>2021</v>
      </c>
      <c r="AV6">
        <v>35</v>
      </c>
      <c r="AW6">
        <v>4</v>
      </c>
      <c r="AX6" t="s">
        <v>74</v>
      </c>
      <c r="AY6" t="s">
        <v>74</v>
      </c>
      <c r="AZ6" t="s">
        <v>74</v>
      </c>
      <c r="BA6" t="s">
        <v>74</v>
      </c>
      <c r="BB6">
        <v>595</v>
      </c>
      <c r="BC6">
        <v>607</v>
      </c>
      <c r="BD6" t="s">
        <v>74</v>
      </c>
      <c r="BE6" t="s">
        <v>1680</v>
      </c>
      <c r="BF6" t="str">
        <f>HYPERLINK("http://dx.doi.org/10.1007/s10682-021-10119-8","http://dx.doi.org/10.1007/s10682-021-10119-8")</f>
        <v>http://dx.doi.org/10.1007/s10682-021-10119-8</v>
      </c>
      <c r="BG6" t="s">
        <v>74</v>
      </c>
      <c r="BH6" t="s">
        <v>1650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 t="s">
        <v>1681</v>
      </c>
      <c r="BT6" t="str">
        <f>HYPERLINK("https%3A%2F%2Fwww.webofscience.com%2Fwos%2Fwoscc%2Ffull-record%2FWOS:000658982700001","View Full Record in Web of Science")</f>
        <v>View Full Record in Web of Science</v>
      </c>
    </row>
    <row r="7" spans="1:72" x14ac:dyDescent="0.2">
      <c r="A7" t="s">
        <v>72</v>
      </c>
      <c r="B7" t="s">
        <v>1884</v>
      </c>
      <c r="C7" t="s">
        <v>74</v>
      </c>
      <c r="D7" t="s">
        <v>74</v>
      </c>
      <c r="E7" t="s">
        <v>74</v>
      </c>
      <c r="F7" t="s">
        <v>1885</v>
      </c>
      <c r="G7" t="s">
        <v>74</v>
      </c>
      <c r="H7" t="s">
        <v>74</v>
      </c>
      <c r="I7" t="s">
        <v>1886</v>
      </c>
      <c r="J7" t="s">
        <v>1887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1888</v>
      </c>
      <c r="AB7" t="s">
        <v>1889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1890</v>
      </c>
      <c r="AP7" t="s">
        <v>1891</v>
      </c>
      <c r="AQ7" t="s">
        <v>74</v>
      </c>
      <c r="AR7" t="s">
        <v>74</v>
      </c>
      <c r="AS7" t="s">
        <v>74</v>
      </c>
      <c r="AT7" t="s">
        <v>74</v>
      </c>
      <c r="AU7">
        <v>2021</v>
      </c>
      <c r="AV7">
        <v>30</v>
      </c>
      <c r="AW7" t="s">
        <v>1892</v>
      </c>
      <c r="AX7" t="s">
        <v>74</v>
      </c>
      <c r="AY7" t="s">
        <v>74</v>
      </c>
      <c r="AZ7" t="s">
        <v>74</v>
      </c>
      <c r="BA7" t="s">
        <v>74</v>
      </c>
      <c r="BB7">
        <v>1687</v>
      </c>
      <c r="BC7">
        <v>1695</v>
      </c>
      <c r="BD7" t="s">
        <v>74</v>
      </c>
      <c r="BE7" t="s">
        <v>74</v>
      </c>
      <c r="BF7" t="s">
        <v>74</v>
      </c>
      <c r="BG7" t="s">
        <v>74</v>
      </c>
      <c r="BH7" t="s">
        <v>74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 t="s">
        <v>1893</v>
      </c>
      <c r="BT7" t="str">
        <f>HYPERLINK("https%3A%2F%2Fwww.webofscience.com%2Fwos%2Fwoscc%2Ffull-record%2FWOS:000626629800013","View Full Record in Web of Science")</f>
        <v>View Full Record in Web of Science</v>
      </c>
    </row>
    <row r="8" spans="1:72" x14ac:dyDescent="0.2">
      <c r="A8" t="s">
        <v>72</v>
      </c>
      <c r="B8" t="s">
        <v>1989</v>
      </c>
      <c r="C8" t="s">
        <v>74</v>
      </c>
      <c r="D8" t="s">
        <v>74</v>
      </c>
      <c r="E8" t="s">
        <v>74</v>
      </c>
      <c r="F8" t="s">
        <v>1990</v>
      </c>
      <c r="G8" t="s">
        <v>74</v>
      </c>
      <c r="H8" t="s">
        <v>74</v>
      </c>
      <c r="I8" t="s">
        <v>1991</v>
      </c>
      <c r="J8" t="s">
        <v>1992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1993</v>
      </c>
      <c r="AB8" t="s">
        <v>1994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1995</v>
      </c>
      <c r="AP8" t="s">
        <v>1996</v>
      </c>
      <c r="AQ8" t="s">
        <v>74</v>
      </c>
      <c r="AR8" t="s">
        <v>74</v>
      </c>
      <c r="AS8" t="s">
        <v>74</v>
      </c>
      <c r="AT8" t="s">
        <v>1997</v>
      </c>
      <c r="AU8">
        <v>2020</v>
      </c>
      <c r="AV8">
        <v>4877</v>
      </c>
      <c r="AW8">
        <v>3</v>
      </c>
      <c r="AX8" t="s">
        <v>74</v>
      </c>
      <c r="AY8" t="s">
        <v>74</v>
      </c>
      <c r="AZ8" t="s">
        <v>74</v>
      </c>
      <c r="BA8" t="s">
        <v>74</v>
      </c>
      <c r="BB8">
        <v>468</v>
      </c>
      <c r="BC8">
        <v>504</v>
      </c>
      <c r="BD8" t="s">
        <v>74</v>
      </c>
      <c r="BE8" t="s">
        <v>1998</v>
      </c>
      <c r="BF8" t="str">
        <f>HYPERLINK("http://dx.doi.org/10.11646/zootaxa.4877.3.5","http://dx.doi.org/10.11646/zootaxa.4877.3.5")</f>
        <v>http://dx.doi.org/10.11646/zootaxa.4877.3.5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>
        <v>33311180</v>
      </c>
      <c r="BO8" t="s">
        <v>74</v>
      </c>
      <c r="BP8" t="s">
        <v>74</v>
      </c>
      <c r="BQ8" t="s">
        <v>74</v>
      </c>
      <c r="BR8" t="s">
        <v>74</v>
      </c>
      <c r="BS8" t="s">
        <v>1999</v>
      </c>
      <c r="BT8" t="str">
        <f>HYPERLINK("https%3A%2F%2Fwww.webofscience.com%2Fwos%2Fwoscc%2Ffull-record%2FWOS:000589411500005","View Full Record in Web of Science")</f>
        <v>View Full Record in Web of Science</v>
      </c>
    </row>
    <row r="9" spans="1:72" x14ac:dyDescent="0.2">
      <c r="A9" t="s">
        <v>72</v>
      </c>
      <c r="B9" t="s">
        <v>2205</v>
      </c>
      <c r="C9" t="s">
        <v>74</v>
      </c>
      <c r="D9" t="s">
        <v>74</v>
      </c>
      <c r="E9" t="s">
        <v>74</v>
      </c>
      <c r="F9" t="s">
        <v>2206</v>
      </c>
      <c r="G9" t="s">
        <v>74</v>
      </c>
      <c r="H9" t="s">
        <v>74</v>
      </c>
      <c r="I9" t="s">
        <v>2207</v>
      </c>
      <c r="J9" t="s">
        <v>1377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6937</v>
      </c>
      <c r="AB9" t="s">
        <v>6938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1380</v>
      </c>
      <c r="AP9" t="s">
        <v>1381</v>
      </c>
      <c r="AQ9" t="s">
        <v>74</v>
      </c>
      <c r="AR9" t="s">
        <v>74</v>
      </c>
      <c r="AS9" t="s">
        <v>74</v>
      </c>
      <c r="AT9" t="s">
        <v>624</v>
      </c>
      <c r="AU9">
        <v>2020</v>
      </c>
      <c r="AV9">
        <v>108</v>
      </c>
      <c r="AW9">
        <v>4</v>
      </c>
      <c r="AX9" t="s">
        <v>74</v>
      </c>
      <c r="AY9" t="s">
        <v>74</v>
      </c>
      <c r="AZ9" t="s">
        <v>74</v>
      </c>
      <c r="BA9" t="s">
        <v>74</v>
      </c>
      <c r="BB9">
        <v>1649</v>
      </c>
      <c r="BC9">
        <v>1663</v>
      </c>
      <c r="BD9" t="s">
        <v>74</v>
      </c>
      <c r="BE9" t="s">
        <v>2208</v>
      </c>
      <c r="BF9" t="str">
        <f>HYPERLINK("http://dx.doi.org/10.1111/1365-2745.13395","http://dx.doi.org/10.1111/1365-2745.13395")</f>
        <v>http://dx.doi.org/10.1111/1365-2745.13395</v>
      </c>
      <c r="BG9" t="s">
        <v>74</v>
      </c>
      <c r="BH9" t="s">
        <v>2209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 t="s">
        <v>2210</v>
      </c>
      <c r="BT9" t="str">
        <f>HYPERLINK("https%3A%2F%2Fwww.webofscience.com%2Fwos%2Fwoscc%2Ffull-record%2FWOS:000529015900001","View Full Record in Web of Science")</f>
        <v>View Full Record in Web of Science</v>
      </c>
    </row>
    <row r="10" spans="1:72" x14ac:dyDescent="0.2">
      <c r="A10" t="s">
        <v>72</v>
      </c>
      <c r="B10" t="s">
        <v>3204</v>
      </c>
      <c r="C10" t="s">
        <v>74</v>
      </c>
      <c r="D10" t="s">
        <v>74</v>
      </c>
      <c r="E10" t="s">
        <v>74</v>
      </c>
      <c r="F10" t="s">
        <v>3205</v>
      </c>
      <c r="G10" t="s">
        <v>74</v>
      </c>
      <c r="H10" t="s">
        <v>74</v>
      </c>
      <c r="I10" t="s">
        <v>3206</v>
      </c>
      <c r="J10" t="s">
        <v>756</v>
      </c>
      <c r="K10" t="s">
        <v>74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3207</v>
      </c>
      <c r="AB10" t="s">
        <v>3208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759</v>
      </c>
      <c r="AP10" t="s">
        <v>74</v>
      </c>
      <c r="AQ10" t="s">
        <v>74</v>
      </c>
      <c r="AR10" t="s">
        <v>74</v>
      </c>
      <c r="AS10" t="s">
        <v>74</v>
      </c>
      <c r="AT10" t="s">
        <v>335</v>
      </c>
      <c r="AU10">
        <v>2017</v>
      </c>
      <c r="AV10">
        <v>190</v>
      </c>
      <c r="AW10">
        <v>4</v>
      </c>
      <c r="AX10" t="s">
        <v>74</v>
      </c>
      <c r="AY10" t="s">
        <v>74</v>
      </c>
      <c r="AZ10" t="s">
        <v>74</v>
      </c>
      <c r="BA10" t="s">
        <v>74</v>
      </c>
      <c r="BB10">
        <v>349</v>
      </c>
      <c r="BC10">
        <v>356</v>
      </c>
      <c r="BD10" t="s">
        <v>74</v>
      </c>
      <c r="BE10" t="s">
        <v>3209</v>
      </c>
      <c r="BF10" t="str">
        <f>HYPERLINK("http://dx.doi.org/10.1127/fal/2017/0682","http://dx.doi.org/10.1127/fal/2017/0682")</f>
        <v>http://dx.doi.org/10.1127/fal/2017/0682</v>
      </c>
      <c r="BG10" t="s">
        <v>74</v>
      </c>
      <c r="BH10" t="s">
        <v>74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 t="s">
        <v>3210</v>
      </c>
      <c r="BT10" t="str">
        <f>HYPERLINK("https%3A%2F%2Fwww.webofscience.com%2Fwos%2Fwoscc%2Ffull-record%2FWOS:000423785200007","View Full Record in Web of Science")</f>
        <v>View Full Record in Web of Science</v>
      </c>
    </row>
    <row r="11" spans="1:72" x14ac:dyDescent="0.2">
      <c r="A11" t="s">
        <v>72</v>
      </c>
      <c r="B11" t="s">
        <v>3631</v>
      </c>
      <c r="C11" t="s">
        <v>74</v>
      </c>
      <c r="D11" t="s">
        <v>74</v>
      </c>
      <c r="E11" t="s">
        <v>74</v>
      </c>
      <c r="F11" t="s">
        <v>3632</v>
      </c>
      <c r="G11" t="s">
        <v>74</v>
      </c>
      <c r="H11" t="s">
        <v>74</v>
      </c>
      <c r="I11" t="s">
        <v>3633</v>
      </c>
      <c r="J11" t="s">
        <v>106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74</v>
      </c>
      <c r="AB11" t="s">
        <v>3634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107</v>
      </c>
      <c r="AP11" t="s">
        <v>108</v>
      </c>
      <c r="AQ11" t="s">
        <v>74</v>
      </c>
      <c r="AR11" t="s">
        <v>74</v>
      </c>
      <c r="AS11" t="s">
        <v>74</v>
      </c>
      <c r="AT11" t="s">
        <v>3635</v>
      </c>
      <c r="AU11">
        <v>2016</v>
      </c>
      <c r="AV11">
        <v>38</v>
      </c>
      <c r="AW11">
        <v>5</v>
      </c>
      <c r="AX11" t="s">
        <v>74</v>
      </c>
      <c r="AY11" t="s">
        <v>74</v>
      </c>
      <c r="AZ11" t="s">
        <v>74</v>
      </c>
      <c r="BA11" t="s">
        <v>74</v>
      </c>
      <c r="BB11">
        <v>1281</v>
      </c>
      <c r="BC11">
        <v>1288</v>
      </c>
      <c r="BD11" t="s">
        <v>74</v>
      </c>
      <c r="BE11" t="s">
        <v>3636</v>
      </c>
      <c r="BF11" t="str">
        <f>HYPERLINK("http://dx.doi.org/10.1093/plankt/fbw055","http://dx.doi.org/10.1093/plankt/fbw055")</f>
        <v>http://dx.doi.org/10.1093/plankt/fbw055</v>
      </c>
      <c r="BG11" t="s">
        <v>74</v>
      </c>
      <c r="BH11" t="s">
        <v>74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 t="s">
        <v>74</v>
      </c>
      <c r="BR11" t="s">
        <v>74</v>
      </c>
      <c r="BS11" t="s">
        <v>3637</v>
      </c>
      <c r="BT11" t="str">
        <f>HYPERLINK("https%3A%2F%2Fwww.webofscience.com%2Fwos%2Fwoscc%2Ffull-record%2FWOS:000384135000012","View Full Record in Web of Science")</f>
        <v>View Full Record in Web of Science</v>
      </c>
    </row>
    <row r="12" spans="1:72" x14ac:dyDescent="0.2">
      <c r="A12" t="s">
        <v>72</v>
      </c>
      <c r="B12" t="s">
        <v>3916</v>
      </c>
      <c r="C12" t="s">
        <v>74</v>
      </c>
      <c r="D12" t="s">
        <v>74</v>
      </c>
      <c r="E12" t="s">
        <v>74</v>
      </c>
      <c r="F12" t="s">
        <v>3917</v>
      </c>
      <c r="G12" t="s">
        <v>74</v>
      </c>
      <c r="H12" t="s">
        <v>74</v>
      </c>
      <c r="I12" t="s">
        <v>3918</v>
      </c>
      <c r="J12" t="s">
        <v>3919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7063</v>
      </c>
      <c r="AB12" t="s">
        <v>7064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3920</v>
      </c>
      <c r="AP12" t="s">
        <v>3921</v>
      </c>
      <c r="AQ12" t="s">
        <v>74</v>
      </c>
      <c r="AR12" t="s">
        <v>74</v>
      </c>
      <c r="AS12" t="s">
        <v>74</v>
      </c>
      <c r="AT12" t="s">
        <v>520</v>
      </c>
      <c r="AU12">
        <v>2015</v>
      </c>
      <c r="AV12">
        <v>81</v>
      </c>
      <c r="AW12">
        <v>15</v>
      </c>
      <c r="AX12" t="s">
        <v>74</v>
      </c>
      <c r="AY12" t="s">
        <v>74</v>
      </c>
      <c r="AZ12" t="s">
        <v>74</v>
      </c>
      <c r="BA12" t="s">
        <v>74</v>
      </c>
      <c r="BB12">
        <v>4993</v>
      </c>
      <c r="BC12">
        <v>5002</v>
      </c>
      <c r="BD12" t="s">
        <v>74</v>
      </c>
      <c r="BE12" t="s">
        <v>3922</v>
      </c>
      <c r="BF12" t="str">
        <f>HYPERLINK("http://dx.doi.org/10.1128/AEM.00396-15","http://dx.doi.org/10.1128/AEM.00396-15")</f>
        <v>http://dx.doi.org/10.1128/AEM.00396-15</v>
      </c>
      <c r="BG12" t="s">
        <v>74</v>
      </c>
      <c r="BH12" t="s">
        <v>74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>
        <v>25979896</v>
      </c>
      <c r="BO12" t="s">
        <v>74</v>
      </c>
      <c r="BP12" t="s">
        <v>74</v>
      </c>
      <c r="BQ12" t="s">
        <v>74</v>
      </c>
      <c r="BR12" t="s">
        <v>74</v>
      </c>
      <c r="BS12" t="s">
        <v>3923</v>
      </c>
      <c r="BT12" t="str">
        <f>HYPERLINK("https%3A%2F%2Fwww.webofscience.com%2Fwos%2Fwoscc%2Ffull-record%2FWOS:000357668600014","View Full Record in Web of Science")</f>
        <v>View Full Record in Web of Science</v>
      </c>
    </row>
    <row r="13" spans="1:72" x14ac:dyDescent="0.2">
      <c r="A13" t="s">
        <v>72</v>
      </c>
      <c r="B13" t="s">
        <v>4620</v>
      </c>
      <c r="C13" t="s">
        <v>74</v>
      </c>
      <c r="D13" t="s">
        <v>74</v>
      </c>
      <c r="E13" t="s">
        <v>74</v>
      </c>
      <c r="F13" t="s">
        <v>4621</v>
      </c>
      <c r="G13" t="s">
        <v>74</v>
      </c>
      <c r="H13" t="s">
        <v>74</v>
      </c>
      <c r="I13" t="s">
        <v>4622</v>
      </c>
      <c r="J13" t="s">
        <v>4623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4624</v>
      </c>
      <c r="AB13" t="s">
        <v>4625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4626</v>
      </c>
      <c r="AP13" t="s">
        <v>74</v>
      </c>
      <c r="AQ13" t="s">
        <v>74</v>
      </c>
      <c r="AR13" t="s">
        <v>74</v>
      </c>
      <c r="AS13" t="s">
        <v>74</v>
      </c>
      <c r="AT13" t="s">
        <v>3687</v>
      </c>
      <c r="AU13">
        <v>2012</v>
      </c>
      <c r="AV13">
        <v>6</v>
      </c>
      <c r="AW13">
        <v>20</v>
      </c>
      <c r="AX13" t="s">
        <v>74</v>
      </c>
      <c r="AY13" t="s">
        <v>74</v>
      </c>
      <c r="AZ13" t="s">
        <v>74</v>
      </c>
      <c r="BA13" t="s">
        <v>74</v>
      </c>
      <c r="BB13">
        <v>4277</v>
      </c>
      <c r="BC13">
        <v>4291</v>
      </c>
      <c r="BD13" t="s">
        <v>74</v>
      </c>
      <c r="BE13" t="s">
        <v>4627</v>
      </c>
      <c r="BF13" t="str">
        <f>HYPERLINK("http://dx.doi.org/10.5897/AJMR11.735","http://dx.doi.org/10.5897/AJMR11.735")</f>
        <v>http://dx.doi.org/10.5897/AJMR11.735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4628</v>
      </c>
      <c r="BT13" t="str">
        <f>HYPERLINK("https%3A%2F%2Fwww.webofscience.com%2Fwos%2Fwoscc%2Ffull-record%2FWOS:000307405500012","View Full Record in Web of Science")</f>
        <v>View Full Record in Web of Science</v>
      </c>
    </row>
    <row r="14" spans="1:72" x14ac:dyDescent="0.2">
      <c r="A14" t="s">
        <v>2716</v>
      </c>
      <c r="B14" t="s">
        <v>5003</v>
      </c>
      <c r="C14" t="s">
        <v>74</v>
      </c>
      <c r="D14" t="s">
        <v>5004</v>
      </c>
      <c r="E14" t="s">
        <v>74</v>
      </c>
      <c r="F14" t="s">
        <v>5005</v>
      </c>
      <c r="G14" t="s">
        <v>74</v>
      </c>
      <c r="H14" t="s">
        <v>74</v>
      </c>
      <c r="I14" t="s">
        <v>5006</v>
      </c>
      <c r="J14" t="s">
        <v>5007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5008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74</v>
      </c>
      <c r="AP14" t="s">
        <v>74</v>
      </c>
      <c r="AQ14" t="s">
        <v>5009</v>
      </c>
      <c r="AR14" t="s">
        <v>74</v>
      </c>
      <c r="AS14" t="s">
        <v>74</v>
      </c>
      <c r="AT14" t="s">
        <v>74</v>
      </c>
      <c r="AU14">
        <v>2011</v>
      </c>
      <c r="AV14" t="s">
        <v>74</v>
      </c>
      <c r="AW14" t="s">
        <v>74</v>
      </c>
      <c r="AX14" t="s">
        <v>74</v>
      </c>
      <c r="AY14" t="s">
        <v>74</v>
      </c>
      <c r="AZ14" t="s">
        <v>74</v>
      </c>
      <c r="BA14" t="s">
        <v>74</v>
      </c>
      <c r="BB14">
        <v>211</v>
      </c>
      <c r="BC14">
        <v>223</v>
      </c>
      <c r="BD14" t="s">
        <v>74</v>
      </c>
      <c r="BE14" t="s">
        <v>5010</v>
      </c>
      <c r="BF14" t="str">
        <f>HYPERLINK("http://dx.doi.org/10.1007/978-90-481-9625-8_10","http://dx.doi.org/10.1007/978-90-481-9625-8_10")</f>
        <v>http://dx.doi.org/10.1007/978-90-481-9625-8_10</v>
      </c>
      <c r="BG14" t="s">
        <v>5011</v>
      </c>
      <c r="BH14" t="s">
        <v>74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 t="s">
        <v>5012</v>
      </c>
      <c r="BT14" t="str">
        <f>HYPERLINK("https%3A%2F%2Fwww.webofscience.com%2Fwos%2Fwoscc%2Ffull-record%2FWOS:000283620400010","View Full Record in Web of Science")</f>
        <v>View Full Record in Web of Science</v>
      </c>
    </row>
    <row r="15" spans="1:72" x14ac:dyDescent="0.2">
      <c r="A15" t="s">
        <v>2716</v>
      </c>
      <c r="B15" t="s">
        <v>5271</v>
      </c>
      <c r="C15" t="s">
        <v>74</v>
      </c>
      <c r="D15" t="s">
        <v>5272</v>
      </c>
      <c r="E15" t="s">
        <v>74</v>
      </c>
      <c r="F15" t="s">
        <v>5273</v>
      </c>
      <c r="G15" t="s">
        <v>74</v>
      </c>
      <c r="H15" t="s">
        <v>74</v>
      </c>
      <c r="I15" t="s">
        <v>5274</v>
      </c>
      <c r="J15" t="s">
        <v>5275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5276</v>
      </c>
      <c r="AB15" t="s">
        <v>5277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74</v>
      </c>
      <c r="AP15" t="s">
        <v>74</v>
      </c>
      <c r="AQ15" t="s">
        <v>5278</v>
      </c>
      <c r="AR15" t="s">
        <v>74</v>
      </c>
      <c r="AS15" t="s">
        <v>74</v>
      </c>
      <c r="AT15" t="s">
        <v>74</v>
      </c>
      <c r="AU15">
        <v>2009</v>
      </c>
      <c r="AV15" t="s">
        <v>74</v>
      </c>
      <c r="AW15" t="s">
        <v>74</v>
      </c>
      <c r="AX15" t="s">
        <v>74</v>
      </c>
      <c r="AY15" t="s">
        <v>74</v>
      </c>
      <c r="AZ15" t="s">
        <v>74</v>
      </c>
      <c r="BA15" t="s">
        <v>74</v>
      </c>
      <c r="BB15">
        <v>147</v>
      </c>
      <c r="BC15">
        <v>178</v>
      </c>
      <c r="BD15" t="s">
        <v>74</v>
      </c>
      <c r="BE15" t="s">
        <v>5279</v>
      </c>
      <c r="BF15" t="str">
        <f>HYPERLINK("http://dx.doi.org/10.1007/978-0-387-89366-2_7","http://dx.doi.org/10.1007/978-0-387-89366-2_7")</f>
        <v>http://dx.doi.org/10.1007/978-0-387-89366-2_7</v>
      </c>
      <c r="BG15" t="s">
        <v>5280</v>
      </c>
      <c r="BH15" t="s">
        <v>74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">
        <v>5281</v>
      </c>
      <c r="BT15" t="str">
        <f>HYPERLINK("https%3A%2F%2Fwww.webofscience.com%2Fwos%2Fwoscc%2Ffull-record%2FWOS:000268354200008","View Full Record in Web of Science")</f>
        <v>View Full Record in Web of Science</v>
      </c>
    </row>
    <row r="16" spans="1:72" x14ac:dyDescent="0.2">
      <c r="A16" t="s">
        <v>72</v>
      </c>
      <c r="B16" t="s">
        <v>5442</v>
      </c>
      <c r="C16" t="s">
        <v>74</v>
      </c>
      <c r="D16" t="s">
        <v>74</v>
      </c>
      <c r="E16" t="s">
        <v>74</v>
      </c>
      <c r="F16" t="s">
        <v>5443</v>
      </c>
      <c r="G16" t="s">
        <v>74</v>
      </c>
      <c r="H16" t="s">
        <v>74</v>
      </c>
      <c r="I16" t="s">
        <v>5444</v>
      </c>
      <c r="J16" t="s">
        <v>244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5445</v>
      </c>
      <c r="AB16" t="s">
        <v>5446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247</v>
      </c>
      <c r="AP16" t="s">
        <v>248</v>
      </c>
      <c r="AQ16" t="s">
        <v>74</v>
      </c>
      <c r="AR16" t="s">
        <v>74</v>
      </c>
      <c r="AS16" t="s">
        <v>74</v>
      </c>
      <c r="AT16" t="s">
        <v>74</v>
      </c>
      <c r="AU16">
        <v>2008</v>
      </c>
      <c r="AV16">
        <v>59</v>
      </c>
      <c r="AW16">
        <v>8</v>
      </c>
      <c r="AX16" t="s">
        <v>74</v>
      </c>
      <c r="AY16" t="s">
        <v>74</v>
      </c>
      <c r="AZ16" t="s">
        <v>74</v>
      </c>
      <c r="BA16" t="s">
        <v>74</v>
      </c>
      <c r="BB16">
        <v>717</v>
      </c>
      <c r="BC16">
        <v>725</v>
      </c>
      <c r="BD16" t="s">
        <v>74</v>
      </c>
      <c r="BE16" t="s">
        <v>5447</v>
      </c>
      <c r="BF16" t="str">
        <f>HYPERLINK("http://dx.doi.org/10.1071/MF08023","http://dx.doi.org/10.1071/MF08023")</f>
        <v>http://dx.doi.org/10.1071/MF08023</v>
      </c>
      <c r="BG16" t="s">
        <v>74</v>
      </c>
      <c r="BH16" t="s">
        <v>74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 t="s">
        <v>74</v>
      </c>
      <c r="BR16" t="s">
        <v>74</v>
      </c>
      <c r="BS16" t="s">
        <v>5448</v>
      </c>
      <c r="BT16" t="str">
        <f>HYPERLINK("https%3A%2F%2Fwww.webofscience.com%2Fwos%2Fwoscc%2Ffull-record%2FWOS:000258642400007","View Full Record in Web of Science")</f>
        <v>View Full Record in Web of Science</v>
      </c>
    </row>
    <row r="17" spans="1:72" x14ac:dyDescent="0.2">
      <c r="A17" t="s">
        <v>72</v>
      </c>
      <c r="B17" t="s">
        <v>5449</v>
      </c>
      <c r="C17" t="s">
        <v>74</v>
      </c>
      <c r="D17" t="s">
        <v>74</v>
      </c>
      <c r="E17" t="s">
        <v>74</v>
      </c>
      <c r="F17" t="s">
        <v>5450</v>
      </c>
      <c r="G17" t="s">
        <v>74</v>
      </c>
      <c r="H17" t="s">
        <v>74</v>
      </c>
      <c r="I17" t="s">
        <v>5451</v>
      </c>
      <c r="J17" t="s">
        <v>5452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74</v>
      </c>
      <c r="AA17" t="s">
        <v>5453</v>
      </c>
      <c r="AB17" t="s">
        <v>5454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5455</v>
      </c>
      <c r="AP17" t="s">
        <v>74</v>
      </c>
      <c r="AQ17" t="s">
        <v>74</v>
      </c>
      <c r="AR17" t="s">
        <v>74</v>
      </c>
      <c r="AS17" t="s">
        <v>74</v>
      </c>
      <c r="AT17" t="s">
        <v>3834</v>
      </c>
      <c r="AU17">
        <v>2008</v>
      </c>
      <c r="AV17">
        <v>69</v>
      </c>
      <c r="AW17">
        <v>1</v>
      </c>
      <c r="AX17" t="s">
        <v>74</v>
      </c>
      <c r="AY17" t="s">
        <v>74</v>
      </c>
      <c r="AZ17" t="s">
        <v>74</v>
      </c>
      <c r="BA17" t="s">
        <v>74</v>
      </c>
      <c r="BB17">
        <v>44</v>
      </c>
      <c r="BC17">
        <v>56</v>
      </c>
      <c r="BD17" t="s">
        <v>74</v>
      </c>
      <c r="BE17" t="s">
        <v>74</v>
      </c>
      <c r="BF17" t="s">
        <v>74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>
        <v>18409400</v>
      </c>
      <c r="BO17" t="s">
        <v>74</v>
      </c>
      <c r="BP17" t="s">
        <v>74</v>
      </c>
      <c r="BQ17" t="s">
        <v>74</v>
      </c>
      <c r="BR17" t="s">
        <v>74</v>
      </c>
      <c r="BS17" t="s">
        <v>5456</v>
      </c>
      <c r="BT17" t="str">
        <f>HYPERLINK("https%3A%2F%2Fwww.webofscience.com%2Fwos%2Fwoscc%2Ffull-record%2FWOS:000253332100005","View Full Record in Web of Science")</f>
        <v>View Full Record in Web of Science</v>
      </c>
    </row>
    <row r="18" spans="1:72" x14ac:dyDescent="0.2">
      <c r="A18" t="s">
        <v>72</v>
      </c>
      <c r="B18" t="s">
        <v>5486</v>
      </c>
      <c r="C18" t="s">
        <v>74</v>
      </c>
      <c r="D18" t="s">
        <v>74</v>
      </c>
      <c r="E18" t="s">
        <v>74</v>
      </c>
      <c r="F18" t="s">
        <v>5487</v>
      </c>
      <c r="G18" t="s">
        <v>74</v>
      </c>
      <c r="H18" t="s">
        <v>74</v>
      </c>
      <c r="I18" t="s">
        <v>5488</v>
      </c>
      <c r="J18" t="s">
        <v>5489</v>
      </c>
      <c r="K18" t="s">
        <v>74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 t="s">
        <v>74</v>
      </c>
      <c r="AA18" t="s">
        <v>5490</v>
      </c>
      <c r="AB18" t="s">
        <v>5491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5492</v>
      </c>
      <c r="AP18" t="s">
        <v>5493</v>
      </c>
      <c r="AQ18" t="s">
        <v>74</v>
      </c>
      <c r="AR18" t="s">
        <v>74</v>
      </c>
      <c r="AS18" t="s">
        <v>74</v>
      </c>
      <c r="AT18" t="s">
        <v>406</v>
      </c>
      <c r="AU18">
        <v>2007</v>
      </c>
      <c r="AV18">
        <v>20</v>
      </c>
      <c r="AW18">
        <v>2</v>
      </c>
      <c r="AX18" t="s">
        <v>74</v>
      </c>
      <c r="AY18" t="s">
        <v>74</v>
      </c>
      <c r="AZ18" t="s">
        <v>74</v>
      </c>
      <c r="BA18" t="s">
        <v>74</v>
      </c>
      <c r="BB18">
        <v>315</v>
      </c>
      <c r="BC18">
        <v>325</v>
      </c>
      <c r="BD18" t="s">
        <v>74</v>
      </c>
      <c r="BE18" t="s">
        <v>74</v>
      </c>
      <c r="BF18" t="s">
        <v>74</v>
      </c>
      <c r="BG18" t="s">
        <v>74</v>
      </c>
      <c r="BH18" t="s">
        <v>74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 t="s">
        <v>5494</v>
      </c>
      <c r="BT18" t="str">
        <f>HYPERLINK("https%3A%2F%2Fwww.webofscience.com%2Fwos%2Fwoscc%2Ffull-record%2FWOS:000250933600009","View Full Record in Web of Science")</f>
        <v>View Full Record in Web of Science</v>
      </c>
    </row>
    <row r="19" spans="1:72" x14ac:dyDescent="0.2">
      <c r="A19" t="s">
        <v>72</v>
      </c>
      <c r="B19" t="s">
        <v>5571</v>
      </c>
      <c r="C19" t="s">
        <v>74</v>
      </c>
      <c r="D19" t="s">
        <v>74</v>
      </c>
      <c r="E19" t="s">
        <v>74</v>
      </c>
      <c r="F19" t="s">
        <v>5572</v>
      </c>
      <c r="G19" t="s">
        <v>74</v>
      </c>
      <c r="H19" t="s">
        <v>74</v>
      </c>
      <c r="I19" t="s">
        <v>5573</v>
      </c>
      <c r="J19" t="s">
        <v>5574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4072</v>
      </c>
      <c r="AB19" t="s">
        <v>5575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5576</v>
      </c>
      <c r="AP19" t="s">
        <v>5577</v>
      </c>
      <c r="AQ19" t="s">
        <v>74</v>
      </c>
      <c r="AR19" t="s">
        <v>74</v>
      </c>
      <c r="AS19" t="s">
        <v>74</v>
      </c>
      <c r="AT19" t="s">
        <v>203</v>
      </c>
      <c r="AU19">
        <v>2007</v>
      </c>
      <c r="AV19">
        <v>26</v>
      </c>
      <c r="AW19">
        <v>1</v>
      </c>
      <c r="AX19" t="s">
        <v>74</v>
      </c>
      <c r="AY19" t="s">
        <v>74</v>
      </c>
      <c r="AZ19" t="s">
        <v>74</v>
      </c>
      <c r="BA19" t="s">
        <v>74</v>
      </c>
      <c r="BB19">
        <v>205</v>
      </c>
      <c r="BC19">
        <v>213</v>
      </c>
      <c r="BD19" t="s">
        <v>74</v>
      </c>
      <c r="BE19" t="s">
        <v>5578</v>
      </c>
      <c r="BF19" t="str">
        <f>HYPERLINK("http://dx.doi.org/10.2983/0730-8000(2007)26[205:TIBDPA]2.0.CO;2","http://dx.doi.org/10.2983/0730-8000(2007)26[205:TIBDPA]2.0.CO;2")</f>
        <v>http://dx.doi.org/10.2983/0730-8000(2007)26[205:TIBDPA]2.0.CO;2</v>
      </c>
      <c r="BG19" t="s">
        <v>74</v>
      </c>
      <c r="BH19" t="s">
        <v>74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 t="s">
        <v>5579</v>
      </c>
      <c r="BT19" t="str">
        <f>HYPERLINK("https%3A%2F%2Fwww.webofscience.com%2Fwos%2Fwoscc%2Ffull-record%2FWOS:000246255800025","View Full Record in Web of Science")</f>
        <v>View Full Record in Web of Science</v>
      </c>
    </row>
    <row r="20" spans="1:72" x14ac:dyDescent="0.2">
      <c r="A20" t="s">
        <v>72</v>
      </c>
      <c r="B20" t="s">
        <v>5580</v>
      </c>
      <c r="C20" t="s">
        <v>74</v>
      </c>
      <c r="D20" t="s">
        <v>74</v>
      </c>
      <c r="E20" t="s">
        <v>74</v>
      </c>
      <c r="F20" t="s">
        <v>5581</v>
      </c>
      <c r="G20" t="s">
        <v>74</v>
      </c>
      <c r="H20" t="s">
        <v>74</v>
      </c>
      <c r="I20" t="s">
        <v>5582</v>
      </c>
      <c r="J20" t="s">
        <v>5583</v>
      </c>
      <c r="K20" t="s">
        <v>74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74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5584</v>
      </c>
      <c r="AB20" t="s">
        <v>5585</v>
      </c>
      <c r="AC20" t="s">
        <v>74</v>
      </c>
      <c r="AD20" t="s">
        <v>74</v>
      </c>
      <c r="AE20" t="s">
        <v>74</v>
      </c>
      <c r="AF20" t="s">
        <v>74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t="s">
        <v>74</v>
      </c>
      <c r="AN20" t="s">
        <v>74</v>
      </c>
      <c r="AO20" t="s">
        <v>5586</v>
      </c>
      <c r="AP20" t="s">
        <v>74</v>
      </c>
      <c r="AQ20" t="s">
        <v>74</v>
      </c>
      <c r="AR20" t="s">
        <v>74</v>
      </c>
      <c r="AS20" t="s">
        <v>74</v>
      </c>
      <c r="AT20" t="s">
        <v>203</v>
      </c>
      <c r="AU20">
        <v>2007</v>
      </c>
      <c r="AV20">
        <v>32</v>
      </c>
      <c r="AW20">
        <v>4</v>
      </c>
      <c r="AX20" t="s">
        <v>74</v>
      </c>
      <c r="AY20" t="s">
        <v>74</v>
      </c>
      <c r="AZ20" t="s">
        <v>74</v>
      </c>
      <c r="BA20" t="s">
        <v>74</v>
      </c>
      <c r="BB20">
        <v>220</v>
      </c>
      <c r="BC20">
        <v>226</v>
      </c>
      <c r="BD20" t="s">
        <v>74</v>
      </c>
      <c r="BE20" t="s">
        <v>74</v>
      </c>
      <c r="BF20" t="s">
        <v>74</v>
      </c>
      <c r="BG20" t="s">
        <v>74</v>
      </c>
      <c r="BH20" t="s">
        <v>74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 t="s">
        <v>5587</v>
      </c>
      <c r="BT20" t="str">
        <f>HYPERLINK("https%3A%2F%2Fwww.webofscience.com%2Fwos%2Fwoscc%2Ffull-record%2FWOS:000246780500002","View Full Record in Web of Science")</f>
        <v>View Full Record in Web of Science</v>
      </c>
    </row>
    <row r="21" spans="1:72" x14ac:dyDescent="0.2">
      <c r="A21" t="s">
        <v>72</v>
      </c>
      <c r="B21" t="s">
        <v>5650</v>
      </c>
      <c r="C21" t="s">
        <v>74</v>
      </c>
      <c r="D21" t="s">
        <v>74</v>
      </c>
      <c r="E21" t="s">
        <v>74</v>
      </c>
      <c r="F21" t="s">
        <v>5651</v>
      </c>
      <c r="G21" t="s">
        <v>74</v>
      </c>
      <c r="H21" t="s">
        <v>74</v>
      </c>
      <c r="I21" t="s">
        <v>5652</v>
      </c>
      <c r="J21" t="s">
        <v>756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4471</v>
      </c>
      <c r="AB21" t="s">
        <v>5653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759</v>
      </c>
      <c r="AP21" t="s">
        <v>74</v>
      </c>
      <c r="AQ21" t="s">
        <v>74</v>
      </c>
      <c r="AR21" t="s">
        <v>74</v>
      </c>
      <c r="AS21" t="s">
        <v>74</v>
      </c>
      <c r="AT21" t="s">
        <v>74</v>
      </c>
      <c r="AU21">
        <v>2007</v>
      </c>
      <c r="AV21">
        <v>169</v>
      </c>
      <c r="AW21">
        <v>3</v>
      </c>
      <c r="AX21" t="s">
        <v>74</v>
      </c>
      <c r="AY21" t="s">
        <v>74</v>
      </c>
      <c r="AZ21" t="s">
        <v>74</v>
      </c>
      <c r="BA21" t="s">
        <v>74</v>
      </c>
      <c r="BB21">
        <v>189</v>
      </c>
      <c r="BC21">
        <v>202</v>
      </c>
      <c r="BD21" t="s">
        <v>74</v>
      </c>
      <c r="BE21" t="s">
        <v>5654</v>
      </c>
      <c r="BF21" t="str">
        <f>HYPERLINK("http://dx.doi.org/10.1127/1863-9135/2007/0169-0189","http://dx.doi.org/10.1127/1863-9135/2007/0169-0189")</f>
        <v>http://dx.doi.org/10.1127/1863-9135/2007/0169-0189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R21" t="s">
        <v>74</v>
      </c>
      <c r="BS21" t="s">
        <v>5655</v>
      </c>
      <c r="BT21" t="str">
        <f>HYPERLINK("https%3A%2F%2Fwww.webofscience.com%2Fwos%2Fwoscc%2Ffull-record%2FWOS:000249479600002","View Full Record in Web of Science")</f>
        <v>View Full Record in Web of Science</v>
      </c>
    </row>
    <row r="22" spans="1:72" x14ac:dyDescent="0.2">
      <c r="A22" t="s">
        <v>72</v>
      </c>
      <c r="B22" t="s">
        <v>5880</v>
      </c>
      <c r="C22" t="s">
        <v>74</v>
      </c>
      <c r="D22" t="s">
        <v>74</v>
      </c>
      <c r="E22" t="s">
        <v>74</v>
      </c>
      <c r="F22" t="s">
        <v>5880</v>
      </c>
      <c r="G22" t="s">
        <v>74</v>
      </c>
      <c r="H22" t="s">
        <v>74</v>
      </c>
      <c r="I22" t="s">
        <v>5881</v>
      </c>
      <c r="J22" t="s">
        <v>2421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74</v>
      </c>
      <c r="AA22" t="s">
        <v>74</v>
      </c>
      <c r="AB22" t="s">
        <v>74</v>
      </c>
      <c r="AC22" t="s">
        <v>74</v>
      </c>
      <c r="AD22" t="s">
        <v>74</v>
      </c>
      <c r="AE22" t="s">
        <v>74</v>
      </c>
      <c r="AF22" t="s">
        <v>74</v>
      </c>
      <c r="AG22" t="s">
        <v>74</v>
      </c>
      <c r="AH22" t="s">
        <v>74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2422</v>
      </c>
      <c r="AP22" t="s">
        <v>74</v>
      </c>
      <c r="AQ22" t="s">
        <v>74</v>
      </c>
      <c r="AR22" t="s">
        <v>74</v>
      </c>
      <c r="AS22" t="s">
        <v>74</v>
      </c>
      <c r="AT22" t="s">
        <v>74</v>
      </c>
      <c r="AU22">
        <v>2005</v>
      </c>
      <c r="AV22">
        <v>31</v>
      </c>
      <c r="AW22">
        <v>1</v>
      </c>
      <c r="AX22" t="s">
        <v>74</v>
      </c>
      <c r="AY22" t="s">
        <v>74</v>
      </c>
      <c r="AZ22" t="s">
        <v>74</v>
      </c>
      <c r="BA22" t="s">
        <v>74</v>
      </c>
      <c r="BB22">
        <v>87</v>
      </c>
      <c r="BC22">
        <v>96</v>
      </c>
      <c r="BD22" t="s">
        <v>74</v>
      </c>
      <c r="BE22" t="s">
        <v>5882</v>
      </c>
      <c r="BF22" t="str">
        <f>HYPERLINK("http://dx.doi.org/10.1016/S0380-1330(05)70240-9","http://dx.doi.org/10.1016/S0380-1330(05)70240-9")</f>
        <v>http://dx.doi.org/10.1016/S0380-1330(05)70240-9</v>
      </c>
      <c r="BG22" t="s">
        <v>74</v>
      </c>
      <c r="BH22" t="s">
        <v>74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 t="s">
        <v>74</v>
      </c>
      <c r="BR22" t="s">
        <v>74</v>
      </c>
      <c r="BS22" t="s">
        <v>5883</v>
      </c>
      <c r="BT22" t="str">
        <f>HYPERLINK("https%3A%2F%2Fwww.webofscience.com%2Fwos%2Fwoscc%2Ffull-record%2FWOS:000230145500008","View Full Record in Web of Science")</f>
        <v>View Full Record in Web of Science</v>
      </c>
    </row>
    <row r="23" spans="1:72" x14ac:dyDescent="0.2">
      <c r="A23" t="s">
        <v>72</v>
      </c>
      <c r="B23" t="s">
        <v>5984</v>
      </c>
      <c r="C23" t="s">
        <v>74</v>
      </c>
      <c r="D23" t="s">
        <v>74</v>
      </c>
      <c r="E23" t="s">
        <v>74</v>
      </c>
      <c r="F23" t="s">
        <v>5984</v>
      </c>
      <c r="G23" t="s">
        <v>74</v>
      </c>
      <c r="H23" t="s">
        <v>74</v>
      </c>
      <c r="I23" t="s">
        <v>5985</v>
      </c>
      <c r="J23" t="s">
        <v>5986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74</v>
      </c>
      <c r="Y23" t="s">
        <v>74</v>
      </c>
      <c r="Z23" t="s">
        <v>74</v>
      </c>
      <c r="AA23" t="s">
        <v>74</v>
      </c>
      <c r="AB23" t="s">
        <v>5987</v>
      </c>
      <c r="AC23" t="s">
        <v>74</v>
      </c>
      <c r="AD23" t="s">
        <v>74</v>
      </c>
      <c r="AE23" t="s">
        <v>74</v>
      </c>
      <c r="AF23" t="s">
        <v>74</v>
      </c>
      <c r="AG23" t="s">
        <v>74</v>
      </c>
      <c r="AH23" t="s">
        <v>74</v>
      </c>
      <c r="AI23" t="s">
        <v>74</v>
      </c>
      <c r="AJ23" t="s">
        <v>74</v>
      </c>
      <c r="AK23" t="s">
        <v>74</v>
      </c>
      <c r="AL23" t="s">
        <v>74</v>
      </c>
      <c r="AM23" t="s">
        <v>74</v>
      </c>
      <c r="AN23" t="s">
        <v>74</v>
      </c>
      <c r="AO23" t="s">
        <v>5988</v>
      </c>
      <c r="AP23" t="s">
        <v>5989</v>
      </c>
      <c r="AQ23" t="s">
        <v>74</v>
      </c>
      <c r="AR23" t="s">
        <v>74</v>
      </c>
      <c r="AS23" t="s">
        <v>74</v>
      </c>
      <c r="AT23" t="s">
        <v>5990</v>
      </c>
      <c r="AU23">
        <v>2003</v>
      </c>
      <c r="AV23">
        <v>40</v>
      </c>
      <c r="AW23">
        <v>4</v>
      </c>
      <c r="AX23" t="s">
        <v>74</v>
      </c>
      <c r="AY23" t="s">
        <v>74</v>
      </c>
      <c r="AZ23" t="s">
        <v>74</v>
      </c>
      <c r="BA23" t="s">
        <v>74</v>
      </c>
      <c r="BB23">
        <v>531</v>
      </c>
      <c r="BC23">
        <v>544</v>
      </c>
      <c r="BD23" t="s">
        <v>74</v>
      </c>
      <c r="BE23" t="s">
        <v>74</v>
      </c>
      <c r="BF23" t="s">
        <v>74</v>
      </c>
      <c r="BG23" t="s">
        <v>74</v>
      </c>
      <c r="BH23" t="s">
        <v>74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 t="s">
        <v>5991</v>
      </c>
      <c r="BT23" t="str">
        <f>HYPERLINK("https%3A%2F%2Fwww.webofscience.com%2Fwos%2Fwoscc%2Ffull-record%2FWOS:000220070400002","View Full Record in Web of Science")</f>
        <v>View Full Record in Web of Science</v>
      </c>
    </row>
    <row r="24" spans="1:72" x14ac:dyDescent="0.2">
      <c r="A24" t="s">
        <v>72</v>
      </c>
      <c r="B24" t="s">
        <v>6029</v>
      </c>
      <c r="C24" t="s">
        <v>74</v>
      </c>
      <c r="D24" t="s">
        <v>74</v>
      </c>
      <c r="E24" t="s">
        <v>74</v>
      </c>
      <c r="F24" t="s">
        <v>6029</v>
      </c>
      <c r="G24" t="s">
        <v>74</v>
      </c>
      <c r="H24" t="s">
        <v>74</v>
      </c>
      <c r="I24" t="s">
        <v>6030</v>
      </c>
      <c r="J24" t="s">
        <v>5710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74</v>
      </c>
      <c r="W24" t="s">
        <v>74</v>
      </c>
      <c r="X24" t="s">
        <v>74</v>
      </c>
      <c r="Y24" t="s">
        <v>74</v>
      </c>
      <c r="Z24" t="s">
        <v>74</v>
      </c>
      <c r="AA24" t="s">
        <v>6031</v>
      </c>
      <c r="AB24" t="s">
        <v>6032</v>
      </c>
      <c r="AC24" t="s">
        <v>74</v>
      </c>
      <c r="AD24" t="s">
        <v>74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5711</v>
      </c>
      <c r="AP24" t="s">
        <v>74</v>
      </c>
      <c r="AQ24" t="s">
        <v>74</v>
      </c>
      <c r="AR24" t="s">
        <v>74</v>
      </c>
      <c r="AS24" t="s">
        <v>74</v>
      </c>
      <c r="AT24" t="s">
        <v>451</v>
      </c>
      <c r="AU24">
        <v>2003</v>
      </c>
      <c r="AV24">
        <v>158</v>
      </c>
      <c r="AW24">
        <v>2</v>
      </c>
      <c r="AX24" t="s">
        <v>74</v>
      </c>
      <c r="AY24" t="s">
        <v>74</v>
      </c>
      <c r="AZ24" t="s">
        <v>74</v>
      </c>
      <c r="BA24" t="s">
        <v>74</v>
      </c>
      <c r="BB24">
        <v>197</v>
      </c>
      <c r="BC24">
        <v>213</v>
      </c>
      <c r="BD24" t="s">
        <v>74</v>
      </c>
      <c r="BE24" t="s">
        <v>6033</v>
      </c>
      <c r="BF24" t="str">
        <f>HYPERLINK("http://dx.doi.org/10.1127/0003-9136/2003/0158-0197","http://dx.doi.org/10.1127/0003-9136/2003/0158-0197")</f>
        <v>http://dx.doi.org/10.1127/0003-9136/2003/0158-0197</v>
      </c>
      <c r="BG24" t="s">
        <v>74</v>
      </c>
      <c r="BH24" t="s">
        <v>74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 t="s">
        <v>74</v>
      </c>
      <c r="BR24" t="s">
        <v>74</v>
      </c>
      <c r="BS24" t="s">
        <v>6034</v>
      </c>
      <c r="BT24" t="str">
        <f>HYPERLINK("https%3A%2F%2Fwww.webofscience.com%2Fwos%2Fwoscc%2Ffull-record%2FWOS:000186564300004","View Full Record in Web of Science")</f>
        <v>View Full Record in Web of Science</v>
      </c>
    </row>
    <row r="25" spans="1:72" x14ac:dyDescent="0.2">
      <c r="A25" t="s">
        <v>72</v>
      </c>
      <c r="B25" t="s">
        <v>6067</v>
      </c>
      <c r="C25" t="s">
        <v>74</v>
      </c>
      <c r="D25" t="s">
        <v>74</v>
      </c>
      <c r="E25" t="s">
        <v>74</v>
      </c>
      <c r="F25" t="s">
        <v>6067</v>
      </c>
      <c r="G25" t="s">
        <v>74</v>
      </c>
      <c r="H25" t="s">
        <v>74</v>
      </c>
      <c r="I25" t="s">
        <v>6068</v>
      </c>
      <c r="J25" t="s">
        <v>5710</v>
      </c>
      <c r="K25" t="s">
        <v>74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74</v>
      </c>
      <c r="AA25" t="s">
        <v>6069</v>
      </c>
      <c r="AB25" t="s">
        <v>6070</v>
      </c>
      <c r="AC25" t="s">
        <v>74</v>
      </c>
      <c r="AD25" t="s">
        <v>74</v>
      </c>
      <c r="AE25" t="s">
        <v>74</v>
      </c>
      <c r="AF25" t="s">
        <v>74</v>
      </c>
      <c r="AG25" t="s">
        <v>74</v>
      </c>
      <c r="AH25" t="s">
        <v>74</v>
      </c>
      <c r="AI25" t="s">
        <v>74</v>
      </c>
      <c r="AJ25" t="s">
        <v>74</v>
      </c>
      <c r="AK25" t="s">
        <v>74</v>
      </c>
      <c r="AL25" t="s">
        <v>74</v>
      </c>
      <c r="AM25" t="s">
        <v>74</v>
      </c>
      <c r="AN25" t="s">
        <v>74</v>
      </c>
      <c r="AO25" t="s">
        <v>5711</v>
      </c>
      <c r="AP25" t="s">
        <v>74</v>
      </c>
      <c r="AQ25" t="s">
        <v>74</v>
      </c>
      <c r="AR25" t="s">
        <v>74</v>
      </c>
      <c r="AS25" t="s">
        <v>74</v>
      </c>
      <c r="AT25" t="s">
        <v>406</v>
      </c>
      <c r="AU25">
        <v>2002</v>
      </c>
      <c r="AV25">
        <v>155</v>
      </c>
      <c r="AW25">
        <v>3</v>
      </c>
      <c r="AX25" t="s">
        <v>74</v>
      </c>
      <c r="AY25" t="s">
        <v>74</v>
      </c>
      <c r="AZ25" t="s">
        <v>74</v>
      </c>
      <c r="BA25" t="s">
        <v>74</v>
      </c>
      <c r="BB25">
        <v>517</v>
      </c>
      <c r="BC25">
        <v>526</v>
      </c>
      <c r="BD25" t="s">
        <v>74</v>
      </c>
      <c r="BE25" t="s">
        <v>74</v>
      </c>
      <c r="BF25" t="s">
        <v>74</v>
      </c>
      <c r="BG25" t="s">
        <v>74</v>
      </c>
      <c r="BH25" t="s">
        <v>74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">
        <v>6071</v>
      </c>
      <c r="BT25" t="str">
        <f>HYPERLINK("https%3A%2F%2Fwww.webofscience.com%2Fwos%2Fwoscc%2Ffull-record%2FWOS:000179384900010","View Full Record in Web of Science")</f>
        <v>View Full Record in Web of Science</v>
      </c>
    </row>
    <row r="26" spans="1:72" x14ac:dyDescent="0.2">
      <c r="A26" t="s">
        <v>72</v>
      </c>
      <c r="B26" t="s">
        <v>6179</v>
      </c>
      <c r="C26" t="s">
        <v>74</v>
      </c>
      <c r="D26" t="s">
        <v>74</v>
      </c>
      <c r="E26" t="s">
        <v>74</v>
      </c>
      <c r="F26" t="s">
        <v>6179</v>
      </c>
      <c r="G26" t="s">
        <v>74</v>
      </c>
      <c r="H26" t="s">
        <v>74</v>
      </c>
      <c r="I26" t="s">
        <v>6180</v>
      </c>
      <c r="J26" t="s">
        <v>6181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  <c r="Z26" t="s">
        <v>74</v>
      </c>
      <c r="AA26" t="s">
        <v>74</v>
      </c>
      <c r="AB26" t="s">
        <v>74</v>
      </c>
      <c r="AC26" t="s">
        <v>74</v>
      </c>
      <c r="AD26" t="s">
        <v>74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6182</v>
      </c>
      <c r="AP26" t="s">
        <v>74</v>
      </c>
      <c r="AQ26" t="s">
        <v>74</v>
      </c>
      <c r="AR26" t="s">
        <v>74</v>
      </c>
      <c r="AS26" t="s">
        <v>74</v>
      </c>
      <c r="AT26" t="s">
        <v>257</v>
      </c>
      <c r="AU26">
        <v>2000</v>
      </c>
      <c r="AV26">
        <v>122</v>
      </c>
      <c r="AW26" t="s">
        <v>74</v>
      </c>
      <c r="AX26" t="s">
        <v>74</v>
      </c>
      <c r="AY26" t="s">
        <v>74</v>
      </c>
      <c r="AZ26" t="s">
        <v>74</v>
      </c>
      <c r="BA26" t="s">
        <v>74</v>
      </c>
      <c r="BB26">
        <v>79</v>
      </c>
      <c r="BC26">
        <v>88</v>
      </c>
      <c r="BD26" t="s">
        <v>74</v>
      </c>
      <c r="BE26" t="s">
        <v>74</v>
      </c>
      <c r="BF26" t="s">
        <v>74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 t="s">
        <v>6183</v>
      </c>
      <c r="BT26" t="str">
        <f>HYPERLINK("https%3A%2F%2Fwww.webofscience.com%2Fwos%2Fwoscc%2Ffull-record%2FWOS:000169255200005","View Full Record in Web of Science")</f>
        <v>View Full Record in Web of Science</v>
      </c>
    </row>
    <row r="27" spans="1:72" x14ac:dyDescent="0.2">
      <c r="A27" t="s">
        <v>72</v>
      </c>
      <c r="B27" t="s">
        <v>6248</v>
      </c>
      <c r="C27" t="s">
        <v>74</v>
      </c>
      <c r="D27" t="s">
        <v>74</v>
      </c>
      <c r="E27" t="s">
        <v>74</v>
      </c>
      <c r="F27" t="s">
        <v>6248</v>
      </c>
      <c r="G27" t="s">
        <v>74</v>
      </c>
      <c r="H27" t="s">
        <v>74</v>
      </c>
      <c r="I27" t="s">
        <v>6249</v>
      </c>
      <c r="J27" t="s">
        <v>6250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74</v>
      </c>
      <c r="Y27" t="s">
        <v>74</v>
      </c>
      <c r="Z27" t="s">
        <v>74</v>
      </c>
      <c r="AA27" t="s">
        <v>74</v>
      </c>
      <c r="AB27" t="s">
        <v>74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6251</v>
      </c>
      <c r="AP27" t="s">
        <v>6252</v>
      </c>
      <c r="AQ27" t="s">
        <v>74</v>
      </c>
      <c r="AR27" t="s">
        <v>74</v>
      </c>
      <c r="AS27" t="s">
        <v>74</v>
      </c>
      <c r="AT27" t="s">
        <v>82</v>
      </c>
      <c r="AU27">
        <v>1999</v>
      </c>
      <c r="AV27">
        <v>72</v>
      </c>
      <c r="AW27">
        <v>4</v>
      </c>
      <c r="AX27" t="s">
        <v>74</v>
      </c>
      <c r="AY27" t="s">
        <v>74</v>
      </c>
      <c r="AZ27" t="s">
        <v>74</v>
      </c>
      <c r="BA27" t="s">
        <v>74</v>
      </c>
      <c r="BB27">
        <v>671</v>
      </c>
      <c r="BC27">
        <v>676</v>
      </c>
      <c r="BD27" t="s">
        <v>74</v>
      </c>
      <c r="BE27" t="s">
        <v>74</v>
      </c>
      <c r="BF27" t="s">
        <v>74</v>
      </c>
      <c r="BG27" t="s">
        <v>74</v>
      </c>
      <c r="BH27" t="s">
        <v>74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 t="s">
        <v>74</v>
      </c>
      <c r="BR27" t="s">
        <v>74</v>
      </c>
      <c r="BS27" t="s">
        <v>6253</v>
      </c>
      <c r="BT27" t="str">
        <f>HYPERLINK("https%3A%2F%2Fwww.webofscience.com%2Fwos%2Fwoscc%2Ffull-record%2FWOS:000084976900016","View Full Record in Web of Science")</f>
        <v>View Full Record in Web of Science</v>
      </c>
    </row>
    <row r="28" spans="1:72" x14ac:dyDescent="0.2">
      <c r="A28" t="s">
        <v>72</v>
      </c>
      <c r="B28" t="s">
        <v>6295</v>
      </c>
      <c r="C28" t="s">
        <v>74</v>
      </c>
      <c r="D28" t="s">
        <v>74</v>
      </c>
      <c r="E28" t="s">
        <v>74</v>
      </c>
      <c r="F28" t="s">
        <v>6295</v>
      </c>
      <c r="G28" t="s">
        <v>74</v>
      </c>
      <c r="H28" t="s">
        <v>74</v>
      </c>
      <c r="I28" t="s">
        <v>6296</v>
      </c>
      <c r="J28" t="s">
        <v>5710</v>
      </c>
      <c r="K28" t="s">
        <v>74</v>
      </c>
      <c r="L28" t="s">
        <v>74</v>
      </c>
      <c r="M28" t="s">
        <v>74</v>
      </c>
      <c r="N28" t="s">
        <v>74</v>
      </c>
      <c r="O28" t="s">
        <v>74</v>
      </c>
      <c r="P28" t="s">
        <v>74</v>
      </c>
      <c r="Q28" t="s">
        <v>74</v>
      </c>
      <c r="R28" t="s">
        <v>74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74</v>
      </c>
      <c r="Y28" t="s">
        <v>74</v>
      </c>
      <c r="Z28" t="s">
        <v>74</v>
      </c>
      <c r="AA28" t="s">
        <v>6069</v>
      </c>
      <c r="AB28" t="s">
        <v>6070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5711</v>
      </c>
      <c r="AP28" t="s">
        <v>74</v>
      </c>
      <c r="AQ28" t="s">
        <v>74</v>
      </c>
      <c r="AR28" t="s">
        <v>74</v>
      </c>
      <c r="AS28" t="s">
        <v>74</v>
      </c>
      <c r="AT28" t="s">
        <v>451</v>
      </c>
      <c r="AU28">
        <v>1998</v>
      </c>
      <c r="AV28">
        <v>143</v>
      </c>
      <c r="AW28">
        <v>2</v>
      </c>
      <c r="AX28" t="s">
        <v>74</v>
      </c>
      <c r="AY28" t="s">
        <v>74</v>
      </c>
      <c r="AZ28" t="s">
        <v>74</v>
      </c>
      <c r="BA28" t="s">
        <v>74</v>
      </c>
      <c r="BB28">
        <v>227</v>
      </c>
      <c r="BC28">
        <v>255</v>
      </c>
      <c r="BD28" t="s">
        <v>74</v>
      </c>
      <c r="BE28" t="s">
        <v>74</v>
      </c>
      <c r="BF28" t="s">
        <v>74</v>
      </c>
      <c r="BG28" t="s">
        <v>74</v>
      </c>
      <c r="BH28" t="s">
        <v>74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 t="s">
        <v>74</v>
      </c>
      <c r="BR28" t="s">
        <v>74</v>
      </c>
      <c r="BS28" t="s">
        <v>6297</v>
      </c>
      <c r="BT28" t="str">
        <f>HYPERLINK("https%3A%2F%2Fwww.webofscience.com%2Fwos%2Fwoscc%2Ffull-record%2FWOS:000076817700006","View Full Record in Web of Science")</f>
        <v>View Full Record in Web of Science</v>
      </c>
    </row>
    <row r="29" spans="1:72" x14ac:dyDescent="0.2">
      <c r="A29" t="s">
        <v>72</v>
      </c>
      <c r="B29" t="s">
        <v>6329</v>
      </c>
      <c r="C29" t="s">
        <v>74</v>
      </c>
      <c r="D29" t="s">
        <v>74</v>
      </c>
      <c r="E29" t="s">
        <v>74</v>
      </c>
      <c r="F29" t="s">
        <v>6329</v>
      </c>
      <c r="G29" t="s">
        <v>74</v>
      </c>
      <c r="H29" t="s">
        <v>74</v>
      </c>
      <c r="I29" t="s">
        <v>6330</v>
      </c>
      <c r="J29" t="s">
        <v>6331</v>
      </c>
      <c r="K29" t="s">
        <v>74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74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74</v>
      </c>
      <c r="Y29" t="s">
        <v>74</v>
      </c>
      <c r="Z29" t="s">
        <v>74</v>
      </c>
      <c r="AA29" t="s">
        <v>74</v>
      </c>
      <c r="AB29" t="s">
        <v>74</v>
      </c>
      <c r="AC29" t="s">
        <v>74</v>
      </c>
      <c r="AD29" t="s">
        <v>74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6332</v>
      </c>
      <c r="AP29" t="s">
        <v>74</v>
      </c>
      <c r="AQ29" t="s">
        <v>74</v>
      </c>
      <c r="AR29" t="s">
        <v>74</v>
      </c>
      <c r="AS29" t="s">
        <v>74</v>
      </c>
      <c r="AT29" t="s">
        <v>203</v>
      </c>
      <c r="AU29">
        <v>1998</v>
      </c>
      <c r="AV29">
        <v>51</v>
      </c>
      <c r="AW29">
        <v>1</v>
      </c>
      <c r="AX29" t="s">
        <v>74</v>
      </c>
      <c r="AY29" t="s">
        <v>74</v>
      </c>
      <c r="AZ29" t="s">
        <v>74</v>
      </c>
      <c r="BA29" t="s">
        <v>74</v>
      </c>
      <c r="BB29">
        <v>27</v>
      </c>
      <c r="BC29">
        <v>36</v>
      </c>
      <c r="BD29" t="s">
        <v>74</v>
      </c>
      <c r="BE29" t="s">
        <v>74</v>
      </c>
      <c r="BF29" t="s">
        <v>74</v>
      </c>
      <c r="BG29" t="s">
        <v>74</v>
      </c>
      <c r="BH29" t="s">
        <v>74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 t="s">
        <v>74</v>
      </c>
      <c r="BO29" t="s">
        <v>74</v>
      </c>
      <c r="BP29" t="s">
        <v>74</v>
      </c>
      <c r="BQ29" t="s">
        <v>74</v>
      </c>
      <c r="BR29" t="s">
        <v>74</v>
      </c>
      <c r="BS29" t="s">
        <v>6333</v>
      </c>
      <c r="BT29" t="str">
        <f>HYPERLINK("https%3A%2F%2Fwww.webofscience.com%2Fwos%2Fwoscc%2Ffull-record%2FWOS:000077897500003","View Full Record in Web of Science")</f>
        <v>View Full Record in Web of Science</v>
      </c>
    </row>
    <row r="30" spans="1:72" x14ac:dyDescent="0.2">
      <c r="A30" t="s">
        <v>72</v>
      </c>
      <c r="B30" t="s">
        <v>6348</v>
      </c>
      <c r="C30" t="s">
        <v>74</v>
      </c>
      <c r="D30" t="s">
        <v>74</v>
      </c>
      <c r="E30" t="s">
        <v>74</v>
      </c>
      <c r="F30" t="s">
        <v>6348</v>
      </c>
      <c r="G30" t="s">
        <v>74</v>
      </c>
      <c r="H30" t="s">
        <v>74</v>
      </c>
      <c r="I30" t="s">
        <v>6349</v>
      </c>
      <c r="J30" t="s">
        <v>244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74</v>
      </c>
      <c r="T30" t="s">
        <v>74</v>
      </c>
      <c r="U30" t="s">
        <v>74</v>
      </c>
      <c r="V30" t="s">
        <v>74</v>
      </c>
      <c r="W30" t="s">
        <v>74</v>
      </c>
      <c r="X30" t="s">
        <v>74</v>
      </c>
      <c r="Y30" t="s">
        <v>74</v>
      </c>
      <c r="Z30" t="s">
        <v>74</v>
      </c>
      <c r="AA30" t="s">
        <v>6350</v>
      </c>
      <c r="AB30" t="s">
        <v>6351</v>
      </c>
      <c r="AC30" t="s">
        <v>74</v>
      </c>
      <c r="AD30" t="s">
        <v>74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247</v>
      </c>
      <c r="AP30" t="s">
        <v>74</v>
      </c>
      <c r="AQ30" t="s">
        <v>74</v>
      </c>
      <c r="AR30" t="s">
        <v>74</v>
      </c>
      <c r="AS30" t="s">
        <v>74</v>
      </c>
      <c r="AT30" t="s">
        <v>74</v>
      </c>
      <c r="AU30">
        <v>1998</v>
      </c>
      <c r="AV30">
        <v>49</v>
      </c>
      <c r="AW30">
        <v>6</v>
      </c>
      <c r="AX30" t="s">
        <v>74</v>
      </c>
      <c r="AY30" t="s">
        <v>74</v>
      </c>
      <c r="AZ30" t="s">
        <v>74</v>
      </c>
      <c r="BA30" t="s">
        <v>74</v>
      </c>
      <c r="BB30">
        <v>547</v>
      </c>
      <c r="BC30">
        <v>552</v>
      </c>
      <c r="BD30" t="s">
        <v>74</v>
      </c>
      <c r="BE30" t="s">
        <v>6352</v>
      </c>
      <c r="BF30" t="str">
        <f>HYPERLINK("http://dx.doi.org/10.1071/MF97254","http://dx.doi.org/10.1071/MF97254")</f>
        <v>http://dx.doi.org/10.1071/MF97254</v>
      </c>
      <c r="BG30" t="s">
        <v>74</v>
      </c>
      <c r="BH30" t="s">
        <v>74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 t="s">
        <v>6353</v>
      </c>
      <c r="BT30" t="str">
        <f>HYPERLINK("https%3A%2F%2Fwww.webofscience.com%2Fwos%2Fwoscc%2Ffull-record%2FWOS:000078710100012","View Full Record in Web of Science")</f>
        <v>View Full Record in Web of Science</v>
      </c>
    </row>
    <row r="31" spans="1:72" x14ac:dyDescent="0.2">
      <c r="A31" t="s">
        <v>72</v>
      </c>
      <c r="B31" t="s">
        <v>6502</v>
      </c>
      <c r="C31" t="s">
        <v>74</v>
      </c>
      <c r="D31" t="s">
        <v>74</v>
      </c>
      <c r="E31" t="s">
        <v>74</v>
      </c>
      <c r="F31" t="s">
        <v>6502</v>
      </c>
      <c r="G31" t="s">
        <v>74</v>
      </c>
      <c r="H31" t="s">
        <v>74</v>
      </c>
      <c r="I31" t="s">
        <v>6503</v>
      </c>
      <c r="J31" t="s">
        <v>244</v>
      </c>
      <c r="K31" t="s">
        <v>74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74</v>
      </c>
      <c r="U31" t="s">
        <v>74</v>
      </c>
      <c r="V31" t="s">
        <v>74</v>
      </c>
      <c r="W31" t="s">
        <v>74</v>
      </c>
      <c r="X31" t="s">
        <v>74</v>
      </c>
      <c r="Y31" t="s">
        <v>74</v>
      </c>
      <c r="Z31" t="s">
        <v>74</v>
      </c>
      <c r="AA31" t="s">
        <v>6350</v>
      </c>
      <c r="AB31" t="s">
        <v>6351</v>
      </c>
      <c r="AC31" t="s">
        <v>74</v>
      </c>
      <c r="AD31" t="s">
        <v>74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247</v>
      </c>
      <c r="AP31" t="s">
        <v>74</v>
      </c>
      <c r="AQ31" t="s">
        <v>74</v>
      </c>
      <c r="AR31" t="s">
        <v>74</v>
      </c>
      <c r="AS31" t="s">
        <v>74</v>
      </c>
      <c r="AT31" t="s">
        <v>74</v>
      </c>
      <c r="AU31">
        <v>1996</v>
      </c>
      <c r="AV31">
        <v>47</v>
      </c>
      <c r="AW31">
        <v>8</v>
      </c>
      <c r="AX31" t="s">
        <v>74</v>
      </c>
      <c r="AY31" t="s">
        <v>74</v>
      </c>
      <c r="AZ31" t="s">
        <v>74</v>
      </c>
      <c r="BA31" t="s">
        <v>74</v>
      </c>
      <c r="BB31">
        <v>1025</v>
      </c>
      <c r="BC31">
        <v>1036</v>
      </c>
      <c r="BD31" t="s">
        <v>74</v>
      </c>
      <c r="BE31" t="s">
        <v>6504</v>
      </c>
      <c r="BF31" t="str">
        <f>HYPERLINK("http://dx.doi.org/10.1071/MF9961025","http://dx.doi.org/10.1071/MF9961025")</f>
        <v>http://dx.doi.org/10.1071/MF9961025</v>
      </c>
      <c r="BG31" t="s">
        <v>74</v>
      </c>
      <c r="BH31" t="s">
        <v>74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 t="s">
        <v>6505</v>
      </c>
      <c r="BT31" t="str">
        <f>HYPERLINK("https%3A%2F%2Fwww.webofscience.com%2Fwos%2Fwoscc%2Ffull-record%2FWOS:A1996VX33500009","View Full Record in Web of Science")</f>
        <v>View Full Record in Web of Science</v>
      </c>
    </row>
    <row r="32" spans="1:72" x14ac:dyDescent="0.2">
      <c r="A32" t="s">
        <v>72</v>
      </c>
      <c r="B32" t="s">
        <v>6510</v>
      </c>
      <c r="C32" t="s">
        <v>74</v>
      </c>
      <c r="D32" t="s">
        <v>74</v>
      </c>
      <c r="E32" t="s">
        <v>74</v>
      </c>
      <c r="F32" t="s">
        <v>6510</v>
      </c>
      <c r="G32" t="s">
        <v>74</v>
      </c>
      <c r="H32" t="s">
        <v>74</v>
      </c>
      <c r="I32" t="s">
        <v>6511</v>
      </c>
      <c r="J32" t="s">
        <v>5710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74</v>
      </c>
      <c r="V32" t="s">
        <v>74</v>
      </c>
      <c r="W32" t="s">
        <v>74</v>
      </c>
      <c r="X32" t="s">
        <v>74</v>
      </c>
      <c r="Y32" t="s">
        <v>74</v>
      </c>
      <c r="Z32" t="s">
        <v>74</v>
      </c>
      <c r="AA32" t="s">
        <v>74</v>
      </c>
      <c r="AB32" t="s">
        <v>74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5711</v>
      </c>
      <c r="AP32" t="s">
        <v>74</v>
      </c>
      <c r="AQ32" t="s">
        <v>74</v>
      </c>
      <c r="AR32" t="s">
        <v>74</v>
      </c>
      <c r="AS32" t="s">
        <v>74</v>
      </c>
      <c r="AT32" t="s">
        <v>315</v>
      </c>
      <c r="AU32">
        <v>1996</v>
      </c>
      <c r="AV32">
        <v>135</v>
      </c>
      <c r="AW32">
        <v>3</v>
      </c>
      <c r="AX32" t="s">
        <v>74</v>
      </c>
      <c r="AY32" t="s">
        <v>74</v>
      </c>
      <c r="AZ32" t="s">
        <v>74</v>
      </c>
      <c r="BA32" t="s">
        <v>74</v>
      </c>
      <c r="BB32">
        <v>289</v>
      </c>
      <c r="BC32">
        <v>319</v>
      </c>
      <c r="BD32" t="s">
        <v>74</v>
      </c>
      <c r="BE32" t="s">
        <v>74</v>
      </c>
      <c r="BF32" t="s">
        <v>74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 t="s">
        <v>74</v>
      </c>
      <c r="BR32" t="s">
        <v>74</v>
      </c>
      <c r="BS32" t="s">
        <v>6512</v>
      </c>
      <c r="BT32" t="str">
        <f>HYPERLINK("https%3A%2F%2Fwww.webofscience.com%2Fwos%2Fwoscc%2Ffull-record%2FWOS:A1996TT86100001","View Full Record in Web of Science")</f>
        <v>View Full Record in Web of Science</v>
      </c>
    </row>
    <row r="33" spans="1:72" x14ac:dyDescent="0.2">
      <c r="A33" t="s">
        <v>72</v>
      </c>
      <c r="B33" t="s">
        <v>6533</v>
      </c>
      <c r="C33" t="s">
        <v>74</v>
      </c>
      <c r="D33" t="s">
        <v>74</v>
      </c>
      <c r="E33" t="s">
        <v>74</v>
      </c>
      <c r="F33" t="s">
        <v>6533</v>
      </c>
      <c r="G33" t="s">
        <v>74</v>
      </c>
      <c r="H33" t="s">
        <v>74</v>
      </c>
      <c r="I33" t="s">
        <v>6534</v>
      </c>
      <c r="J33" t="s">
        <v>844</v>
      </c>
      <c r="K33" t="s">
        <v>74</v>
      </c>
      <c r="L33" t="s">
        <v>74</v>
      </c>
      <c r="M33" t="s">
        <v>74</v>
      </c>
      <c r="N33" t="s">
        <v>74</v>
      </c>
      <c r="O33" t="s">
        <v>74</v>
      </c>
      <c r="P33" t="s">
        <v>74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74</v>
      </c>
      <c r="Y33" t="s">
        <v>74</v>
      </c>
      <c r="Z33" t="s">
        <v>74</v>
      </c>
      <c r="AA33" t="s">
        <v>74</v>
      </c>
      <c r="AB33" t="s">
        <v>6535</v>
      </c>
      <c r="AC33" t="s">
        <v>74</v>
      </c>
      <c r="AD33" t="s">
        <v>74</v>
      </c>
      <c r="AE33" t="s">
        <v>74</v>
      </c>
      <c r="AF33" t="s">
        <v>74</v>
      </c>
      <c r="AG33" t="s">
        <v>74</v>
      </c>
      <c r="AH33" t="s">
        <v>74</v>
      </c>
      <c r="AI33" t="s">
        <v>74</v>
      </c>
      <c r="AJ33" t="s">
        <v>74</v>
      </c>
      <c r="AK33" t="s">
        <v>74</v>
      </c>
      <c r="AL33" t="s">
        <v>74</v>
      </c>
      <c r="AM33" t="s">
        <v>74</v>
      </c>
      <c r="AN33" t="s">
        <v>74</v>
      </c>
      <c r="AO33" t="s">
        <v>847</v>
      </c>
      <c r="AP33" t="s">
        <v>848</v>
      </c>
      <c r="AQ33" t="s">
        <v>74</v>
      </c>
      <c r="AR33" t="s">
        <v>74</v>
      </c>
      <c r="AS33" t="s">
        <v>74</v>
      </c>
      <c r="AT33" t="s">
        <v>569</v>
      </c>
      <c r="AU33">
        <v>1995</v>
      </c>
      <c r="AV33">
        <v>14</v>
      </c>
      <c r="AW33">
        <v>6</v>
      </c>
      <c r="AX33" t="s">
        <v>74</v>
      </c>
      <c r="AY33" t="s">
        <v>74</v>
      </c>
      <c r="AZ33" t="s">
        <v>74</v>
      </c>
      <c r="BA33" t="s">
        <v>74</v>
      </c>
      <c r="BB33">
        <v>983</v>
      </c>
      <c r="BC33">
        <v>991</v>
      </c>
      <c r="BD33" t="s">
        <v>74</v>
      </c>
      <c r="BE33" t="s">
        <v>6536</v>
      </c>
      <c r="BF33" t="str">
        <f>HYPERLINK("http://dx.doi.org/10.1002/etc.5620140609","http://dx.doi.org/10.1002/etc.5620140609")</f>
        <v>http://dx.doi.org/10.1002/etc.5620140609</v>
      </c>
      <c r="BG33" t="s">
        <v>74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">
        <v>6537</v>
      </c>
      <c r="BT33" t="str">
        <f>HYPERLINK("https%3A%2F%2Fwww.webofscience.com%2Fwos%2Fwoscc%2Ffull-record%2FWOS:A1995QZ39700009","View Full Record in Web of Science")</f>
        <v>View Full Record in Web of Science</v>
      </c>
    </row>
    <row r="34" spans="1:72" x14ac:dyDescent="0.2">
      <c r="A34" t="s">
        <v>72</v>
      </c>
      <c r="B34" t="s">
        <v>6600</v>
      </c>
      <c r="C34" t="s">
        <v>74</v>
      </c>
      <c r="D34" t="s">
        <v>74</v>
      </c>
      <c r="E34" t="s">
        <v>74</v>
      </c>
      <c r="F34" t="s">
        <v>6600</v>
      </c>
      <c r="G34" t="s">
        <v>74</v>
      </c>
      <c r="H34" t="s">
        <v>74</v>
      </c>
      <c r="I34" t="s">
        <v>6601</v>
      </c>
      <c r="J34" t="s">
        <v>1716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74</v>
      </c>
      <c r="AB34" t="s">
        <v>74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1717</v>
      </c>
      <c r="AP34" t="s">
        <v>74</v>
      </c>
      <c r="AQ34" t="s">
        <v>74</v>
      </c>
      <c r="AR34" t="s">
        <v>74</v>
      </c>
      <c r="AS34" t="s">
        <v>74</v>
      </c>
      <c r="AT34" t="s">
        <v>569</v>
      </c>
      <c r="AU34">
        <v>1993</v>
      </c>
      <c r="AV34">
        <v>29</v>
      </c>
      <c r="AW34">
        <v>3</v>
      </c>
      <c r="AX34" t="s">
        <v>74</v>
      </c>
      <c r="AY34" t="s">
        <v>74</v>
      </c>
      <c r="AZ34" t="s">
        <v>74</v>
      </c>
      <c r="BA34" t="s">
        <v>74</v>
      </c>
      <c r="BB34">
        <v>278</v>
      </c>
      <c r="BC34">
        <v>284</v>
      </c>
      <c r="BD34" t="s">
        <v>74</v>
      </c>
      <c r="BE34" t="s">
        <v>6602</v>
      </c>
      <c r="BF34" t="str">
        <f>HYPERLINK("http://dx.doi.org/10.1111/j.0022-3646.1993.00278.x","http://dx.doi.org/10.1111/j.0022-3646.1993.00278.x")</f>
        <v>http://dx.doi.org/10.1111/j.0022-3646.1993.00278.x</v>
      </c>
      <c r="BG34" t="s">
        <v>74</v>
      </c>
      <c r="BH34" t="s">
        <v>74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 t="s">
        <v>6603</v>
      </c>
      <c r="BT34" t="str">
        <f>HYPERLINK("https%3A%2F%2Fwww.webofscience.com%2Fwos%2Fwoscc%2Ffull-record%2FWOS:A1993LJ87600003","View Full Record in Web of Science")</f>
        <v>View Full Record in Web of Science</v>
      </c>
    </row>
    <row r="35" spans="1:72" x14ac:dyDescent="0.2">
      <c r="A35" t="s">
        <v>72</v>
      </c>
      <c r="B35" t="s">
        <v>6600</v>
      </c>
      <c r="C35" t="s">
        <v>74</v>
      </c>
      <c r="D35" t="s">
        <v>74</v>
      </c>
      <c r="E35" t="s">
        <v>74</v>
      </c>
      <c r="F35" t="s">
        <v>6600</v>
      </c>
      <c r="G35" t="s">
        <v>74</v>
      </c>
      <c r="H35" t="s">
        <v>74</v>
      </c>
      <c r="I35" t="s">
        <v>6619</v>
      </c>
      <c r="J35" t="s">
        <v>6620</v>
      </c>
      <c r="K35" t="s">
        <v>74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74</v>
      </c>
      <c r="T35" t="s">
        <v>74</v>
      </c>
      <c r="U35" t="s">
        <v>74</v>
      </c>
      <c r="V35" t="s">
        <v>74</v>
      </c>
      <c r="W35" t="s">
        <v>74</v>
      </c>
      <c r="X35" t="s">
        <v>74</v>
      </c>
      <c r="Y35" t="s">
        <v>74</v>
      </c>
      <c r="Z35" t="s">
        <v>74</v>
      </c>
      <c r="AA35" t="s">
        <v>74</v>
      </c>
      <c r="AB35" t="s">
        <v>74</v>
      </c>
      <c r="AC35" t="s">
        <v>74</v>
      </c>
      <c r="AD35" t="s">
        <v>74</v>
      </c>
      <c r="AE35" t="s">
        <v>74</v>
      </c>
      <c r="AF35" t="s">
        <v>74</v>
      </c>
      <c r="AG35" t="s">
        <v>74</v>
      </c>
      <c r="AH35" t="s">
        <v>74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6621</v>
      </c>
      <c r="AP35" t="s">
        <v>74</v>
      </c>
      <c r="AQ35" t="s">
        <v>74</v>
      </c>
      <c r="AR35" t="s">
        <v>74</v>
      </c>
      <c r="AS35" t="s">
        <v>74</v>
      </c>
      <c r="AT35" t="s">
        <v>74</v>
      </c>
      <c r="AU35">
        <v>1993</v>
      </c>
      <c r="AV35">
        <v>13</v>
      </c>
      <c r="AW35">
        <v>6</v>
      </c>
      <c r="AX35" t="s">
        <v>74</v>
      </c>
      <c r="AY35" t="s">
        <v>74</v>
      </c>
      <c r="AZ35" t="s">
        <v>74</v>
      </c>
      <c r="BA35" t="s">
        <v>74</v>
      </c>
      <c r="BB35">
        <v>697</v>
      </c>
      <c r="BC35">
        <v>705</v>
      </c>
      <c r="BD35" t="s">
        <v>74</v>
      </c>
      <c r="BE35" t="s">
        <v>6622</v>
      </c>
      <c r="BF35" t="str">
        <f>HYPERLINK("http://dx.doi.org/10.1111/j.1756-1051.1993.tb00114.x","http://dx.doi.org/10.1111/j.1756-1051.1993.tb00114.x")</f>
        <v>http://dx.doi.org/10.1111/j.1756-1051.1993.tb00114.x</v>
      </c>
      <c r="BG35" t="s">
        <v>74</v>
      </c>
      <c r="BH35" t="s">
        <v>74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 t="s">
        <v>74</v>
      </c>
      <c r="BR35" t="s">
        <v>74</v>
      </c>
      <c r="BS35" t="s">
        <v>6623</v>
      </c>
      <c r="BT35" t="str">
        <f>HYPERLINK("https%3A%2F%2Fwww.webofscience.com%2Fwos%2Fwoscc%2Ffull-record%2FWOS:A1993MU26300011","View Full Record in Web of Science")</f>
        <v>View Full Record in Web of Science</v>
      </c>
    </row>
    <row r="36" spans="1:72" x14ac:dyDescent="0.2">
      <c r="A36" t="s">
        <v>72</v>
      </c>
      <c r="B36" t="s">
        <v>6649</v>
      </c>
      <c r="C36" t="s">
        <v>74</v>
      </c>
      <c r="D36" t="s">
        <v>74</v>
      </c>
      <c r="E36" t="s">
        <v>74</v>
      </c>
      <c r="F36" t="s">
        <v>6649</v>
      </c>
      <c r="G36" t="s">
        <v>74</v>
      </c>
      <c r="H36" t="s">
        <v>74</v>
      </c>
      <c r="I36" t="s">
        <v>6650</v>
      </c>
      <c r="J36" t="s">
        <v>5710</v>
      </c>
      <c r="K36" t="s">
        <v>74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74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74</v>
      </c>
      <c r="AB36" t="s">
        <v>74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 t="s">
        <v>74</v>
      </c>
      <c r="AK36" t="s">
        <v>74</v>
      </c>
      <c r="AL36" t="s">
        <v>74</v>
      </c>
      <c r="AM36" t="s">
        <v>74</v>
      </c>
      <c r="AN36" t="s">
        <v>74</v>
      </c>
      <c r="AO36" t="s">
        <v>5711</v>
      </c>
      <c r="AP36" t="s">
        <v>74</v>
      </c>
      <c r="AQ36" t="s">
        <v>74</v>
      </c>
      <c r="AR36" t="s">
        <v>74</v>
      </c>
      <c r="AS36" t="s">
        <v>74</v>
      </c>
      <c r="AT36" t="s">
        <v>335</v>
      </c>
      <c r="AU36">
        <v>1991</v>
      </c>
      <c r="AV36">
        <v>123</v>
      </c>
      <c r="AW36">
        <v>1</v>
      </c>
      <c r="AX36" t="s">
        <v>74</v>
      </c>
      <c r="AY36" t="s">
        <v>74</v>
      </c>
      <c r="AZ36" t="s">
        <v>74</v>
      </c>
      <c r="BA36" t="s">
        <v>74</v>
      </c>
      <c r="BB36">
        <v>69</v>
      </c>
      <c r="BC36">
        <v>97</v>
      </c>
      <c r="BD36" t="s">
        <v>74</v>
      </c>
      <c r="BE36" t="s">
        <v>74</v>
      </c>
      <c r="BF36" t="s">
        <v>74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 t="s">
        <v>6651</v>
      </c>
      <c r="BT36" t="str">
        <f>HYPERLINK("https%3A%2F%2Fwww.webofscience.com%2Fwos%2Fwoscc%2Ffull-record%2FWOS:A1991GT18500005","View Full Record in Web of Science")</f>
        <v>View Full Record in Web of Science</v>
      </c>
    </row>
    <row r="37" spans="1:72" x14ac:dyDescent="0.2">
      <c r="A37" t="s">
        <v>72</v>
      </c>
      <c r="B37" t="s">
        <v>6677</v>
      </c>
      <c r="C37" t="s">
        <v>74</v>
      </c>
      <c r="D37" t="s">
        <v>74</v>
      </c>
      <c r="E37" t="s">
        <v>74</v>
      </c>
      <c r="F37" t="s">
        <v>6677</v>
      </c>
      <c r="G37" t="s">
        <v>74</v>
      </c>
      <c r="H37" t="s">
        <v>74</v>
      </c>
      <c r="I37" t="s">
        <v>6678</v>
      </c>
      <c r="J37" t="s">
        <v>844</v>
      </c>
      <c r="K37" t="s">
        <v>74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74</v>
      </c>
      <c r="V37" t="s">
        <v>74</v>
      </c>
      <c r="W37" t="s">
        <v>74</v>
      </c>
      <c r="X37" t="s">
        <v>74</v>
      </c>
      <c r="Y37" t="s">
        <v>74</v>
      </c>
      <c r="Z37" t="s">
        <v>74</v>
      </c>
      <c r="AA37" t="s">
        <v>74</v>
      </c>
      <c r="AB37" t="s">
        <v>74</v>
      </c>
      <c r="AC37" t="s">
        <v>74</v>
      </c>
      <c r="AD37" t="s">
        <v>74</v>
      </c>
      <c r="AE37" t="s">
        <v>74</v>
      </c>
      <c r="AF37" t="s">
        <v>74</v>
      </c>
      <c r="AG37" t="s">
        <v>74</v>
      </c>
      <c r="AH37" t="s">
        <v>74</v>
      </c>
      <c r="AI37" t="s">
        <v>74</v>
      </c>
      <c r="AJ37" t="s">
        <v>74</v>
      </c>
      <c r="AK37" t="s">
        <v>74</v>
      </c>
      <c r="AL37" t="s">
        <v>74</v>
      </c>
      <c r="AM37" t="s">
        <v>74</v>
      </c>
      <c r="AN37" t="s">
        <v>74</v>
      </c>
      <c r="AO37" t="s">
        <v>847</v>
      </c>
      <c r="AP37" t="s">
        <v>848</v>
      </c>
      <c r="AQ37" t="s">
        <v>74</v>
      </c>
      <c r="AR37" t="s">
        <v>74</v>
      </c>
      <c r="AS37" t="s">
        <v>74</v>
      </c>
      <c r="AT37" t="s">
        <v>74</v>
      </c>
      <c r="AU37">
        <v>1991</v>
      </c>
      <c r="AV37">
        <v>10</v>
      </c>
      <c r="AW37">
        <v>2</v>
      </c>
      <c r="AX37" t="s">
        <v>74</v>
      </c>
      <c r="AY37" t="s">
        <v>74</v>
      </c>
      <c r="AZ37" t="s">
        <v>74</v>
      </c>
      <c r="BA37" t="s">
        <v>74</v>
      </c>
      <c r="BB37">
        <v>209</v>
      </c>
      <c r="BC37">
        <v>216</v>
      </c>
      <c r="BD37" t="s">
        <v>74</v>
      </c>
      <c r="BE37" t="s">
        <v>6679</v>
      </c>
      <c r="BF37" t="str">
        <f>HYPERLINK("http://dx.doi.org/10.1002/etc.5620100209","http://dx.doi.org/10.1002/etc.5620100209")</f>
        <v>http://dx.doi.org/10.1002/etc.5620100209</v>
      </c>
      <c r="BG37" t="s">
        <v>74</v>
      </c>
      <c r="BH37" t="s">
        <v>74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 t="s">
        <v>74</v>
      </c>
      <c r="BR37" t="s">
        <v>74</v>
      </c>
      <c r="BS37" t="s">
        <v>6680</v>
      </c>
      <c r="BT37" t="str">
        <f>HYPERLINK("https%3A%2F%2Fwww.webofscience.com%2Fwos%2Fwoscc%2Ffull-record%2FWOS:A1991EY87000009","View Full Record in Web of Science")</f>
        <v>View Full Record in Web of Science</v>
      </c>
    </row>
    <row r="38" spans="1:72" x14ac:dyDescent="0.2">
      <c r="A38" t="s">
        <v>72</v>
      </c>
      <c r="B38" t="s">
        <v>6725</v>
      </c>
      <c r="C38" t="s">
        <v>74</v>
      </c>
      <c r="D38" t="s">
        <v>74</v>
      </c>
      <c r="E38" t="s">
        <v>74</v>
      </c>
      <c r="F38" t="s">
        <v>6725</v>
      </c>
      <c r="G38" t="s">
        <v>74</v>
      </c>
      <c r="H38" t="s">
        <v>74</v>
      </c>
      <c r="I38" t="s">
        <v>6729</v>
      </c>
      <c r="J38" t="s">
        <v>1716</v>
      </c>
      <c r="K38" t="s">
        <v>74</v>
      </c>
      <c r="L38" t="s">
        <v>74</v>
      </c>
      <c r="M38" t="s">
        <v>74</v>
      </c>
      <c r="N38" t="s">
        <v>74</v>
      </c>
      <c r="O38" t="s">
        <v>74</v>
      </c>
      <c r="P38" t="s">
        <v>74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74</v>
      </c>
      <c r="Y38" t="s">
        <v>74</v>
      </c>
      <c r="Z38" t="s">
        <v>74</v>
      </c>
      <c r="AA38" t="s">
        <v>5296</v>
      </c>
      <c r="AB38" t="s">
        <v>74</v>
      </c>
      <c r="AC38" t="s">
        <v>74</v>
      </c>
      <c r="AD38" t="s">
        <v>74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1717</v>
      </c>
      <c r="AP38" t="s">
        <v>1718</v>
      </c>
      <c r="AQ38" t="s">
        <v>74</v>
      </c>
      <c r="AR38" t="s">
        <v>74</v>
      </c>
      <c r="AS38" t="s">
        <v>74</v>
      </c>
      <c r="AT38" t="s">
        <v>74</v>
      </c>
      <c r="AU38">
        <v>1982</v>
      </c>
      <c r="AV38">
        <v>18</v>
      </c>
      <c r="AW38">
        <v>2</v>
      </c>
      <c r="AX38" t="s">
        <v>74</v>
      </c>
      <c r="AY38" t="s">
        <v>74</v>
      </c>
      <c r="AZ38" t="s">
        <v>74</v>
      </c>
      <c r="BA38" t="s">
        <v>74</v>
      </c>
      <c r="BB38">
        <v>275</v>
      </c>
      <c r="BC38">
        <v>284</v>
      </c>
      <c r="BD38" t="s">
        <v>74</v>
      </c>
      <c r="BE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R38" t="s">
        <v>74</v>
      </c>
      <c r="BS38" t="s">
        <v>6730</v>
      </c>
      <c r="BT38" t="str">
        <f>HYPERLINK("https%3A%2F%2Fwww.webofscience.com%2Fwos%2Fwoscc%2Ffull-record%2FWOS:A1982PJ07400014","View Full Record in Web of Science")</f>
        <v>View Full Record in Web of Science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BC21-BC5D-A048-87C2-5507EDA186AE}">
  <dimension ref="A1:BT15"/>
  <sheetViews>
    <sheetView workbookViewId="0">
      <selection sqref="A1:BZ1048576"/>
    </sheetView>
  </sheetViews>
  <sheetFormatPr baseColWidth="10" defaultRowHeight="16" x14ac:dyDescent="0.2"/>
  <cols>
    <col min="1" max="78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593</v>
      </c>
      <c r="C2" t="s">
        <v>74</v>
      </c>
      <c r="D2" t="s">
        <v>74</v>
      </c>
      <c r="E2" t="s">
        <v>74</v>
      </c>
      <c r="F2" t="s">
        <v>594</v>
      </c>
      <c r="G2" t="s">
        <v>74</v>
      </c>
      <c r="H2" t="s">
        <v>74</v>
      </c>
      <c r="I2" t="s">
        <v>595</v>
      </c>
      <c r="J2" t="s">
        <v>596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6801</v>
      </c>
      <c r="AB2" t="s">
        <v>6802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597</v>
      </c>
      <c r="AP2" t="s">
        <v>74</v>
      </c>
      <c r="AQ2" t="s">
        <v>74</v>
      </c>
      <c r="AR2" t="s">
        <v>74</v>
      </c>
      <c r="AS2" t="s">
        <v>74</v>
      </c>
      <c r="AT2" t="s">
        <v>569</v>
      </c>
      <c r="AU2">
        <v>2023</v>
      </c>
      <c r="AV2">
        <v>14</v>
      </c>
      <c r="AW2">
        <v>6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 t="s">
        <v>598</v>
      </c>
      <c r="BE2" t="s">
        <v>599</v>
      </c>
      <c r="BF2" t="str">
        <f>HYPERLINK("http://dx.doi.org/10.1002/ecs2.4489","http://dx.doi.org/10.1002/ecs2.4489")</f>
        <v>http://dx.doi.org/10.1002/ecs2.4489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600</v>
      </c>
      <c r="BT2" t="str">
        <f>HYPERLINK("https%3A%2F%2Fwww.webofscience.com%2Fwos%2Fwoscc%2Ffull-record%2FWOS:001003030400001","View Full Record in Web of Science")</f>
        <v>View Full Record in Web of Science</v>
      </c>
    </row>
    <row r="3" spans="1:72" x14ac:dyDescent="0.2">
      <c r="A3" t="s">
        <v>72</v>
      </c>
      <c r="B3" t="s">
        <v>628</v>
      </c>
      <c r="C3" t="s">
        <v>74</v>
      </c>
      <c r="D3" t="s">
        <v>74</v>
      </c>
      <c r="E3" t="s">
        <v>74</v>
      </c>
      <c r="F3" t="s">
        <v>629</v>
      </c>
      <c r="G3" t="s">
        <v>74</v>
      </c>
      <c r="H3" t="s">
        <v>74</v>
      </c>
      <c r="I3" t="s">
        <v>630</v>
      </c>
      <c r="J3" t="s">
        <v>124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631</v>
      </c>
      <c r="AB3" t="s">
        <v>6805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127</v>
      </c>
      <c r="AP3" t="s">
        <v>128</v>
      </c>
      <c r="AQ3" t="s">
        <v>74</v>
      </c>
      <c r="AR3" t="s">
        <v>74</v>
      </c>
      <c r="AS3" t="s">
        <v>74</v>
      </c>
      <c r="AT3" t="s">
        <v>82</v>
      </c>
      <c r="AU3">
        <v>2023</v>
      </c>
      <c r="AV3">
        <v>850</v>
      </c>
      <c r="AW3">
        <v>21</v>
      </c>
      <c r="AX3" t="s">
        <v>74</v>
      </c>
      <c r="AY3" t="s">
        <v>74</v>
      </c>
      <c r="AZ3" t="s">
        <v>632</v>
      </c>
      <c r="BA3" t="s">
        <v>74</v>
      </c>
      <c r="BB3">
        <v>4719</v>
      </c>
      <c r="BC3">
        <v>4744</v>
      </c>
      <c r="BD3" t="s">
        <v>74</v>
      </c>
      <c r="BE3" t="s">
        <v>633</v>
      </c>
      <c r="BF3" t="str">
        <f>HYPERLINK("http://dx.doi.org/10.1007/s10750-023-05227-1","http://dx.doi.org/10.1007/s10750-023-05227-1")</f>
        <v>http://dx.doi.org/10.1007/s10750-023-05227-1</v>
      </c>
      <c r="BG3" t="s">
        <v>74</v>
      </c>
      <c r="BH3" t="s">
        <v>634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635</v>
      </c>
      <c r="BT3" t="str">
        <f>HYPERLINK("https%3A%2F%2Fwww.webofscience.com%2Fwos%2Fwoscc%2Ffull-record%2FWOS:000978134000001","View Full Record in Web of Science")</f>
        <v>View Full Record in Web of Science</v>
      </c>
    </row>
    <row r="4" spans="1:72" x14ac:dyDescent="0.2">
      <c r="A4" t="s">
        <v>72</v>
      </c>
      <c r="B4" t="s">
        <v>717</v>
      </c>
      <c r="C4" t="s">
        <v>74</v>
      </c>
      <c r="D4" t="s">
        <v>74</v>
      </c>
      <c r="E4" t="s">
        <v>74</v>
      </c>
      <c r="F4" t="s">
        <v>718</v>
      </c>
      <c r="G4" t="s">
        <v>74</v>
      </c>
      <c r="H4" t="s">
        <v>74</v>
      </c>
      <c r="I4" t="s">
        <v>719</v>
      </c>
      <c r="J4" t="s">
        <v>145</v>
      </c>
      <c r="K4" t="s">
        <v>74</v>
      </c>
      <c r="L4" t="s">
        <v>74</v>
      </c>
      <c r="M4" t="s">
        <v>74</v>
      </c>
      <c r="N4" t="s">
        <v>74</v>
      </c>
      <c r="O4" t="s">
        <v>74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720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146</v>
      </c>
      <c r="AP4" t="s">
        <v>147</v>
      </c>
      <c r="AQ4" t="s">
        <v>74</v>
      </c>
      <c r="AR4" t="s">
        <v>74</v>
      </c>
      <c r="AS4" t="s">
        <v>74</v>
      </c>
      <c r="AT4" t="s">
        <v>174</v>
      </c>
      <c r="AU4">
        <v>2023</v>
      </c>
      <c r="AV4">
        <v>871</v>
      </c>
      <c r="AW4" t="s">
        <v>74</v>
      </c>
      <c r="AX4" t="s">
        <v>74</v>
      </c>
      <c r="AY4" t="s">
        <v>74</v>
      </c>
      <c r="AZ4" t="s">
        <v>74</v>
      </c>
      <c r="BA4" t="s">
        <v>74</v>
      </c>
      <c r="BB4" t="s">
        <v>74</v>
      </c>
      <c r="BC4" t="s">
        <v>74</v>
      </c>
      <c r="BD4">
        <v>162115</v>
      </c>
      <c r="BE4" t="s">
        <v>721</v>
      </c>
      <c r="BF4" t="str">
        <f>HYPERLINK("http://dx.doi.org/10.1016/j.scitotenv.2023.162115","http://dx.doi.org/10.1016/j.scitotenv.2023.162115")</f>
        <v>http://dx.doi.org/10.1016/j.scitotenv.2023.162115</v>
      </c>
      <c r="BG4" t="s">
        <v>74</v>
      </c>
      <c r="BH4" t="s">
        <v>715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>
        <v>36764544</v>
      </c>
      <c r="BO4" t="s">
        <v>74</v>
      </c>
      <c r="BP4" t="s">
        <v>74</v>
      </c>
      <c r="BQ4" t="s">
        <v>74</v>
      </c>
      <c r="BR4" t="s">
        <v>74</v>
      </c>
      <c r="BS4" t="s">
        <v>722</v>
      </c>
      <c r="BT4" t="str">
        <f>HYPERLINK("https%3A%2F%2Fwww.webofscience.com%2Fwos%2Fwoscc%2Ffull-record%2FWOS:000945054500001","View Full Record in Web of Science")</f>
        <v>View Full Record in Web of Science</v>
      </c>
    </row>
    <row r="5" spans="1:72" x14ac:dyDescent="0.2">
      <c r="A5" t="s">
        <v>72</v>
      </c>
      <c r="B5" t="s">
        <v>1040</v>
      </c>
      <c r="C5" t="s">
        <v>74</v>
      </c>
      <c r="D5" t="s">
        <v>74</v>
      </c>
      <c r="E5" t="s">
        <v>74</v>
      </c>
      <c r="F5" t="s">
        <v>1041</v>
      </c>
      <c r="G5" t="s">
        <v>74</v>
      </c>
      <c r="H5" t="s">
        <v>74</v>
      </c>
      <c r="I5" t="s">
        <v>1042</v>
      </c>
      <c r="J5" t="s">
        <v>381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1043</v>
      </c>
      <c r="AB5" t="s">
        <v>6825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383</v>
      </c>
      <c r="AP5" t="s">
        <v>384</v>
      </c>
      <c r="AQ5" t="s">
        <v>74</v>
      </c>
      <c r="AR5" t="s">
        <v>74</v>
      </c>
      <c r="AS5" t="s">
        <v>74</v>
      </c>
      <c r="AT5" t="s">
        <v>474</v>
      </c>
      <c r="AU5">
        <v>2022</v>
      </c>
      <c r="AV5">
        <v>312</v>
      </c>
      <c r="AW5" t="s">
        <v>74</v>
      </c>
      <c r="AX5" t="s">
        <v>74</v>
      </c>
      <c r="AY5" t="s">
        <v>74</v>
      </c>
      <c r="AZ5" t="s">
        <v>74</v>
      </c>
      <c r="BA5" t="s">
        <v>74</v>
      </c>
      <c r="BB5" t="s">
        <v>74</v>
      </c>
      <c r="BC5" t="s">
        <v>74</v>
      </c>
      <c r="BD5">
        <v>120037</v>
      </c>
      <c r="BE5" t="s">
        <v>1044</v>
      </c>
      <c r="BF5" t="str">
        <f>HYPERLINK("http://dx.doi.org/10.1016/j.envpol.2022.120037","http://dx.doi.org/10.1016/j.envpol.2022.120037")</f>
        <v>http://dx.doi.org/10.1016/j.envpol.2022.120037</v>
      </c>
      <c r="BG5" t="s">
        <v>74</v>
      </c>
      <c r="BH5" t="s">
        <v>978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>
        <v>36030961</v>
      </c>
      <c r="BO5" t="s">
        <v>74</v>
      </c>
      <c r="BP5" t="s">
        <v>74</v>
      </c>
      <c r="BQ5" t="s">
        <v>74</v>
      </c>
      <c r="BR5" t="s">
        <v>74</v>
      </c>
      <c r="BS5" t="s">
        <v>1045</v>
      </c>
      <c r="BT5" t="str">
        <f>HYPERLINK("https%3A%2F%2Fwww.webofscience.com%2Fwos%2Fwoscc%2Ffull-record%2FWOS:000862854900010","View Full Record in Web of Science")</f>
        <v>View Full Record in Web of Science</v>
      </c>
    </row>
    <row r="6" spans="1:72" x14ac:dyDescent="0.2">
      <c r="A6" t="s">
        <v>72</v>
      </c>
      <c r="B6" t="s">
        <v>1230</v>
      </c>
      <c r="C6" t="s">
        <v>74</v>
      </c>
      <c r="D6" t="s">
        <v>74</v>
      </c>
      <c r="E6" t="s">
        <v>74</v>
      </c>
      <c r="F6" t="s">
        <v>1231</v>
      </c>
      <c r="G6" t="s">
        <v>74</v>
      </c>
      <c r="H6" t="s">
        <v>74</v>
      </c>
      <c r="I6" t="s">
        <v>1232</v>
      </c>
      <c r="J6" t="s">
        <v>1233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1234</v>
      </c>
      <c r="AB6" t="s">
        <v>6836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74</v>
      </c>
      <c r="AP6" t="s">
        <v>1235</v>
      </c>
      <c r="AQ6" t="s">
        <v>74</v>
      </c>
      <c r="AR6" t="s">
        <v>74</v>
      </c>
      <c r="AS6" t="s">
        <v>74</v>
      </c>
      <c r="AT6" t="s">
        <v>569</v>
      </c>
      <c r="AU6">
        <v>2022</v>
      </c>
      <c r="AV6">
        <v>10</v>
      </c>
      <c r="AW6">
        <v>6</v>
      </c>
      <c r="AX6" t="s">
        <v>74</v>
      </c>
      <c r="AY6" t="s">
        <v>74</v>
      </c>
      <c r="AZ6" t="s">
        <v>74</v>
      </c>
      <c r="BA6" t="s">
        <v>74</v>
      </c>
      <c r="BB6" t="s">
        <v>74</v>
      </c>
      <c r="BC6" t="s">
        <v>74</v>
      </c>
      <c r="BD6">
        <v>798</v>
      </c>
      <c r="BE6" t="s">
        <v>1236</v>
      </c>
      <c r="BF6" t="str">
        <f>HYPERLINK("http://dx.doi.org/10.3390/jmse10060798","http://dx.doi.org/10.3390/jmse10060798")</f>
        <v>http://dx.doi.org/10.3390/jmse10060798</v>
      </c>
      <c r="BG6" t="s">
        <v>74</v>
      </c>
      <c r="BH6" t="s">
        <v>74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 t="s">
        <v>1237</v>
      </c>
      <c r="BT6" t="str">
        <f>HYPERLINK("https%3A%2F%2Fwww.webofscience.com%2Fwos%2Fwoscc%2Ffull-record%2FWOS:000817423900001","View Full Record in Web of Science")</f>
        <v>View Full Record in Web of Science</v>
      </c>
    </row>
    <row r="7" spans="1:72" x14ac:dyDescent="0.2">
      <c r="A7" t="s">
        <v>72</v>
      </c>
      <c r="B7" t="s">
        <v>1374</v>
      </c>
      <c r="C7" t="s">
        <v>74</v>
      </c>
      <c r="D7" t="s">
        <v>74</v>
      </c>
      <c r="E7" t="s">
        <v>74</v>
      </c>
      <c r="F7" t="s">
        <v>1375</v>
      </c>
      <c r="G7" t="s">
        <v>74</v>
      </c>
      <c r="H7" t="s">
        <v>74</v>
      </c>
      <c r="I7" t="s">
        <v>1376</v>
      </c>
      <c r="J7" t="s">
        <v>1377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1378</v>
      </c>
      <c r="AB7" t="s">
        <v>1379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1380</v>
      </c>
      <c r="AP7" t="s">
        <v>1381</v>
      </c>
      <c r="AQ7" t="s">
        <v>74</v>
      </c>
      <c r="AR7" t="s">
        <v>74</v>
      </c>
      <c r="AS7" t="s">
        <v>74</v>
      </c>
      <c r="AT7" t="s">
        <v>569</v>
      </c>
      <c r="AU7">
        <v>2022</v>
      </c>
      <c r="AV7">
        <v>110</v>
      </c>
      <c r="AW7">
        <v>6</v>
      </c>
      <c r="AX7" t="s">
        <v>74</v>
      </c>
      <c r="AY7" t="s">
        <v>74</v>
      </c>
      <c r="AZ7" t="s">
        <v>74</v>
      </c>
      <c r="BA7" t="s">
        <v>74</v>
      </c>
      <c r="BB7">
        <v>1442</v>
      </c>
      <c r="BC7">
        <v>1454</v>
      </c>
      <c r="BD7" t="s">
        <v>74</v>
      </c>
      <c r="BE7" t="s">
        <v>1382</v>
      </c>
      <c r="BF7" t="str">
        <f>HYPERLINK("http://dx.doi.org/10.1111/1365-2745.13859","http://dx.doi.org/10.1111/1365-2745.13859")</f>
        <v>http://dx.doi.org/10.1111/1365-2745.13859</v>
      </c>
      <c r="BG7" t="s">
        <v>74</v>
      </c>
      <c r="BH7" t="s">
        <v>1383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 t="s">
        <v>1384</v>
      </c>
      <c r="BT7" t="str">
        <f>HYPERLINK("https%3A%2F%2Fwww.webofscience.com%2Fwos%2Fwoscc%2Ffull-record%2FWOS:000760745300001","View Full Record in Web of Science")</f>
        <v>View Full Record in Web of Science</v>
      </c>
    </row>
    <row r="8" spans="1:72" x14ac:dyDescent="0.2">
      <c r="A8" t="s">
        <v>72</v>
      </c>
      <c r="B8" t="s">
        <v>2380</v>
      </c>
      <c r="C8" t="s">
        <v>74</v>
      </c>
      <c r="D8" t="s">
        <v>74</v>
      </c>
      <c r="E8" t="s">
        <v>74</v>
      </c>
      <c r="F8" t="s">
        <v>2381</v>
      </c>
      <c r="G8" t="s">
        <v>74</v>
      </c>
      <c r="H8" t="s">
        <v>74</v>
      </c>
      <c r="I8" t="s">
        <v>2382</v>
      </c>
      <c r="J8" t="s">
        <v>1444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2383</v>
      </c>
      <c r="AB8" t="s">
        <v>2384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1447</v>
      </c>
      <c r="AP8" t="s">
        <v>1448</v>
      </c>
      <c r="AQ8" t="s">
        <v>74</v>
      </c>
      <c r="AR8" t="s">
        <v>74</v>
      </c>
      <c r="AS8" t="s">
        <v>74</v>
      </c>
      <c r="AT8" t="s">
        <v>74</v>
      </c>
      <c r="AU8">
        <v>2020</v>
      </c>
      <c r="AV8">
        <v>92</v>
      </c>
      <c r="AW8">
        <v>1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 t="s">
        <v>2385</v>
      </c>
      <c r="BE8" t="s">
        <v>2386</v>
      </c>
      <c r="BF8" t="str">
        <f>HYPERLINK("http://dx.doi.org/10.1590/0001-3765202020181102","http://dx.doi.org/10.1590/0001-3765202020181102")</f>
        <v>http://dx.doi.org/10.1590/0001-3765202020181102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>
        <v>32187255</v>
      </c>
      <c r="BO8" t="s">
        <v>74</v>
      </c>
      <c r="BP8" t="s">
        <v>74</v>
      </c>
      <c r="BQ8" t="s">
        <v>74</v>
      </c>
      <c r="BR8" t="s">
        <v>74</v>
      </c>
      <c r="BS8" t="s">
        <v>2387</v>
      </c>
      <c r="BT8" t="str">
        <f>HYPERLINK("https%3A%2F%2Fwww.webofscience.com%2Fwos%2Fwoscc%2Ffull-record%2FWOS:000521169600001","View Full Record in Web of Science")</f>
        <v>View Full Record in Web of Science</v>
      </c>
    </row>
    <row r="9" spans="1:72" x14ac:dyDescent="0.2">
      <c r="A9" t="s">
        <v>72</v>
      </c>
      <c r="B9" t="s">
        <v>3082</v>
      </c>
      <c r="C9" t="s">
        <v>74</v>
      </c>
      <c r="D9" t="s">
        <v>74</v>
      </c>
      <c r="E9" t="s">
        <v>74</v>
      </c>
      <c r="F9" t="s">
        <v>3083</v>
      </c>
      <c r="G9" t="s">
        <v>74</v>
      </c>
      <c r="H9" t="s">
        <v>74</v>
      </c>
      <c r="I9" t="s">
        <v>3084</v>
      </c>
      <c r="J9" t="s">
        <v>502</v>
      </c>
      <c r="K9" t="s">
        <v>74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3085</v>
      </c>
      <c r="AB9" t="s">
        <v>3086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503</v>
      </c>
      <c r="AP9" t="s">
        <v>504</v>
      </c>
      <c r="AQ9" t="s">
        <v>74</v>
      </c>
      <c r="AR9" t="s">
        <v>74</v>
      </c>
      <c r="AS9" t="s">
        <v>74</v>
      </c>
      <c r="AT9" t="s">
        <v>157</v>
      </c>
      <c r="AU9">
        <v>2018</v>
      </c>
      <c r="AV9">
        <v>86</v>
      </c>
      <c r="AW9" t="s">
        <v>74</v>
      </c>
      <c r="AX9" t="s">
        <v>74</v>
      </c>
      <c r="AY9" t="s">
        <v>74</v>
      </c>
      <c r="AZ9" t="s">
        <v>74</v>
      </c>
      <c r="BA9" t="s">
        <v>74</v>
      </c>
      <c r="BB9">
        <v>81</v>
      </c>
      <c r="BC9">
        <v>93</v>
      </c>
      <c r="BD9" t="s">
        <v>74</v>
      </c>
      <c r="BE9" t="s">
        <v>3087</v>
      </c>
      <c r="BF9" t="str">
        <f>HYPERLINK("http://dx.doi.org/10.1016/j.ecolind.2017.12.003","http://dx.doi.org/10.1016/j.ecolind.2017.12.003")</f>
        <v>http://dx.doi.org/10.1016/j.ecolind.2017.12.003</v>
      </c>
      <c r="BG9" t="s">
        <v>74</v>
      </c>
      <c r="BH9" t="s">
        <v>74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 t="s">
        <v>3088</v>
      </c>
      <c r="BT9" t="str">
        <f>HYPERLINK("https%3A%2F%2Fwww.webofscience.com%2Fwos%2Fwoscc%2Ffull-record%2FWOS:000430634600009","View Full Record in Web of Science")</f>
        <v>View Full Record in Web of Science</v>
      </c>
    </row>
    <row r="10" spans="1:72" x14ac:dyDescent="0.2">
      <c r="A10" t="s">
        <v>72</v>
      </c>
      <c r="B10" t="s">
        <v>3479</v>
      </c>
      <c r="C10" t="s">
        <v>74</v>
      </c>
      <c r="D10" t="s">
        <v>74</v>
      </c>
      <c r="E10" t="s">
        <v>74</v>
      </c>
      <c r="F10" t="s">
        <v>3480</v>
      </c>
      <c r="G10" t="s">
        <v>74</v>
      </c>
      <c r="H10" t="s">
        <v>74</v>
      </c>
      <c r="I10" t="s">
        <v>3481</v>
      </c>
      <c r="J10" t="s">
        <v>3482</v>
      </c>
      <c r="K10" t="s">
        <v>74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3483</v>
      </c>
      <c r="AB10" t="s">
        <v>7033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3484</v>
      </c>
      <c r="AP10" t="s">
        <v>3485</v>
      </c>
      <c r="AQ10" t="s">
        <v>74</v>
      </c>
      <c r="AR10" t="s">
        <v>74</v>
      </c>
      <c r="AS10" t="s">
        <v>74</v>
      </c>
      <c r="AT10" t="s">
        <v>416</v>
      </c>
      <c r="AU10">
        <v>2017</v>
      </c>
      <c r="AV10">
        <v>21</v>
      </c>
      <c r="AW10">
        <v>2</v>
      </c>
      <c r="AX10" t="s">
        <v>74</v>
      </c>
      <c r="AY10" t="s">
        <v>74</v>
      </c>
      <c r="AZ10" t="s">
        <v>74</v>
      </c>
      <c r="BA10" t="s">
        <v>74</v>
      </c>
      <c r="BB10">
        <v>133</v>
      </c>
      <c r="BC10">
        <v>140</v>
      </c>
      <c r="BD10" t="s">
        <v>74</v>
      </c>
      <c r="BE10" t="s">
        <v>3486</v>
      </c>
      <c r="BF10" t="str">
        <f>HYPERLINK("http://dx.doi.org/10.1080/19768354.2017.1292952","http://dx.doi.org/10.1080/19768354.2017.1292952")</f>
        <v>http://dx.doi.org/10.1080/19768354.2017.1292952</v>
      </c>
      <c r="BG10" t="s">
        <v>74</v>
      </c>
      <c r="BH10" t="s">
        <v>74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>
        <v>30460061</v>
      </c>
      <c r="BO10" t="s">
        <v>74</v>
      </c>
      <c r="BP10" t="s">
        <v>74</v>
      </c>
      <c r="BQ10" t="s">
        <v>74</v>
      </c>
      <c r="BR10" t="s">
        <v>74</v>
      </c>
      <c r="BS10" t="s">
        <v>3487</v>
      </c>
      <c r="BT10" t="str">
        <f>HYPERLINK("https%3A%2F%2Fwww.webofscience.com%2Fwos%2Fwoscc%2Ffull-record%2FWOS:000399657000008","View Full Record in Web of Science")</f>
        <v>View Full Record in Web of Science</v>
      </c>
    </row>
    <row r="11" spans="1:72" x14ac:dyDescent="0.2">
      <c r="A11" t="s">
        <v>72</v>
      </c>
      <c r="B11" t="s">
        <v>3755</v>
      </c>
      <c r="C11" t="s">
        <v>74</v>
      </c>
      <c r="D11" t="s">
        <v>74</v>
      </c>
      <c r="E11" t="s">
        <v>74</v>
      </c>
      <c r="F11" t="s">
        <v>3756</v>
      </c>
      <c r="G11" t="s">
        <v>74</v>
      </c>
      <c r="H11" t="s">
        <v>74</v>
      </c>
      <c r="I11" t="s">
        <v>3757</v>
      </c>
      <c r="J11" t="s">
        <v>124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3758</v>
      </c>
      <c r="AB11" t="s">
        <v>3759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127</v>
      </c>
      <c r="AP11" t="s">
        <v>128</v>
      </c>
      <c r="AQ11" t="s">
        <v>74</v>
      </c>
      <c r="AR11" t="s">
        <v>74</v>
      </c>
      <c r="AS11" t="s">
        <v>74</v>
      </c>
      <c r="AT11" t="s">
        <v>157</v>
      </c>
      <c r="AU11">
        <v>2016</v>
      </c>
      <c r="AV11">
        <v>767</v>
      </c>
      <c r="AW11">
        <v>1</v>
      </c>
      <c r="AX11" t="s">
        <v>74</v>
      </c>
      <c r="AY11" t="s">
        <v>74</v>
      </c>
      <c r="AZ11" t="s">
        <v>74</v>
      </c>
      <c r="BA11" t="s">
        <v>74</v>
      </c>
      <c r="BB11">
        <v>221</v>
      </c>
      <c r="BC11">
        <v>233</v>
      </c>
      <c r="BD11" t="s">
        <v>74</v>
      </c>
      <c r="BE11" t="s">
        <v>3760</v>
      </c>
      <c r="BF11" t="str">
        <f>HYPERLINK("http://dx.doi.org/10.1007/s10750-015-2503-y","http://dx.doi.org/10.1007/s10750-015-2503-y")</f>
        <v>http://dx.doi.org/10.1007/s10750-015-2503-y</v>
      </c>
      <c r="BG11" t="s">
        <v>74</v>
      </c>
      <c r="BH11" t="s">
        <v>74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 t="s">
        <v>74</v>
      </c>
      <c r="BR11" t="s">
        <v>74</v>
      </c>
      <c r="BS11" t="s">
        <v>3761</v>
      </c>
      <c r="BT11" t="str">
        <f>HYPERLINK("https%3A%2F%2Fwww.webofscience.com%2Fwos%2Fwoscc%2Ffull-record%2FWOS:000369001000018","View Full Record in Web of Science")</f>
        <v>View Full Record in Web of Science</v>
      </c>
    </row>
    <row r="12" spans="1:72" x14ac:dyDescent="0.2">
      <c r="A12" t="s">
        <v>72</v>
      </c>
      <c r="B12" t="s">
        <v>3841</v>
      </c>
      <c r="C12" t="s">
        <v>74</v>
      </c>
      <c r="D12" t="s">
        <v>74</v>
      </c>
      <c r="E12" t="s">
        <v>74</v>
      </c>
      <c r="F12" t="s">
        <v>3842</v>
      </c>
      <c r="G12" t="s">
        <v>74</v>
      </c>
      <c r="H12" t="s">
        <v>74</v>
      </c>
      <c r="I12" t="s">
        <v>3843</v>
      </c>
      <c r="J12" t="s">
        <v>827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3844</v>
      </c>
      <c r="AB12" t="s">
        <v>3845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829</v>
      </c>
      <c r="AP12" t="s">
        <v>830</v>
      </c>
      <c r="AQ12" t="s">
        <v>74</v>
      </c>
      <c r="AR12" t="s">
        <v>74</v>
      </c>
      <c r="AS12" t="s">
        <v>74</v>
      </c>
      <c r="AT12" t="s">
        <v>315</v>
      </c>
      <c r="AU12">
        <v>2016</v>
      </c>
      <c r="AV12">
        <v>25</v>
      </c>
      <c r="AW12">
        <v>1</v>
      </c>
      <c r="AX12" t="s">
        <v>74</v>
      </c>
      <c r="AY12" t="s">
        <v>74</v>
      </c>
      <c r="AZ12" t="s">
        <v>74</v>
      </c>
      <c r="BA12" t="s">
        <v>74</v>
      </c>
      <c r="BB12">
        <v>75</v>
      </c>
      <c r="BC12">
        <v>86</v>
      </c>
      <c r="BD12" t="s">
        <v>74</v>
      </c>
      <c r="BE12" t="s">
        <v>3846</v>
      </c>
      <c r="BF12" t="str">
        <f>HYPERLINK("http://dx.doi.org/10.1111/geb.12387","http://dx.doi.org/10.1111/geb.12387")</f>
        <v>http://dx.doi.org/10.1111/geb.12387</v>
      </c>
      <c r="BG12" t="s">
        <v>74</v>
      </c>
      <c r="BH12" t="s">
        <v>74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 t="s">
        <v>74</v>
      </c>
      <c r="BR12" t="s">
        <v>74</v>
      </c>
      <c r="BS12" t="s">
        <v>3847</v>
      </c>
      <c r="BT12" t="str">
        <f>HYPERLINK("https%3A%2F%2Fwww.webofscience.com%2Fwos%2Fwoscc%2Ffull-record%2FWOS:000367728900009","View Full Record in Web of Science")</f>
        <v>View Full Record in Web of Science</v>
      </c>
    </row>
    <row r="13" spans="1:72" x14ac:dyDescent="0.2">
      <c r="A13" t="s">
        <v>72</v>
      </c>
      <c r="B13" t="s">
        <v>4538</v>
      </c>
      <c r="C13" t="s">
        <v>74</v>
      </c>
      <c r="D13" t="s">
        <v>74</v>
      </c>
      <c r="E13" t="s">
        <v>74</v>
      </c>
      <c r="F13" t="s">
        <v>4539</v>
      </c>
      <c r="G13" t="s">
        <v>74</v>
      </c>
      <c r="H13" t="s">
        <v>74</v>
      </c>
      <c r="I13" t="s">
        <v>4540</v>
      </c>
      <c r="J13" t="s">
        <v>124</v>
      </c>
      <c r="K13" t="s">
        <v>74</v>
      </c>
      <c r="L13" t="s">
        <v>74</v>
      </c>
      <c r="M13" t="s">
        <v>74</v>
      </c>
      <c r="N13" t="s">
        <v>74</v>
      </c>
      <c r="O13" t="s">
        <v>4541</v>
      </c>
      <c r="P13" t="s">
        <v>4542</v>
      </c>
      <c r="Q13" t="s">
        <v>4543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74</v>
      </c>
      <c r="AB13" t="s">
        <v>3006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127</v>
      </c>
      <c r="AP13" t="s">
        <v>128</v>
      </c>
      <c r="AQ13" t="s">
        <v>74</v>
      </c>
      <c r="AR13" t="s">
        <v>74</v>
      </c>
      <c r="AS13" t="s">
        <v>74</v>
      </c>
      <c r="AT13" t="s">
        <v>335</v>
      </c>
      <c r="AU13">
        <v>2012</v>
      </c>
      <c r="AV13">
        <v>698</v>
      </c>
      <c r="AW13">
        <v>1</v>
      </c>
      <c r="AX13" t="s">
        <v>74</v>
      </c>
      <c r="AY13" t="s">
        <v>74</v>
      </c>
      <c r="AZ13" t="s">
        <v>74</v>
      </c>
      <c r="BA13" t="s">
        <v>74</v>
      </c>
      <c r="BB13">
        <v>191</v>
      </c>
      <c r="BC13">
        <v>202</v>
      </c>
      <c r="BD13" t="s">
        <v>74</v>
      </c>
      <c r="BE13" t="s">
        <v>4544</v>
      </c>
      <c r="BF13" t="str">
        <f>HYPERLINK("http://dx.doi.org/10.1007/s10750-012-1072-6","http://dx.doi.org/10.1007/s10750-012-1072-6")</f>
        <v>http://dx.doi.org/10.1007/s10750-012-1072-6</v>
      </c>
      <c r="BG13" t="s">
        <v>74</v>
      </c>
      <c r="BH13" t="s">
        <v>74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4545</v>
      </c>
      <c r="BT13" t="str">
        <f>HYPERLINK("https%3A%2F%2Fwww.webofscience.com%2Fwos%2Fwoscc%2Ffull-record%2FWOS:000309345700015","View Full Record in Web of Science")</f>
        <v>View Full Record in Web of Science</v>
      </c>
    </row>
    <row r="14" spans="1:72" x14ac:dyDescent="0.2">
      <c r="A14" t="s">
        <v>72</v>
      </c>
      <c r="B14" t="s">
        <v>4822</v>
      </c>
      <c r="C14" t="s">
        <v>74</v>
      </c>
      <c r="D14" t="s">
        <v>74</v>
      </c>
      <c r="E14" t="s">
        <v>74</v>
      </c>
      <c r="F14" t="s">
        <v>4823</v>
      </c>
      <c r="G14" t="s">
        <v>74</v>
      </c>
      <c r="H14" t="s">
        <v>74</v>
      </c>
      <c r="I14" t="s">
        <v>4824</v>
      </c>
      <c r="J14" t="s">
        <v>124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7128</v>
      </c>
      <c r="AB14" t="s">
        <v>7129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127</v>
      </c>
      <c r="AP14" t="s">
        <v>128</v>
      </c>
      <c r="AQ14" t="s">
        <v>74</v>
      </c>
      <c r="AR14" t="s">
        <v>74</v>
      </c>
      <c r="AS14" t="s">
        <v>74</v>
      </c>
      <c r="AT14" t="s">
        <v>451</v>
      </c>
      <c r="AU14">
        <v>2011</v>
      </c>
      <c r="AV14">
        <v>673</v>
      </c>
      <c r="AW14">
        <v>1</v>
      </c>
      <c r="AX14" t="s">
        <v>74</v>
      </c>
      <c r="AY14" t="s">
        <v>74</v>
      </c>
      <c r="AZ14" t="s">
        <v>74</v>
      </c>
      <c r="BA14" t="s">
        <v>74</v>
      </c>
      <c r="BB14">
        <v>259</v>
      </c>
      <c r="BC14">
        <v>271</v>
      </c>
      <c r="BD14" t="s">
        <v>74</v>
      </c>
      <c r="BE14" t="s">
        <v>4825</v>
      </c>
      <c r="BF14" t="str">
        <f>HYPERLINK("http://dx.doi.org/10.1007/s10750-011-0786-1","http://dx.doi.org/10.1007/s10750-011-0786-1")</f>
        <v>http://dx.doi.org/10.1007/s10750-011-0786-1</v>
      </c>
      <c r="BG14" t="s">
        <v>74</v>
      </c>
      <c r="BH14" t="s">
        <v>74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 t="s">
        <v>4826</v>
      </c>
      <c r="BT14" t="str">
        <f>HYPERLINK("https%3A%2F%2Fwww.webofscience.com%2Fwos%2Fwoscc%2Ffull-record%2FWOS:000293162400020","View Full Record in Web of Science")</f>
        <v>View Full Record in Web of Science</v>
      </c>
    </row>
    <row r="15" spans="1:72" x14ac:dyDescent="0.2">
      <c r="A15" t="s">
        <v>72</v>
      </c>
      <c r="B15" t="s">
        <v>5133</v>
      </c>
      <c r="C15" t="s">
        <v>74</v>
      </c>
      <c r="D15" t="s">
        <v>74</v>
      </c>
      <c r="E15" t="s">
        <v>74</v>
      </c>
      <c r="F15" t="s">
        <v>5134</v>
      </c>
      <c r="G15" t="s">
        <v>74</v>
      </c>
      <c r="H15" t="s">
        <v>74</v>
      </c>
      <c r="I15" t="s">
        <v>5135</v>
      </c>
      <c r="J15" t="s">
        <v>423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5136</v>
      </c>
      <c r="AB15" t="s">
        <v>6742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425</v>
      </c>
      <c r="AP15" t="s">
        <v>426</v>
      </c>
      <c r="AQ15" t="s">
        <v>74</v>
      </c>
      <c r="AR15" t="s">
        <v>74</v>
      </c>
      <c r="AS15" t="s">
        <v>74</v>
      </c>
      <c r="AT15" t="s">
        <v>157</v>
      </c>
      <c r="AU15">
        <v>2010</v>
      </c>
      <c r="AV15">
        <v>55</v>
      </c>
      <c r="AW15">
        <v>3</v>
      </c>
      <c r="AX15" t="s">
        <v>74</v>
      </c>
      <c r="AY15" t="s">
        <v>74</v>
      </c>
      <c r="AZ15" t="s">
        <v>74</v>
      </c>
      <c r="BA15" t="s">
        <v>74</v>
      </c>
      <c r="BB15">
        <v>614</v>
      </c>
      <c r="BC15">
        <v>627</v>
      </c>
      <c r="BD15" t="s">
        <v>74</v>
      </c>
      <c r="BE15" t="s">
        <v>5137</v>
      </c>
      <c r="BF15" t="str">
        <f>HYPERLINK("http://dx.doi.org/10.1111/j.1365-2427.2009.02298.x","http://dx.doi.org/10.1111/j.1365-2427.2009.02298.x")</f>
        <v>http://dx.doi.org/10.1111/j.1365-2427.2009.02298.x</v>
      </c>
      <c r="BG15" t="s">
        <v>74</v>
      </c>
      <c r="BH15" t="s">
        <v>74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">
        <v>5138</v>
      </c>
      <c r="BT15" t="str">
        <f>HYPERLINK("https%3A%2F%2Fwww.webofscience.com%2Fwos%2Fwoscc%2Ffull-record%2FWOS:000274814100009","View Full Record in Web of Science")</f>
        <v>View Full Record in Web of Science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7B57-222C-7E44-9636-614BA1B36C47}">
  <dimension ref="A1:BT2"/>
  <sheetViews>
    <sheetView tabSelected="1" workbookViewId="0">
      <selection activeCell="L26" sqref="L26"/>
    </sheetView>
  </sheetViews>
  <sheetFormatPr baseColWidth="10" defaultRowHeight="16" x14ac:dyDescent="0.2"/>
  <cols>
    <col min="1" max="76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1475</v>
      </c>
      <c r="C2" t="s">
        <v>74</v>
      </c>
      <c r="D2" t="s">
        <v>74</v>
      </c>
      <c r="E2" t="s">
        <v>74</v>
      </c>
      <c r="F2" t="s">
        <v>1476</v>
      </c>
      <c r="G2" t="s">
        <v>74</v>
      </c>
      <c r="H2" t="s">
        <v>74</v>
      </c>
      <c r="I2" t="s">
        <v>1477</v>
      </c>
      <c r="J2" t="s">
        <v>1478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6854</v>
      </c>
      <c r="AB2" t="s">
        <v>1479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1480</v>
      </c>
      <c r="AP2" t="s">
        <v>1481</v>
      </c>
      <c r="AQ2" t="s">
        <v>74</v>
      </c>
      <c r="AR2" t="s">
        <v>74</v>
      </c>
      <c r="AS2" t="s">
        <v>74</v>
      </c>
      <c r="AT2" t="s">
        <v>82</v>
      </c>
      <c r="AU2">
        <v>2021</v>
      </c>
      <c r="AV2">
        <v>48</v>
      </c>
      <c r="AW2">
        <v>10</v>
      </c>
      <c r="AX2" t="s">
        <v>74</v>
      </c>
      <c r="AY2" t="s">
        <v>74</v>
      </c>
      <c r="AZ2" t="s">
        <v>74</v>
      </c>
      <c r="BA2" t="s">
        <v>74</v>
      </c>
      <c r="BB2">
        <v>1849</v>
      </c>
      <c r="BC2">
        <v>1856</v>
      </c>
      <c r="BD2" t="s">
        <v>74</v>
      </c>
      <c r="BE2" t="s">
        <v>1482</v>
      </c>
      <c r="BF2" t="str">
        <f>HYPERLINK("http://dx.doi.org/10.1134/S1062359021100095","http://dx.doi.org/10.1134/S1062359021100095")</f>
        <v>http://dx.doi.org/10.1134/S1062359021100095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1483</v>
      </c>
      <c r="BT2" t="str">
        <f>HYPERLINK("https%3A%2F%2Fwww.webofscience.com%2Fwos%2Fwoscc%2Ffull-record%2FWOS:000743033700017","View Full Record in Web of Science")</f>
        <v>View Full Record in Web of Science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initial_search_list</vt:lpstr>
      <vt:lpstr>not_listed</vt:lpstr>
      <vt:lpstr>open_access</vt:lpstr>
      <vt:lpstr>not_own_data</vt:lpstr>
      <vt:lpstr>misc</vt:lpstr>
      <vt:lpstr>functional_traits</vt:lpstr>
      <vt:lpstr>got_already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Smith</dc:creator>
  <cp:lastModifiedBy>Alina Smith</cp:lastModifiedBy>
  <dcterms:created xsi:type="dcterms:W3CDTF">2024-06-05T22:05:34Z</dcterms:created>
  <dcterms:modified xsi:type="dcterms:W3CDTF">2024-06-18T18:04:24Z</dcterms:modified>
</cp:coreProperties>
</file>