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kte\vnvDoc\doc\"/>
    </mc:Choice>
  </mc:AlternateContent>
  <bookViews>
    <workbookView xWindow="1200" yWindow="0" windowWidth="15330" windowHeight="7680"/>
  </bookViews>
  <sheets>
    <sheet name="Tabelle1" sheetId="1" r:id="rId1"/>
  </sheets>
  <definedNames>
    <definedName name="AcceptFriendRequests">Tabelle1!$K$103</definedName>
    <definedName name="AddFriend">Tabelle1!$K$79</definedName>
    <definedName name="AdministrateBarsFP">Tabelle1!$K$111</definedName>
    <definedName name="ChangeInfoFP">Tabelle1!$K$87</definedName>
    <definedName name="ChangePassword">Tabelle1!$K$55</definedName>
    <definedName name="CommentFP">Tabelle1!$K$79</definedName>
    <definedName name="CreateNewOffer">Tabelle1!$K$127</definedName>
    <definedName name="CreateNewRequest">Tabelle1!$K$119</definedName>
    <definedName name="DeleteFriend">Tabelle1!$K$111</definedName>
    <definedName name="DeleteUser">Tabelle1!$K$63</definedName>
    <definedName name="EditProfile">Tabelle1!$K$47</definedName>
    <definedName name="EditStatus">Tabelle1!$K$159</definedName>
    <definedName name="GetBarInfoFP">Tabelle1!$K$63</definedName>
    <definedName name="ListOffers">Tabelle1!$K$151</definedName>
    <definedName name="ListReceivedFriendRequests">Tabelle1!$K$87</definedName>
    <definedName name="ListRequests">Tabelle1!$K$143</definedName>
    <definedName name="ListSentFriendRequests">Tabelle1!$K$95</definedName>
    <definedName name="LoginFP">Tabelle1!$K$31</definedName>
    <definedName name="RateBarFP">Tabelle1!$K$71</definedName>
    <definedName name="RegisterFp">Tabelle1!$K$39</definedName>
    <definedName name="SearchBarFP">Tabelle1!$K$23</definedName>
    <definedName name="SearchOfferAndRequests">Tabelle1!$K$135</definedName>
    <definedName name="SearchUser">Tabelle1!$K$71</definedName>
    <definedName name="SeeMapsFP">Tabelle1!$K$95</definedName>
    <definedName name="SeePinboardsFP">Tabelle1!$K$55</definedName>
    <definedName name="SetTagsFP">Tabelle1!$K$103</definedName>
    <definedName name="SurveysFP">Tabelle1!$K$47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9" i="1" l="1"/>
  <c r="D103" i="1"/>
  <c r="E131" i="1"/>
  <c r="D131" i="1"/>
  <c r="E130" i="1"/>
  <c r="D130" i="1"/>
  <c r="E129" i="1"/>
  <c r="D129" i="1"/>
  <c r="E128" i="1"/>
  <c r="D128" i="1"/>
  <c r="E127" i="1"/>
  <c r="D127" i="1"/>
  <c r="E163" i="1"/>
  <c r="D163" i="1"/>
  <c r="E162" i="1"/>
  <c r="D162" i="1"/>
  <c r="E161" i="1"/>
  <c r="D161" i="1"/>
  <c r="E160" i="1"/>
  <c r="D160" i="1"/>
  <c r="E159" i="1"/>
  <c r="D159" i="1"/>
  <c r="F159" i="1" s="1"/>
  <c r="I159" i="1" s="1"/>
  <c r="E155" i="1"/>
  <c r="D155" i="1"/>
  <c r="F154" i="1"/>
  <c r="E154" i="1"/>
  <c r="D154" i="1"/>
  <c r="I154" i="1" s="1"/>
  <c r="E153" i="1"/>
  <c r="D153" i="1"/>
  <c r="F153" i="1" s="1"/>
  <c r="E152" i="1"/>
  <c r="D152" i="1"/>
  <c r="E151" i="1"/>
  <c r="D151" i="1"/>
  <c r="F151" i="1" s="1"/>
  <c r="I151" i="1" s="1"/>
  <c r="E147" i="1"/>
  <c r="D147" i="1"/>
  <c r="E146" i="1"/>
  <c r="D146" i="1"/>
  <c r="E145" i="1"/>
  <c r="D145" i="1"/>
  <c r="E144" i="1"/>
  <c r="D144" i="1"/>
  <c r="E143" i="1"/>
  <c r="D143" i="1"/>
  <c r="F143" i="1" s="1"/>
  <c r="I143" i="1" s="1"/>
  <c r="E139" i="1"/>
  <c r="F139" i="1" s="1"/>
  <c r="D139" i="1"/>
  <c r="E138" i="1"/>
  <c r="D138" i="1"/>
  <c r="E137" i="1"/>
  <c r="D137" i="1"/>
  <c r="F137" i="1" s="1"/>
  <c r="I137" i="1" s="1"/>
  <c r="E136" i="1"/>
  <c r="D136" i="1"/>
  <c r="E135" i="1"/>
  <c r="D135" i="1"/>
  <c r="F162" i="1" l="1"/>
  <c r="I162" i="1" s="1"/>
  <c r="F146" i="1"/>
  <c r="I146" i="1" s="1"/>
  <c r="F130" i="1"/>
  <c r="I130" i="1" s="1"/>
  <c r="F127" i="1"/>
  <c r="I127" i="1" s="1"/>
  <c r="I131" i="1"/>
  <c r="F129" i="1"/>
  <c r="I129" i="1" s="1"/>
  <c r="F128" i="1"/>
  <c r="I128" i="1" s="1"/>
  <c r="F131" i="1"/>
  <c r="I163" i="1"/>
  <c r="F161" i="1"/>
  <c r="I161" i="1" s="1"/>
  <c r="F160" i="1"/>
  <c r="I160" i="1" s="1"/>
  <c r="F163" i="1"/>
  <c r="I153" i="1"/>
  <c r="F152" i="1"/>
  <c r="I152" i="1" s="1"/>
  <c r="F155" i="1"/>
  <c r="I155" i="1" s="1"/>
  <c r="I145" i="1"/>
  <c r="F145" i="1"/>
  <c r="F144" i="1"/>
  <c r="I144" i="1" s="1"/>
  <c r="F147" i="1"/>
  <c r="I147" i="1" s="1"/>
  <c r="I139" i="1"/>
  <c r="F135" i="1"/>
  <c r="I135" i="1" s="1"/>
  <c r="F138" i="1"/>
  <c r="I138" i="1" s="1"/>
  <c r="F136" i="1"/>
  <c r="I136" i="1" s="1"/>
  <c r="I18" i="1"/>
  <c r="I19" i="1"/>
  <c r="I20" i="1"/>
  <c r="J18" i="1"/>
  <c r="J19" i="1"/>
  <c r="J20" i="1"/>
  <c r="I17" i="1"/>
  <c r="J17" i="1"/>
  <c r="I16" i="1"/>
  <c r="J16" i="1"/>
  <c r="K159" i="1" l="1"/>
  <c r="L20" i="1" s="1"/>
  <c r="K127" i="1"/>
  <c r="L16" i="1" s="1"/>
  <c r="K151" i="1"/>
  <c r="L19" i="1" s="1"/>
  <c r="K143" i="1"/>
  <c r="L18" i="1" s="1"/>
  <c r="K135" i="1"/>
  <c r="L17" i="1" s="1"/>
  <c r="I15" i="1"/>
  <c r="J15" i="1"/>
  <c r="I14" i="1"/>
  <c r="J14" i="1"/>
  <c r="I13" i="1"/>
  <c r="J13" i="1"/>
  <c r="E23" i="1" l="1"/>
  <c r="D23" i="1"/>
  <c r="E123" i="1"/>
  <c r="D123" i="1"/>
  <c r="E122" i="1"/>
  <c r="D122" i="1"/>
  <c r="E121" i="1"/>
  <c r="D121" i="1"/>
  <c r="E120" i="1"/>
  <c r="D120" i="1"/>
  <c r="E119" i="1"/>
  <c r="F119" i="1" s="1"/>
  <c r="I119" i="1" s="1"/>
  <c r="E115" i="1"/>
  <c r="D115" i="1"/>
  <c r="E114" i="1"/>
  <c r="D114" i="1"/>
  <c r="E113" i="1"/>
  <c r="D113" i="1"/>
  <c r="E112" i="1"/>
  <c r="D112" i="1"/>
  <c r="E111" i="1"/>
  <c r="D111" i="1"/>
  <c r="E107" i="1"/>
  <c r="D107" i="1"/>
  <c r="E106" i="1"/>
  <c r="D106" i="1"/>
  <c r="E105" i="1"/>
  <c r="D105" i="1"/>
  <c r="E104" i="1"/>
  <c r="D104" i="1"/>
  <c r="E103" i="1"/>
  <c r="E99" i="1"/>
  <c r="D99" i="1"/>
  <c r="E98" i="1"/>
  <c r="D98" i="1"/>
  <c r="E97" i="1"/>
  <c r="D97" i="1"/>
  <c r="E96" i="1"/>
  <c r="D96" i="1"/>
  <c r="E95" i="1"/>
  <c r="D95" i="1"/>
  <c r="E91" i="1"/>
  <c r="D91" i="1"/>
  <c r="E90" i="1"/>
  <c r="D90" i="1"/>
  <c r="E89" i="1"/>
  <c r="D89" i="1"/>
  <c r="E88" i="1"/>
  <c r="D88" i="1"/>
  <c r="E87" i="1"/>
  <c r="D87" i="1"/>
  <c r="E83" i="1"/>
  <c r="D83" i="1"/>
  <c r="E82" i="1"/>
  <c r="D82" i="1"/>
  <c r="E81" i="1"/>
  <c r="D81" i="1"/>
  <c r="E80" i="1"/>
  <c r="D80" i="1"/>
  <c r="E79" i="1"/>
  <c r="D79" i="1"/>
  <c r="E75" i="1"/>
  <c r="D75" i="1"/>
  <c r="E74" i="1"/>
  <c r="D74" i="1"/>
  <c r="E73" i="1"/>
  <c r="D73" i="1"/>
  <c r="E72" i="1"/>
  <c r="D72" i="1"/>
  <c r="E71" i="1"/>
  <c r="D71" i="1"/>
  <c r="E67" i="1"/>
  <c r="D67" i="1"/>
  <c r="E66" i="1"/>
  <c r="D66" i="1"/>
  <c r="E65" i="1"/>
  <c r="D65" i="1"/>
  <c r="E64" i="1"/>
  <c r="D64" i="1"/>
  <c r="E63" i="1"/>
  <c r="D63" i="1"/>
  <c r="E59" i="1"/>
  <c r="D59" i="1"/>
  <c r="E58" i="1"/>
  <c r="D58" i="1"/>
  <c r="E57" i="1"/>
  <c r="D57" i="1"/>
  <c r="E56" i="1"/>
  <c r="D56" i="1"/>
  <c r="E55" i="1"/>
  <c r="D55" i="1"/>
  <c r="E51" i="1"/>
  <c r="D51" i="1"/>
  <c r="E50" i="1"/>
  <c r="D50" i="1"/>
  <c r="E49" i="1"/>
  <c r="D49" i="1"/>
  <c r="E48" i="1"/>
  <c r="D48" i="1"/>
  <c r="E47" i="1"/>
  <c r="D47" i="1"/>
  <c r="E43" i="1"/>
  <c r="D43" i="1"/>
  <c r="E42" i="1"/>
  <c r="D42" i="1"/>
  <c r="E41" i="1"/>
  <c r="D41" i="1"/>
  <c r="E40" i="1"/>
  <c r="D40" i="1"/>
  <c r="E39" i="1"/>
  <c r="D39" i="1"/>
  <c r="E35" i="1"/>
  <c r="D35" i="1"/>
  <c r="E34" i="1"/>
  <c r="D34" i="1"/>
  <c r="E33" i="1"/>
  <c r="D33" i="1"/>
  <c r="E32" i="1"/>
  <c r="D32" i="1"/>
  <c r="E31" i="1"/>
  <c r="D31" i="1"/>
  <c r="E27" i="1"/>
  <c r="D27" i="1"/>
  <c r="E26" i="1"/>
  <c r="D26" i="1"/>
  <c r="E25" i="1"/>
  <c r="D25" i="1"/>
  <c r="E24" i="1"/>
  <c r="D24" i="1"/>
  <c r="F115" i="1" l="1"/>
  <c r="I115" i="1" s="1"/>
  <c r="F122" i="1"/>
  <c r="I122" i="1" s="1"/>
  <c r="F33" i="1"/>
  <c r="I33" i="1" s="1"/>
  <c r="F40" i="1"/>
  <c r="I40" i="1" s="1"/>
  <c r="F47" i="1"/>
  <c r="I47" i="1" s="1"/>
  <c r="F51" i="1"/>
  <c r="I51" i="1" s="1"/>
  <c r="F58" i="1"/>
  <c r="I58" i="1" s="1"/>
  <c r="F65" i="1"/>
  <c r="I65" i="1" s="1"/>
  <c r="F72" i="1"/>
  <c r="I72" i="1" s="1"/>
  <c r="F79" i="1"/>
  <c r="I79" i="1" s="1"/>
  <c r="F83" i="1"/>
  <c r="I83" i="1" s="1"/>
  <c r="F90" i="1"/>
  <c r="I90" i="1" s="1"/>
  <c r="F97" i="1"/>
  <c r="I97" i="1" s="1"/>
  <c r="F104" i="1"/>
  <c r="I104" i="1" s="1"/>
  <c r="F111" i="1"/>
  <c r="I111" i="1" s="1"/>
  <c r="F32" i="1"/>
  <c r="I32" i="1" s="1"/>
  <c r="F39" i="1"/>
  <c r="I39" i="1" s="1"/>
  <c r="F43" i="1"/>
  <c r="I43" i="1" s="1"/>
  <c r="F50" i="1"/>
  <c r="I50" i="1" s="1"/>
  <c r="F57" i="1"/>
  <c r="I57" i="1" s="1"/>
  <c r="F64" i="1"/>
  <c r="I64" i="1" s="1"/>
  <c r="F71" i="1"/>
  <c r="I71" i="1" s="1"/>
  <c r="F75" i="1"/>
  <c r="I75" i="1" s="1"/>
  <c r="F82" i="1"/>
  <c r="I82" i="1" s="1"/>
  <c r="F89" i="1"/>
  <c r="I89" i="1" s="1"/>
  <c r="F96" i="1"/>
  <c r="I96" i="1" s="1"/>
  <c r="F103" i="1"/>
  <c r="I103" i="1" s="1"/>
  <c r="F107" i="1"/>
  <c r="I107" i="1" s="1"/>
  <c r="F114" i="1"/>
  <c r="I114" i="1" s="1"/>
  <c r="F121" i="1"/>
  <c r="I121" i="1" s="1"/>
  <c r="F34" i="1"/>
  <c r="I34" i="1" s="1"/>
  <c r="F41" i="1"/>
  <c r="I41" i="1" s="1"/>
  <c r="F48" i="1"/>
  <c r="I48" i="1" s="1"/>
  <c r="F55" i="1"/>
  <c r="I55" i="1" s="1"/>
  <c r="F59" i="1"/>
  <c r="I59" i="1" s="1"/>
  <c r="F66" i="1"/>
  <c r="I66" i="1" s="1"/>
  <c r="F73" i="1"/>
  <c r="I73" i="1" s="1"/>
  <c r="F80" i="1"/>
  <c r="I80" i="1" s="1"/>
  <c r="F87" i="1"/>
  <c r="I87" i="1" s="1"/>
  <c r="F91" i="1"/>
  <c r="I91" i="1" s="1"/>
  <c r="F98" i="1"/>
  <c r="I98" i="1" s="1"/>
  <c r="F105" i="1"/>
  <c r="I105" i="1" s="1"/>
  <c r="F112" i="1"/>
  <c r="I112" i="1" s="1"/>
  <c r="F123" i="1"/>
  <c r="I123" i="1" s="1"/>
  <c r="F31" i="1"/>
  <c r="I31" i="1" s="1"/>
  <c r="F35" i="1"/>
  <c r="I35" i="1" s="1"/>
  <c r="F42" i="1"/>
  <c r="I42" i="1" s="1"/>
  <c r="F49" i="1"/>
  <c r="I49" i="1" s="1"/>
  <c r="F56" i="1"/>
  <c r="I56" i="1" s="1"/>
  <c r="F63" i="1"/>
  <c r="I63" i="1" s="1"/>
  <c r="F67" i="1"/>
  <c r="I67" i="1" s="1"/>
  <c r="F74" i="1"/>
  <c r="I74" i="1" s="1"/>
  <c r="F81" i="1"/>
  <c r="I81" i="1" s="1"/>
  <c r="F88" i="1"/>
  <c r="I88" i="1" s="1"/>
  <c r="F95" i="1"/>
  <c r="I95" i="1" s="1"/>
  <c r="F99" i="1"/>
  <c r="I99" i="1" s="1"/>
  <c r="F106" i="1"/>
  <c r="I106" i="1" s="1"/>
  <c r="F113" i="1"/>
  <c r="I113" i="1" s="1"/>
  <c r="F120" i="1"/>
  <c r="I120" i="1" s="1"/>
  <c r="F23" i="1"/>
  <c r="I23" i="1" s="1"/>
  <c r="F24" i="1"/>
  <c r="I24" i="1" s="1"/>
  <c r="F25" i="1"/>
  <c r="I25" i="1" s="1"/>
  <c r="F26" i="1"/>
  <c r="I26" i="1" s="1"/>
  <c r="F27" i="1"/>
  <c r="I27" i="1" s="1"/>
  <c r="I10" i="1"/>
  <c r="J10" i="1"/>
  <c r="K71" i="1" l="1"/>
  <c r="K119" i="1"/>
  <c r="L15" i="1" s="1"/>
  <c r="K63" i="1"/>
  <c r="L9" i="1" s="1"/>
  <c r="K39" i="1"/>
  <c r="L5" i="1" s="1"/>
  <c r="K79" i="1"/>
  <c r="L10" i="1" s="1"/>
  <c r="K111" i="1"/>
  <c r="L14" i="1" s="1"/>
  <c r="K87" i="1"/>
  <c r="L11" i="1" s="1"/>
  <c r="K103" i="1"/>
  <c r="L13" i="1" s="1"/>
  <c r="K31" i="1"/>
  <c r="L4" i="1" s="1"/>
  <c r="K47" i="1"/>
  <c r="L6" i="1" s="1"/>
  <c r="K95" i="1"/>
  <c r="L12" i="1" s="1"/>
  <c r="K55" i="1"/>
  <c r="K23" i="1"/>
  <c r="L3" i="1" s="1"/>
  <c r="I7" i="1"/>
  <c r="I5" i="1"/>
  <c r="I12" i="1"/>
  <c r="I9" i="1"/>
  <c r="I4" i="1"/>
  <c r="I8" i="1"/>
  <c r="I6" i="1"/>
  <c r="I3" i="1"/>
  <c r="I11" i="1"/>
  <c r="J7" i="1"/>
  <c r="J5" i="1"/>
  <c r="J12" i="1"/>
  <c r="J9" i="1"/>
  <c r="J4" i="1"/>
  <c r="J8" i="1"/>
  <c r="J6" i="1"/>
  <c r="J3" i="1"/>
  <c r="J11" i="1"/>
  <c r="L8" i="1" l="1"/>
  <c r="L7" i="1"/>
  <c r="O27" i="1"/>
  <c r="P27" i="1"/>
  <c r="Q27" i="1" l="1"/>
  <c r="K5" i="1" l="1"/>
  <c r="K6" i="1"/>
  <c r="K7" i="1"/>
  <c r="K8" i="1"/>
  <c r="K9" i="1"/>
  <c r="K11" i="1"/>
  <c r="K13" i="1"/>
  <c r="K10" i="1"/>
  <c r="K12" i="1"/>
  <c r="K14" i="1"/>
  <c r="K15" i="1"/>
  <c r="K20" i="1"/>
  <c r="K19" i="1"/>
  <c r="K18" i="1"/>
  <c r="K16" i="1"/>
  <c r="K17" i="1"/>
  <c r="K3" i="1"/>
  <c r="K4" i="1"/>
  <c r="K105" i="1"/>
  <c r="K97" i="1"/>
  <c r="K113" i="1"/>
</calcChain>
</file>

<file path=xl/sharedStrings.xml><?xml version="1.0" encoding="utf-8"?>
<sst xmlns="http://schemas.openxmlformats.org/spreadsheetml/2006/main" count="317" uniqueCount="57">
  <si>
    <t>UC Name</t>
  </si>
  <si>
    <t>Documentation</t>
  </si>
  <si>
    <t>Testing</t>
  </si>
  <si>
    <t>Total</t>
  </si>
  <si>
    <t>FP</t>
  </si>
  <si>
    <t>Login</t>
  </si>
  <si>
    <t>Register</t>
  </si>
  <si>
    <t>Simple</t>
  </si>
  <si>
    <t>Average</t>
  </si>
  <si>
    <t>Complex</t>
  </si>
  <si>
    <t>Count</t>
  </si>
  <si>
    <t>Reason</t>
  </si>
  <si>
    <t>Number of User Input (Ei)</t>
  </si>
  <si>
    <t>Number of User Outputs (EO)</t>
  </si>
  <si>
    <t>Number of User Inquiries (EQ)</t>
  </si>
  <si>
    <t>Number of Files (ILF)</t>
  </si>
  <si>
    <t>Number of External Interfaces (EIF)</t>
  </si>
  <si>
    <t>DET</t>
  </si>
  <si>
    <t>Function points</t>
  </si>
  <si>
    <t>The amount depends on the survey in the database. That makes presenting the survey more comlex</t>
  </si>
  <si>
    <t xml:space="preserve">View, Presenter, Database, Model, </t>
  </si>
  <si>
    <t>Total w/o warmup</t>
  </si>
  <si>
    <t>A Tag will be saved</t>
  </si>
  <si>
    <t>FTR/RET</t>
  </si>
  <si>
    <t>Points</t>
  </si>
  <si>
    <t>25 single, clickable stars</t>
  </si>
  <si>
    <t>Presenter, Rating Class, Bar Class. Influences many fields in the database</t>
  </si>
  <si>
    <t>Presenter, Bar model</t>
  </si>
  <si>
    <t>Presenter, User Model</t>
  </si>
  <si>
    <t>Presenter, Bar Model</t>
  </si>
  <si>
    <t>Explaniation</t>
  </si>
  <si>
    <t>Velocity</t>
  </si>
  <si>
    <t>Time spent (w/o outliers)</t>
  </si>
  <si>
    <t>Function Points (w/o outliers)</t>
  </si>
  <si>
    <t>Estimate</t>
  </si>
  <si>
    <t>Register/Login Google</t>
  </si>
  <si>
    <t>Edit Profile</t>
  </si>
  <si>
    <t>Delete User</t>
  </si>
  <si>
    <t>Search User</t>
  </si>
  <si>
    <t>Add Friend</t>
  </si>
  <si>
    <t>List Received Friend Requests</t>
  </si>
  <si>
    <t>List Sent Friend Requests</t>
  </si>
  <si>
    <t>Accept Friend Request</t>
  </si>
  <si>
    <t>Delete Friend</t>
  </si>
  <si>
    <t>Create New Request</t>
  </si>
  <si>
    <t>Create New Offer</t>
  </si>
  <si>
    <t>Search Offer and Requests</t>
  </si>
  <si>
    <t>List Requests</t>
  </si>
  <si>
    <t>List Offers</t>
  </si>
  <si>
    <t>Edit Status</t>
  </si>
  <si>
    <t>Development</t>
  </si>
  <si>
    <t>Design</t>
  </si>
  <si>
    <t>Research</t>
  </si>
  <si>
    <t>Deployment</t>
  </si>
  <si>
    <t>Change Password</t>
  </si>
  <si>
    <t>Register/Login_Google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</si>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</sst>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12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point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Register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Tabelle1!$L$3:$L$21</c:f>
              <c:numCache>
                <c:formatCode>General</c:formatCode>
                <c:ptCount val="19"/>
                <c:pt idx="0">
                  <c:v>17.55</c:v>
                </c:pt>
                <c:pt idx="1">
                  <c:v>28.6</c:v>
                </c:pt>
                <c:pt idx="2">
                  <c:v>27.95</c:v>
                </c:pt>
                <c:pt idx="3">
                  <c:v>19.600000000000001</c:v>
                </c:pt>
                <c:pt idx="4">
                  <c:v>12.35</c:v>
                </c:pt>
                <c:pt idx="5">
                  <c:v>12.35</c:v>
                </c:pt>
                <c:pt idx="6">
                  <c:v>24.05</c:v>
                </c:pt>
                <c:pt idx="7">
                  <c:v>11.05</c:v>
                </c:pt>
                <c:pt idx="8">
                  <c:v>15.600000000000001</c:v>
                </c:pt>
                <c:pt idx="9">
                  <c:v>13</c:v>
                </c:pt>
                <c:pt idx="10">
                  <c:v>17.55</c:v>
                </c:pt>
                <c:pt idx="11">
                  <c:v>13</c:v>
                </c:pt>
                <c:pt idx="12">
                  <c:v>28.6</c:v>
                </c:pt>
                <c:pt idx="13">
                  <c:v>28.6</c:v>
                </c:pt>
                <c:pt idx="14">
                  <c:v>17.55</c:v>
                </c:pt>
                <c:pt idx="15">
                  <c:v>11.05</c:v>
                </c:pt>
                <c:pt idx="16">
                  <c:v>11.05</c:v>
                </c:pt>
                <c:pt idx="17">
                  <c:v>11.05</c:v>
                </c:pt>
              </c:numCache>
            </c:numRef>
          </c:xVal>
          <c:yVal>
            <c:numRef>
              <c:f>Tabelle1!$I$3:$I$21</c:f>
              <c:numCache>
                <c:formatCode>h:mm</c:formatCode>
                <c:ptCount val="19"/>
                <c:pt idx="0">
                  <c:v>0.85416666666666663</c:v>
                </c:pt>
                <c:pt idx="1">
                  <c:v>0.34375</c:v>
                </c:pt>
                <c:pt idx="2">
                  <c:v>0.93055555555555569</c:v>
                </c:pt>
                <c:pt idx="3">
                  <c:v>0.1701388888888889</c:v>
                </c:pt>
                <c:pt idx="4">
                  <c:v>0.1701388888888889</c:v>
                </c:pt>
                <c:pt idx="5">
                  <c:v>0.20138888888888887</c:v>
                </c:pt>
                <c:pt idx="6">
                  <c:v>0.36805555555555552</c:v>
                </c:pt>
                <c:pt idx="7">
                  <c:v>0.18402777777777776</c:v>
                </c:pt>
                <c:pt idx="8">
                  <c:v>7.6388888888888881E-2</c:v>
                </c:pt>
                <c:pt idx="9">
                  <c:v>7.6388888888888881E-2</c:v>
                </c:pt>
                <c:pt idx="10">
                  <c:v>6.25E-2</c:v>
                </c:pt>
                <c:pt idx="11">
                  <c:v>0.1111111111111111</c:v>
                </c:pt>
                <c:pt idx="12">
                  <c:v>0.1423611111111111</c:v>
                </c:pt>
                <c:pt idx="13">
                  <c:v>0.54722222222222217</c:v>
                </c:pt>
                <c:pt idx="14">
                  <c:v>2.7777777777777776E-2</c:v>
                </c:pt>
                <c:pt idx="15">
                  <c:v>2.7777777777777776E-2</c:v>
                </c:pt>
                <c:pt idx="16">
                  <c:v>3.4722222222222224E-2</c:v>
                </c:pt>
                <c:pt idx="17">
                  <c:v>2.4305555555555556E-2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78048"/>
        <c:axId val="318175904"/>
      </c:scatterChart>
      <c:valAx>
        <c:axId val="31707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175904"/>
        <c:crosses val="autoZero"/>
        <c:crossBetween val="midCat"/>
      </c:valAx>
      <c:valAx>
        <c:axId val="3181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078048"/>
        <c:crosses val="autoZero"/>
        <c:crossBetween val="midCat"/>
        <c:majorUnit val="2.0833300000000003E-2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15875</xdr:colOff>
      <xdr:row>0</xdr:row>
      <xdr:rowOff>187324</xdr:rowOff>
    </xdr:from>
    <xdr:to>
      <xdr:col>21</xdr:col>
      <xdr:colOff>31749</xdr:colOff>
      <xdr:row>24</xdr:row>
      <xdr:rowOff>142875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0.08088</cdr:x>
      <cdr:y>0.11718</cdr:y>
    </cdr:from>
    <cdr:to>
      <cdr:x>0.79289</cdr:x>
      <cdr:y>0.92978</cdr:y>
    </cdr:to>
    <cdr:cxnSp macro="">
      <cdr:nvCxnSpPr>
        <cdr:cNvPr id="10" name="Gerader Verbinder 9"/>
        <cdr:cNvCxnSpPr/>
      </cdr:nvCxnSpPr>
      <cdr:spPr>
        <a:xfrm xmlns:a="http://schemas.openxmlformats.org/drawingml/2006/main" flipV="1">
          <a:off x="523875" y="463551"/>
          <a:ext cx="4611688" cy="32146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1" name="Tabelle1" displayName="Tabelle1" ref="B2:M20" totalsRowShown="0">
  <autoFilter ref="B2:M20"/>
  <sortState ref="B3:L12">
    <sortCondition ref="L2:L12"/>
  </sortState>
  <tableColumns count="12">
    <tableColumn id="1" name="UC Name"/>
    <tableColumn id="2" name="Documentation"/>
    <tableColumn id="7" name="Development" dataDxfId="9"/>
    <tableColumn id="8" name="Testing" dataDxfId="8"/>
    <tableColumn id="9" name="Design" dataDxfId="7"/>
    <tableColumn id="3" name="Deployment"/>
    <tableColumn id="4" name="Research"/>
    <tableColumn id="10" name="Total w/o warmup" dataDxfId="6">
      <calculatedColumnFormula>SUM(Tabelle1[[#This Row],[Documentation]:[Testing]])+SUM(Tabelle1[[#This Row],[Deployment]:[Research]])</calculatedColumnFormula>
    </tableColumn>
    <tableColumn id="5" name="Total" dataDxfId="5">
      <calculatedColumnFormula>SUM(Tabelle1[[#This Row],[Documentation]:[Research]])</calculatedColumnFormula>
    </tableColumn>
    <tableColumn id="12" name="Estimate" dataDxfId="4">
      <calculatedColumnFormula>Tabelle1[[#This Row],[FP]]/Tabelle15[Velocity]/24</calculatedColumnFormula>
    </tableColumn>
    <tableColumn id="6" name="FP"/>
    <tableColumn id="11" name="Explaniation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10" name="Tabelle10" displayName="Tabelle10" ref="B86:K91" totalsRowShown="0">
  <autoFilter ref="B86:K91"/>
  <tableColumns count="10">
    <tableColumn id="1" name="List Received Friend Request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id="11" name="Tabelle11" displayName="Tabelle11" ref="B94:K99" totalsRowShown="0">
  <autoFilter ref="B94:K99"/>
  <tableColumns count="10">
    <tableColumn id="1" name="List Sent Friend Request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id="12" name="Tabelle12" displayName="Tabelle12" ref="B102:K107" totalsRowShown="0">
  <autoFilter ref="B102:K107"/>
  <tableColumns count="10">
    <tableColumn id="1" name="Accept Friend Request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id="13" name="Tabelle1214" displayName="Tabelle1214" ref="B110:K115" totalsRowShown="0">
  <autoFilter ref="B110:K115"/>
  <tableColumns count="10">
    <tableColumn id="1" name="Delete Friend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id="14" name="Tabelle121415" displayName="Tabelle121415" ref="B118:K123" totalsRowShown="0">
  <autoFilter ref="B118:K123"/>
  <tableColumns count="10">
    <tableColumn id="1" name="Create New Request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id="15" name="Tabelle15" displayName="Tabelle15" ref="O26:Q27" totalsRowShown="0">
  <autoFilter ref="O26:Q27"/>
  <tableColumns count="3">
    <tableColumn id="1" name="Time spent (w/o outliers)" dataDxfId="1">
      <calculatedColumnFormula>SUM(I3:I10,I12,I14:I15)*24</calculatedColumnFormula>
    </tableColumn>
    <tableColumn id="2" name="Function Points (w/o outliers)">
      <calculatedColumnFormula>SUM(L3:L10,L12,L14:L15)</calculatedColumnFormula>
    </tableColumn>
    <tableColumn id="3" name="Velocity" dataDxfId="0">
      <calculatedColumnFormula>P27/O27</calculatedColumnFormula>
    </tableColumn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id="17" name="Tabelle12141518" displayName="Tabelle12141518" ref="B134:K139" totalsRowShown="0">
  <autoFilter ref="B134:K139"/>
  <tableColumns count="10">
    <tableColumn id="1" name="Search Offer and Requests"/>
    <tableColumn id="2" name="Count"/>
    <tableColumn id="3" name="Simple"/>
    <tableColumn id="4" name="Average"/>
    <tableColumn id="5" name="Complex">
      <calculatedColumnFormula>IF(AND(Tabelle12141518[[#This Row],[Simple]]=0,Tabelle12141518[[#This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7.xml><?xml version="1.0" encoding="utf-8"?>
<table xmlns="http://schemas.openxmlformats.org/spreadsheetml/2006/main" id="18" name="Tabelle12141519" displayName="Tabelle12141519" ref="B142:K147" totalsRowShown="0">
  <autoFilter ref="B142:K147"/>
  <tableColumns count="10">
    <tableColumn id="1" name="List Requests"/>
    <tableColumn id="2" name="Count"/>
    <tableColumn id="3" name="Simple"/>
    <tableColumn id="4" name="Average"/>
    <tableColumn id="5" name="Complex">
      <calculatedColumnFormula>IF(AND(Tabelle12141519[[#This Row],[Simple]]=0,Tabelle12141519[[#This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8.xml><?xml version="1.0" encoding="utf-8"?>
<table xmlns="http://schemas.openxmlformats.org/spreadsheetml/2006/main" id="19" name="Tabelle12141520" displayName="Tabelle12141520" ref="B150:K155" totalsRowShown="0">
  <autoFilter ref="B150:K155"/>
  <tableColumns count="10">
    <tableColumn id="1" name="List Offers"/>
    <tableColumn id="2" name="Count"/>
    <tableColumn id="3" name="Simple"/>
    <tableColumn id="4" name="Average"/>
    <tableColumn id="5" name="Complex">
      <calculatedColumnFormula>IF(AND(Tabelle12141520[[#This Row],[Simple]]=0,Tabelle12141520[[#This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id="20" name="Tabelle12141521" displayName="Tabelle12141521" ref="B158:K163" totalsRowShown="0">
  <autoFilter ref="B158:K163"/>
  <tableColumns count="10">
    <tableColumn id="1" name="Edit Status"/>
    <tableColumn id="2" name="Count"/>
    <tableColumn id="3" name="Simple"/>
    <tableColumn id="4" name="Average"/>
    <tableColumn id="5" name="Complex">
      <calculatedColumnFormula>IF(AND(Tabelle12141521[[#This Row],[Simple]]=0,Tabelle12141521[[#This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22:K27" totalsRowShown="0">
  <autoFilter ref="B22:K27"/>
  <tableColumns count="10">
    <tableColumn id="1" name="Login"/>
    <tableColumn id="2" name="Count"/>
    <tableColumn id="3" name="Simple"/>
    <tableColumn id="4" name="Average" dataDxfId="3">
      <calculatedColumnFormula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"x", "")</calculatedColumnFormula>
    </tableColumn>
    <tableColumn id="5" name="Complex" dataDxfId="2">
      <calculatedColumnFormula>IF(AND(Tabelle2[[#This Row],[Simple]]="",Tabelle2[[#This Row],[Average]]=""), "x", "")</calculatedColumnFormula>
    </tableColumn>
    <tableColumn id="6" name="FTR/RET"/>
    <tableColumn id="7" name="DET"/>
    <tableColumn id="12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id="23" name="Tabelle12141524" displayName="Tabelle12141524" ref="B126:K131" totalsRowShown="0">
  <autoFilter ref="B126:K131"/>
  <tableColumns count="10">
    <tableColumn id="1" name="Create New Offer"/>
    <tableColumn id="2" name="Count"/>
    <tableColumn id="3" name="Simple"/>
    <tableColumn id="4" name="Average"/>
    <tableColumn id="5" name="Complex">
      <calculatedColumnFormula>IF(AND(Tabelle12141524[[#This Row],[Simple]]=0,Tabelle12141524[[#This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B30:K35" totalsRowShown="0">
  <autoFilter ref="B30:K35"/>
  <tableColumns count="10">
    <tableColumn id="1" name="Register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B38:K43" totalsRowShown="0">
  <autoFilter ref="B38:K43"/>
  <tableColumns count="10">
    <tableColumn id="1" name="Register/Login_Google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B46:K51" totalsRowShown="0">
  <autoFilter ref="B46:K51"/>
  <tableColumns count="10">
    <tableColumn id="1" name="Edit Profile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B54:K59" totalsRowShown="0">
  <autoFilter ref="B54:K59"/>
  <tableColumns count="10">
    <tableColumn id="1" name="Change Password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7" name="Tabelle7" displayName="Tabelle7" ref="B62:K67" totalsRowShown="0">
  <autoFilter ref="B62:K67"/>
  <tableColumns count="10">
    <tableColumn id="1" name="Delete User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elle8" displayName="Tabelle8" ref="B70:K75" totalsRowShown="0">
  <autoFilter ref="B70:K75"/>
  <tableColumns count="10">
    <tableColumn id="1" name="Search User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elle9" displayName="Tabelle9" ref="B78:K83" totalsRowShown="0">
  <autoFilter ref="B78:K83"/>
  <tableColumns count="10">
    <tableColumn id="1" name="Add Friend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:Q163"/>
  <sheetViews>
    <sheetView tabSelected="1" topLeftCell="A11" zoomScaleNormal="100" workbookViewId="0">
      <selection activeCell="H23" sqref="H23"/>
    </sheetView>
  </sheetViews>
  <sheetFormatPr baseColWidth="10" defaultRowHeight="15" x14ac:dyDescent="0.25"/>
  <cols>
    <col min="1" max="1" width="3.140625" customWidth="1"/>
    <col min="2" max="2" width="32.5703125" bestFit="1" customWidth="1"/>
    <col min="3" max="3" width="16.85546875" customWidth="1"/>
    <col min="4" max="4" width="15.42578125" bestFit="1" customWidth="1"/>
    <col min="10" max="10" width="16.85546875" customWidth="1"/>
    <col min="14" max="14" width="3.28515625" customWidth="1"/>
    <col min="15" max="15" width="28.28515625" customWidth="1"/>
  </cols>
  <sheetData>
    <row r="2" spans="2:13" x14ac:dyDescent="0.25">
      <c r="B2" t="s">
        <v>0</v>
      </c>
      <c r="C2" t="s">
        <v>1</v>
      </c>
      <c r="D2" t="s">
        <v>50</v>
      </c>
      <c r="E2" t="s">
        <v>2</v>
      </c>
      <c r="F2" t="s">
        <v>51</v>
      </c>
      <c r="G2" t="s">
        <v>53</v>
      </c>
      <c r="H2" t="s">
        <v>52</v>
      </c>
      <c r="I2" t="s">
        <v>21</v>
      </c>
      <c r="J2" t="s">
        <v>3</v>
      </c>
      <c r="K2" t="s">
        <v>34</v>
      </c>
      <c r="L2" t="s">
        <v>4</v>
      </c>
      <c r="M2" t="s">
        <v>30</v>
      </c>
    </row>
    <row r="3" spans="2:13" x14ac:dyDescent="0.25">
      <c r="B3" t="s">
        <v>6</v>
      </c>
      <c r="C3" s="1">
        <v>0</v>
      </c>
      <c r="D3" s="1">
        <v>0.85416666666666663</v>
      </c>
      <c r="E3" s="1">
        <v>0</v>
      </c>
      <c r="F3" s="1">
        <v>0</v>
      </c>
      <c r="G3" s="1">
        <v>0</v>
      </c>
      <c r="H3" s="1">
        <v>0</v>
      </c>
      <c r="I3" s="1">
        <f>SUM(Tabelle1[[#This Row],[Documentation]:[Testing]])+SUM(Tabelle1[[#This Row],[Deployment]:[Research]])</f>
        <v>0.85416666666666663</v>
      </c>
      <c r="J3" s="2">
        <f>SUM(Tabelle1[[#This Row],[Documentation]:[Research]])</f>
        <v>0.85416666666666663</v>
      </c>
      <c r="K3" s="2">
        <f>Tabelle1[[#This Row],[FP]]/Tabelle15[Velocity]/24</f>
        <v>0.29956301057184043</v>
      </c>
      <c r="L3">
        <f>SearchBarFP</f>
        <v>17.55</v>
      </c>
    </row>
    <row r="4" spans="2:13" x14ac:dyDescent="0.25">
      <c r="B4" t="s">
        <v>5</v>
      </c>
      <c r="C4" s="1">
        <v>8.3333333333333329E-2</v>
      </c>
      <c r="D4" s="1">
        <v>0.25</v>
      </c>
      <c r="E4" s="1">
        <v>0</v>
      </c>
      <c r="F4" s="1">
        <v>0</v>
      </c>
      <c r="G4" s="1">
        <v>1.0416666666666666E-2</v>
      </c>
      <c r="H4" s="1">
        <v>0</v>
      </c>
      <c r="I4" s="1">
        <f>SUM(Tabelle1[[#This Row],[Documentation]:[Testing]])+SUM(Tabelle1[[#This Row],[Deployment]:[Research]])</f>
        <v>0.34375</v>
      </c>
      <c r="J4" s="2">
        <f>SUM(Tabelle1[[#This Row],[Documentation]:[Research]])</f>
        <v>0.34375</v>
      </c>
      <c r="K4" s="2">
        <f>Tabelle1[[#This Row],[FP]]/Tabelle15[Velocity]/24</f>
        <v>0.48817675796892512</v>
      </c>
      <c r="L4">
        <f>LoginFP</f>
        <v>28.6</v>
      </c>
    </row>
    <row r="5" spans="2:13" x14ac:dyDescent="0.25">
      <c r="B5" t="s">
        <v>35</v>
      </c>
      <c r="C5" s="1">
        <v>4.8611111111111112E-2</v>
      </c>
      <c r="D5" s="1">
        <v>0.88194444444444453</v>
      </c>
      <c r="E5" s="1">
        <v>0</v>
      </c>
      <c r="F5" s="1">
        <v>0</v>
      </c>
      <c r="G5" s="1">
        <v>0</v>
      </c>
      <c r="H5" s="1">
        <v>0</v>
      </c>
      <c r="I5" s="1">
        <f>SUM(Tabelle1[[#This Row],[Documentation]:[Testing]])+SUM(Tabelle1[[#This Row],[Deployment]:[Research]])</f>
        <v>0.93055555555555569</v>
      </c>
      <c r="J5" s="2">
        <f>SUM(Tabelle1[[#This Row],[Documentation]:[Research]])</f>
        <v>0.93055555555555569</v>
      </c>
      <c r="K5" s="2">
        <f>Tabelle1[[#This Row],[FP]]/Tabelle15[Velocity]/24</f>
        <v>0.47708183165144957</v>
      </c>
      <c r="L5">
        <f>RegisterFp</f>
        <v>27.95</v>
      </c>
    </row>
    <row r="6" spans="2:13" x14ac:dyDescent="0.25">
      <c r="B6" t="s">
        <v>36</v>
      </c>
      <c r="C6" s="1">
        <v>3.4722222222222224E-2</v>
      </c>
      <c r="D6" s="1">
        <v>7.2916666666666671E-2</v>
      </c>
      <c r="E6" s="1">
        <v>6.25E-2</v>
      </c>
      <c r="F6" s="1">
        <v>0</v>
      </c>
      <c r="G6" s="1">
        <v>0</v>
      </c>
      <c r="H6" s="1">
        <v>0</v>
      </c>
      <c r="I6" s="1">
        <f>SUM(Tabelle1[[#This Row],[Documentation]:[Testing]])+SUM(Tabelle1[[#This Row],[Deployment]:[Research]])</f>
        <v>0.1701388888888889</v>
      </c>
      <c r="J6" s="2">
        <f>SUM(Tabelle1[[#This Row],[Documentation]:[Research]])</f>
        <v>0.1701388888888889</v>
      </c>
      <c r="K6" s="2">
        <f>Tabelle1[[#This Row],[FP]]/Tabelle15[Velocity]/24</f>
        <v>0.33455470126541725</v>
      </c>
      <c r="L6">
        <f>SurveysFP</f>
        <v>19.600000000000001</v>
      </c>
    </row>
    <row r="7" spans="2:13" x14ac:dyDescent="0.25">
      <c r="B7" t="s">
        <v>54</v>
      </c>
      <c r="C7" s="1">
        <v>3.4722222222222224E-2</v>
      </c>
      <c r="D7" s="1">
        <v>7.2916666666666671E-2</v>
      </c>
      <c r="E7" s="1">
        <v>6.25E-2</v>
      </c>
      <c r="F7" s="1">
        <v>0</v>
      </c>
      <c r="G7" s="1">
        <v>0</v>
      </c>
      <c r="H7" s="1">
        <v>0</v>
      </c>
      <c r="I7" s="1">
        <f>SUM(Tabelle1[[#This Row],[Documentation]:[Testing]])+SUM(Tabelle1[[#This Row],[Deployment]:[Research]])</f>
        <v>0.1701388888888889</v>
      </c>
      <c r="J7" s="2">
        <f>SUM(Tabelle1[[#This Row],[Documentation]:[Research]])</f>
        <v>0.1701388888888889</v>
      </c>
      <c r="K7" s="2">
        <f>Tabelle1[[#This Row],[FP]]/Tabelle15[Velocity]/24</f>
        <v>0.21080360003203583</v>
      </c>
      <c r="L7">
        <f>SeePinboardsFP</f>
        <v>12.35</v>
      </c>
    </row>
    <row r="8" spans="2:13" x14ac:dyDescent="0.25">
      <c r="B8" t="s">
        <v>37</v>
      </c>
      <c r="C8" s="1">
        <v>0</v>
      </c>
      <c r="D8" s="1">
        <v>0.20138888888888887</v>
      </c>
      <c r="E8" s="1">
        <v>0</v>
      </c>
      <c r="F8" s="1">
        <v>0</v>
      </c>
      <c r="G8" s="1">
        <v>0</v>
      </c>
      <c r="H8" s="1">
        <v>0</v>
      </c>
      <c r="I8" s="1">
        <f>SUM(Tabelle1[[#This Row],[Documentation]:[Testing]])+SUM(Tabelle1[[#This Row],[Deployment]:[Research]])</f>
        <v>0.20138888888888887</v>
      </c>
      <c r="J8" s="2">
        <f>SUM(Tabelle1[[#This Row],[Documentation]:[Research]])</f>
        <v>0.20138888888888887</v>
      </c>
      <c r="K8" s="2">
        <f>Tabelle1[[#This Row],[FP]]/Tabelle15[Velocity]/24</f>
        <v>0.21080360003203583</v>
      </c>
      <c r="L8">
        <f>ChangePassword</f>
        <v>12.35</v>
      </c>
    </row>
    <row r="9" spans="2:13" x14ac:dyDescent="0.25">
      <c r="B9" t="s">
        <v>38</v>
      </c>
      <c r="C9" s="1">
        <v>3.4722222222222224E-2</v>
      </c>
      <c r="D9" s="1">
        <v>0.25</v>
      </c>
      <c r="E9" s="1">
        <v>8.3333333333333329E-2</v>
      </c>
      <c r="F9" s="1">
        <v>0</v>
      </c>
      <c r="G9" s="1">
        <v>0</v>
      </c>
      <c r="H9" s="1">
        <v>0</v>
      </c>
      <c r="I9" s="1">
        <f>SUM(Tabelle1[[#This Row],[Documentation]:[Testing]])+SUM(Tabelle1[[#This Row],[Deployment]:[Research]])</f>
        <v>0.36805555555555552</v>
      </c>
      <c r="J9" s="2">
        <f>SUM(Tabelle1[[#This Row],[Documentation]:[Research]])</f>
        <v>0.36805555555555552</v>
      </c>
      <c r="K9" s="2">
        <f>Tabelle1[[#This Row],[FP]]/Tabelle15[Velocity]/24</f>
        <v>0.4105122737465961</v>
      </c>
      <c r="L9">
        <f>DeleteUser</f>
        <v>24.05</v>
      </c>
    </row>
    <row r="10" spans="2:13" x14ac:dyDescent="0.25">
      <c r="B10" t="s">
        <v>39</v>
      </c>
      <c r="C10" s="1">
        <v>3.4722222222222224E-2</v>
      </c>
      <c r="D10" s="1">
        <v>0.1076388888888889</v>
      </c>
      <c r="E10" s="1">
        <v>4.1666666666666664E-2</v>
      </c>
      <c r="F10" s="1">
        <v>0</v>
      </c>
      <c r="G10" s="1">
        <v>0</v>
      </c>
      <c r="H10" s="1">
        <v>0</v>
      </c>
      <c r="I10" s="1">
        <f>SUM(Tabelle1[[#This Row],[Documentation]:[Testing]])+SUM(Tabelle1[[#This Row],[Deployment]:[Research]])</f>
        <v>0.18402777777777776</v>
      </c>
      <c r="J10" s="2">
        <f>SUM(Tabelle1[[#This Row],[Documentation]:[Research]])</f>
        <v>0.18402777777777776</v>
      </c>
      <c r="K10" s="2">
        <f>Tabelle1[[#This Row],[FP]]/Tabelle15[Velocity]/24</f>
        <v>0.18861374739708472</v>
      </c>
      <c r="L10">
        <f>AddFriend</f>
        <v>11.05</v>
      </c>
    </row>
    <row r="11" spans="2:13" x14ac:dyDescent="0.25">
      <c r="B11" t="s">
        <v>40</v>
      </c>
      <c r="C11" s="1">
        <v>3.8194444444444441E-2</v>
      </c>
      <c r="D11" s="1">
        <v>3.8194444444444441E-2</v>
      </c>
      <c r="E11" s="1">
        <v>0</v>
      </c>
      <c r="F11" s="1">
        <v>0</v>
      </c>
      <c r="G11" s="1">
        <v>0</v>
      </c>
      <c r="H11" s="1">
        <v>0</v>
      </c>
      <c r="I11" s="1">
        <f>SUM(Tabelle1[[#This Row],[Documentation]:[Testing]])+SUM(Tabelle1[[#This Row],[Deployment]:[Research]])</f>
        <v>7.6388888888888881E-2</v>
      </c>
      <c r="J11" s="2">
        <f>SUM(Tabelle1[[#This Row],[Documentation]:[Research]])</f>
        <v>7.6388888888888881E-2</v>
      </c>
      <c r="K11" s="2">
        <f>Tabelle1[[#This Row],[FP]]/Tabelle15[Velocity]/24</f>
        <v>0.26627823161941372</v>
      </c>
      <c r="L11">
        <f>ListReceivedFriendRequests</f>
        <v>15.600000000000001</v>
      </c>
    </row>
    <row r="12" spans="2:13" x14ac:dyDescent="0.25">
      <c r="B12" t="s">
        <v>41</v>
      </c>
      <c r="C12" s="1">
        <v>3.8194444444444441E-2</v>
      </c>
      <c r="D12" s="1">
        <v>3.8194444444444441E-2</v>
      </c>
      <c r="E12" s="1">
        <v>0</v>
      </c>
      <c r="F12" s="1">
        <v>0</v>
      </c>
      <c r="G12" s="1">
        <v>0</v>
      </c>
      <c r="H12" s="1">
        <v>0</v>
      </c>
      <c r="I12" s="1">
        <f>SUM(Tabelle1[[#This Row],[Documentation]:[Testing]])+SUM(Tabelle1[[#This Row],[Deployment]:[Research]])</f>
        <v>7.6388888888888881E-2</v>
      </c>
      <c r="J12" s="2">
        <f>SUM(Tabelle1[[#This Row],[Documentation]:[Research]])</f>
        <v>7.6388888888888881E-2</v>
      </c>
      <c r="K12" s="2">
        <f>Tabelle1[[#This Row],[FP]]/Tabelle15[Velocity]/24</f>
        <v>0.22189852634951143</v>
      </c>
      <c r="L12">
        <f>ListSentFriendRequests</f>
        <v>13</v>
      </c>
    </row>
    <row r="13" spans="2:13" x14ac:dyDescent="0.25">
      <c r="B13" t="s">
        <v>42</v>
      </c>
      <c r="C13" s="1">
        <v>1.3888888888888888E-2</v>
      </c>
      <c r="D13" s="1">
        <v>3.4722222222222224E-2</v>
      </c>
      <c r="E13" s="1">
        <v>1.3888888888888888E-2</v>
      </c>
      <c r="F13" s="1">
        <v>0</v>
      </c>
      <c r="G13" s="1">
        <v>0</v>
      </c>
      <c r="H13" s="1">
        <v>0</v>
      </c>
      <c r="I13" s="1">
        <f>SUM(Tabelle1[[#This Row],[Documentation]:[Testing]])+SUM(Tabelle1[[#This Row],[Deployment]:[Research]])</f>
        <v>6.25E-2</v>
      </c>
      <c r="J13" s="2">
        <f>SUM(Tabelle1[[#This Row],[Documentation]:[Research]])</f>
        <v>6.25E-2</v>
      </c>
      <c r="K13" s="2">
        <f>Tabelle1[[#This Row],[FP]]/Tabelle15[Velocity]/24</f>
        <v>0.29956301057184043</v>
      </c>
      <c r="L13">
        <f>AcceptFriendRequests</f>
        <v>17.55</v>
      </c>
    </row>
    <row r="14" spans="2:13" x14ac:dyDescent="0.25">
      <c r="B14" t="s">
        <v>43</v>
      </c>
      <c r="C14" s="1">
        <v>3.4722222222222224E-2</v>
      </c>
      <c r="D14" s="1">
        <v>6.9444444444444434E-2</v>
      </c>
      <c r="E14" s="1">
        <v>6.9444444444444441E-3</v>
      </c>
      <c r="F14" s="1">
        <v>0</v>
      </c>
      <c r="G14" s="1">
        <v>0</v>
      </c>
      <c r="H14" s="1">
        <v>0</v>
      </c>
      <c r="I14" s="1">
        <f>SUM(Tabelle1[[#This Row],[Documentation]:[Testing]])+SUM(Tabelle1[[#This Row],[Deployment]:[Research]])</f>
        <v>0.1111111111111111</v>
      </c>
      <c r="J14" s="2">
        <f>SUM(Tabelle1[[#This Row],[Documentation]:[Research]])</f>
        <v>0.1111111111111111</v>
      </c>
      <c r="K14" s="2">
        <f>Tabelle1[[#This Row],[FP]]/Tabelle15[Velocity]/24</f>
        <v>0.22189852634951143</v>
      </c>
      <c r="L14">
        <f>DeleteFriend</f>
        <v>13</v>
      </c>
    </row>
    <row r="15" spans="2:13" x14ac:dyDescent="0.25">
      <c r="B15" t="s">
        <v>44</v>
      </c>
      <c r="C15" s="1">
        <v>6.9444444444444434E-2</v>
      </c>
      <c r="D15" s="1">
        <v>3.125E-2</v>
      </c>
      <c r="E15" s="1">
        <v>4.1666666666666664E-2</v>
      </c>
      <c r="F15" s="1">
        <v>0</v>
      </c>
      <c r="G15" s="1">
        <v>0</v>
      </c>
      <c r="H15" s="1">
        <v>0</v>
      </c>
      <c r="I15" s="1">
        <f>SUM(Tabelle1[[#This Row],[Documentation]:[Testing]])+SUM(Tabelle1[[#This Row],[Deployment]:[Research]])</f>
        <v>0.1423611111111111</v>
      </c>
      <c r="J15" s="2">
        <f>SUM(Tabelle1[[#This Row],[Documentation]:[Research]])</f>
        <v>0.1423611111111111</v>
      </c>
      <c r="K15" s="2">
        <f>Tabelle1[[#This Row],[FP]]/Tabelle15[Velocity]/24</f>
        <v>0.48817675796892512</v>
      </c>
      <c r="L15">
        <f>CreateNewRequest</f>
        <v>28.6</v>
      </c>
    </row>
    <row r="16" spans="2:13" x14ac:dyDescent="0.25">
      <c r="B16" t="s">
        <v>45</v>
      </c>
      <c r="C16" s="1">
        <v>4.1666666666666664E-2</v>
      </c>
      <c r="D16" s="1">
        <v>0.43263888888888885</v>
      </c>
      <c r="E16" s="1">
        <v>7.2916666666666671E-2</v>
      </c>
      <c r="F16" s="1">
        <v>0</v>
      </c>
      <c r="G16" s="1">
        <v>0</v>
      </c>
      <c r="H16" s="1">
        <v>0</v>
      </c>
      <c r="I16" s="1">
        <f>SUM(Tabelle1[[#This Row],[Documentation]:[Testing]])+SUM(Tabelle1[[#This Row],[Deployment]:[Research]])</f>
        <v>0.54722222222222217</v>
      </c>
      <c r="J16" s="2">
        <f>SUM(Tabelle1[[#This Row],[Documentation]:[Research]])</f>
        <v>0.54722222222222217</v>
      </c>
      <c r="K16" s="2">
        <f>Tabelle1[[#This Row],[FP]]/Tabelle15[Velocity]/24</f>
        <v>0.48817675796892512</v>
      </c>
      <c r="L16">
        <f>CreateNewOffer</f>
        <v>28.6</v>
      </c>
    </row>
    <row r="17" spans="2:17" x14ac:dyDescent="0.25">
      <c r="B17" t="s">
        <v>46</v>
      </c>
      <c r="C17" s="1">
        <v>2.7777777777777776E-2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f>SUM(Tabelle1[[#This Row],[Documentation]:[Testing]])+SUM(Tabelle1[[#This Row],[Deployment]:[Research]])</f>
        <v>2.7777777777777776E-2</v>
      </c>
      <c r="J17" s="2">
        <f>SUM(Tabelle1[[#This Row],[Documentation]:[Research]])</f>
        <v>2.7777777777777776E-2</v>
      </c>
      <c r="K17" s="2">
        <f>Tabelle1[[#This Row],[FP]]/Tabelle15[Velocity]/24</f>
        <v>0.29956301057184043</v>
      </c>
      <c r="L17">
        <f>SearchOfferAndRequests</f>
        <v>17.55</v>
      </c>
    </row>
    <row r="18" spans="2:17" x14ac:dyDescent="0.25">
      <c r="B18" t="s">
        <v>47</v>
      </c>
      <c r="C18" s="1">
        <v>2.7777777777777776E-2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f>SUM(Tabelle1[[#This Row],[Documentation]:[Testing]])+SUM(Tabelle1[[#This Row],[Deployment]:[Research]])</f>
        <v>2.7777777777777776E-2</v>
      </c>
      <c r="J18" s="2">
        <f>SUM(Tabelle1[[#This Row],[Documentation]:[Research]])</f>
        <v>2.7777777777777776E-2</v>
      </c>
      <c r="K18" s="2">
        <f>Tabelle1[[#This Row],[FP]]/Tabelle15[Velocity]/24</f>
        <v>0.18861374739708472</v>
      </c>
      <c r="L18">
        <f>ListRequests</f>
        <v>11.05</v>
      </c>
    </row>
    <row r="19" spans="2:17" x14ac:dyDescent="0.25">
      <c r="B19" t="s">
        <v>48</v>
      </c>
      <c r="C19" s="1">
        <v>3.4722222222222224E-2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>SUM(Tabelle1[[#This Row],[Documentation]:[Testing]])+SUM(Tabelle1[[#This Row],[Deployment]:[Research]])</f>
        <v>3.4722222222222224E-2</v>
      </c>
      <c r="J19" s="2">
        <f>SUM(Tabelle1[[#This Row],[Documentation]:[Research]])</f>
        <v>3.4722222222222224E-2</v>
      </c>
      <c r="K19" s="2">
        <f>Tabelle1[[#This Row],[FP]]/Tabelle15[Velocity]/24</f>
        <v>0.18861374739708472</v>
      </c>
      <c r="L19">
        <f>ListOffers</f>
        <v>11.05</v>
      </c>
    </row>
    <row r="20" spans="2:17" x14ac:dyDescent="0.25">
      <c r="B20" t="s">
        <v>49</v>
      </c>
      <c r="C20" s="1">
        <v>2.4305555555555556E-2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f>SUM(Tabelle1[[#This Row],[Documentation]:[Testing]])+SUM(Tabelle1[[#This Row],[Deployment]:[Research]])</f>
        <v>2.4305555555555556E-2</v>
      </c>
      <c r="J20" s="2">
        <f>SUM(Tabelle1[[#This Row],[Documentation]:[Research]])</f>
        <v>2.4305555555555556E-2</v>
      </c>
      <c r="K20" s="2">
        <f>Tabelle1[[#This Row],[FP]]/Tabelle15[Velocity]/24</f>
        <v>0.18861374739708472</v>
      </c>
      <c r="L20">
        <f>EditStatus</f>
        <v>11.05</v>
      </c>
    </row>
    <row r="22" spans="2:17" x14ac:dyDescent="0.25">
      <c r="B22" t="s">
        <v>5</v>
      </c>
      <c r="C22" t="s">
        <v>10</v>
      </c>
      <c r="D22" t="s">
        <v>7</v>
      </c>
      <c r="E22" t="s">
        <v>8</v>
      </c>
      <c r="F22" t="s">
        <v>9</v>
      </c>
      <c r="G22" t="s">
        <v>23</v>
      </c>
      <c r="H22" t="s">
        <v>17</v>
      </c>
      <c r="I22" t="s">
        <v>24</v>
      </c>
      <c r="J22" t="s">
        <v>11</v>
      </c>
      <c r="K22" t="s">
        <v>18</v>
      </c>
    </row>
    <row r="23" spans="2:17" x14ac:dyDescent="0.25">
      <c r="B23" t="s">
        <v>12</v>
      </c>
      <c r="C23">
        <v>2</v>
      </c>
      <c r="D23">
        <f>IF(OR(AND(Tabelle2[[#This Row],[FTR/RET]]&lt;=1, Tabelle2[[#This Row],[DET]] &lt;= 15), AND(Tabelle2[[#This Row],[FTR/RET]]&lt;= 3, Tabelle2[[#This Row],[DET]] &lt;= 4)), 1, 0)</f>
        <v>1</v>
      </c>
      <c r="E23">
        <f>IF(OR(AND(Tabelle2[[#This Row],[FTR/RET]]&lt;=1, Tabelle2[[#This Row],[DET]] &gt; 15), AND(Tabelle2[[#This Row],[FTR/RET]]&lt;=5, Tabelle2[[#This Row],[FTR/RET]]&gt;=2, Tabelle2[[#This Row],[DET]] &gt;= 5, Tabelle2[[#This Row],[DET]] &lt;= 15), AND(Tabelle2[[#This Row],[FTR/RET]] &gt;= 5, Tabelle2[[#This Row],[DET]] &lt;= 4 )), 1, 0)</f>
        <v>0</v>
      </c>
      <c r="F23">
        <f>IF(AND(Tabelle2[[#This Row],[Simple]]=0,Tabelle2[[#This Row],[Average]]=0), 1, 0)</f>
        <v>0</v>
      </c>
      <c r="G23">
        <v>1</v>
      </c>
      <c r="H23">
        <v>2</v>
      </c>
      <c r="I23">
        <f>Tabelle2[[#This Row],[Count]]*(3*Tabelle2[[#This Row],[Simple]]+4*Tabelle2[[#This Row],[Average]]+6*Tabelle2[[#This Row],[Complex]])</f>
        <v>6</v>
      </c>
      <c r="K23">
        <f>SUM(Tabelle2[Points])*0.65</f>
        <v>17.55</v>
      </c>
    </row>
    <row r="24" spans="2:17" x14ac:dyDescent="0.25">
      <c r="B24" t="s">
        <v>13</v>
      </c>
      <c r="C24">
        <v>2</v>
      </c>
      <c r="D24">
        <f>IF(OR(AND(Tabelle2[[#This Row],[FTR/RET]]&lt;=1, Tabelle2[[#This Row],[DET]] &lt;= 19), AND(Tabelle2[[#This Row],[FTR/RET]]&lt;= 3, Tabelle2[[#This Row],[DET]] &lt;= 5)), 1, 0)</f>
        <v>1</v>
      </c>
      <c r="E24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24">
        <f>IF(AND(Tabelle2[[#This Row],[Simple]]=0,Tabelle2[[#This Row],[Average]]=0), 1, 0)</f>
        <v>0</v>
      </c>
      <c r="G24">
        <v>2</v>
      </c>
      <c r="H24">
        <v>2</v>
      </c>
      <c r="I24">
        <f>Tabelle2[[#This Row],[Count]]*(Tabelle2[[#This Row],[Simple]]*4+Tabelle2[[#This Row],[Average]]*5+Tabelle2[[#This Row],[Complex]]*7)</f>
        <v>8</v>
      </c>
    </row>
    <row r="25" spans="2:17" x14ac:dyDescent="0.25">
      <c r="B25" t="s">
        <v>14</v>
      </c>
      <c r="C25">
        <v>2</v>
      </c>
      <c r="D25">
        <f>IF(OR(AND(Tabelle2[[#This Row],[FTR/RET]]&lt;=1, Tabelle2[[#This Row],[DET]] &lt;= 19), AND(Tabelle2[[#This Row],[FTR/RET]]&lt;= 3, Tabelle2[[#This Row],[DET]] &lt;= 5)), 1, 0)</f>
        <v>1</v>
      </c>
      <c r="E25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25">
        <f>IF(AND(Tabelle2[[#This Row],[Simple]]=0,Tabelle2[[#This Row],[Average]]=0), 1, 0)</f>
        <v>0</v>
      </c>
      <c r="G25">
        <v>1</v>
      </c>
      <c r="H25">
        <v>3</v>
      </c>
      <c r="I25">
        <f>Tabelle2[[#This Row],[Count]]*(3*Tabelle2[[#This Row],[Simple]]+4*Tabelle2[[#This Row],[Average]]+6*Tabelle2[[#This Row],[Complex]])</f>
        <v>6</v>
      </c>
    </row>
    <row r="26" spans="2:17" x14ac:dyDescent="0.25">
      <c r="B26" t="s">
        <v>15</v>
      </c>
      <c r="C26">
        <v>1</v>
      </c>
      <c r="D26">
        <f>IF(OR(AND(Tabelle2[[#This Row],[FTR/RET]]&lt;2, Tabelle2[[#This Row],[DET]] &lt;= 50), AND(Tabelle2[[#This Row],[FTR/RET]]&lt;=5, Tabelle2[[#This Row],[DET]] &lt; 20)), 1, 0)</f>
        <v>1</v>
      </c>
      <c r="E26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26">
        <f>IF(AND(Tabelle2[[#This Row],[Simple]]=0,Tabelle2[[#This Row],[Average]]=0), 1, 0)</f>
        <v>0</v>
      </c>
      <c r="G26">
        <v>1</v>
      </c>
      <c r="H26">
        <v>3</v>
      </c>
      <c r="I26">
        <f>Tabelle2[[#This Row],[Count]]*(7*Tabelle2[[#This Row],[Simple]]+10*Tabelle2[[#This Row],[Average]]+15*Tabelle2[[#This Row],[Complex]])</f>
        <v>7</v>
      </c>
      <c r="O26" t="s">
        <v>32</v>
      </c>
      <c r="P26" t="s">
        <v>33</v>
      </c>
      <c r="Q26" t="s">
        <v>31</v>
      </c>
    </row>
    <row r="27" spans="2:17" x14ac:dyDescent="0.25">
      <c r="B27" t="s">
        <v>16</v>
      </c>
      <c r="C27">
        <v>0</v>
      </c>
      <c r="D27">
        <f>IF(OR(AND(Tabelle2[[#This Row],[FTR/RET]]&lt;2, Tabelle2[[#This Row],[DET]] &lt;= 50), AND(Tabelle2[[#This Row],[FTR/RET]]&lt;=5, Tabelle2[[#This Row],[DET]] &lt; 20)), 1, 0)</f>
        <v>1</v>
      </c>
      <c r="E27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27">
        <f>IF(AND(Tabelle2[[#This Row],[Simple]]=0,Tabelle2[[#This Row],[Average]]=0), 1, 0)</f>
        <v>0</v>
      </c>
      <c r="G27">
        <v>0</v>
      </c>
      <c r="H27">
        <v>0</v>
      </c>
      <c r="I27">
        <f>Tabelle2[[#This Row],[Count]]*(5*Tabelle2[[#This Row],[Simple]]+7*Tabelle2[[#This Row],[Average]]+10*Tabelle2[[#This Row],[Complex]])</f>
        <v>0</v>
      </c>
      <c r="O27" s="4">
        <f>SUM(I3:I10,I12,I14:I15)*24</f>
        <v>85.25</v>
      </c>
      <c r="P27">
        <f>SUM(L3:L10,L12,L14:L15)</f>
        <v>208.10000000000002</v>
      </c>
      <c r="Q27" s="3">
        <f>P27/O27</f>
        <v>2.4410557184750736</v>
      </c>
    </row>
    <row r="30" spans="2:17" x14ac:dyDescent="0.25">
      <c r="B30" t="s">
        <v>6</v>
      </c>
      <c r="C30" t="s">
        <v>10</v>
      </c>
      <c r="D30" t="s">
        <v>7</v>
      </c>
      <c r="E30" t="s">
        <v>8</v>
      </c>
      <c r="F30" t="s">
        <v>9</v>
      </c>
      <c r="G30" t="s">
        <v>23</v>
      </c>
      <c r="H30" t="s">
        <v>17</v>
      </c>
      <c r="I30" t="s">
        <v>24</v>
      </c>
      <c r="J30" t="s">
        <v>11</v>
      </c>
      <c r="K30" t="s">
        <v>18</v>
      </c>
    </row>
    <row r="31" spans="2:17" x14ac:dyDescent="0.25">
      <c r="B31" t="s">
        <v>12</v>
      </c>
      <c r="C31">
        <v>5</v>
      </c>
      <c r="D31">
        <f>IF(OR(AND(Tabelle3[[#This Row],[FTR/RET]]&lt;=1,Tabelle3[[#This Row],[DET]] &lt;= 15), AND(Tabelle3[[#This Row],[FTR/RET]]&lt;= 3,Tabelle3[[#This Row],[DET]] &lt;= 4)), 1, 0)</f>
        <v>0</v>
      </c>
      <c r="E31">
        <f>IF(OR(AND(Tabelle3[[#This Row],[FTR/RET]]&lt;=1, Tabelle3[[#This Row],[DET]] &gt; 15), AND(Tabelle3[[#This Row],[FTR/RET]]&lt;=5, Tabelle3[[#This Row],[FTR/RET]]&gt;=2, Tabelle3[[#This Row],[DET]] &gt;= 5, Tabelle3[[#This Row],[DET]] &lt;= 15), AND(Tabelle3[[#This Row],[FTR/RET]] &gt;= 5, Tabelle3[[#This Row],[DET]] &lt;= 4 )), 1, 0)</f>
        <v>1</v>
      </c>
      <c r="F31">
        <f>IF(AND(Tabelle3[[#This Row],[Simple]]=0,Tabelle3[[#This Row],[Average]]=0), 1, 0)</f>
        <v>0</v>
      </c>
      <c r="G31">
        <v>2</v>
      </c>
      <c r="H31">
        <v>6</v>
      </c>
      <c r="I31">
        <f>Tabelle3[[#This Row],[Count]]*(3*Tabelle3[[#This Row],[Simple]]+4*Tabelle3[[#This Row],[Average]]+6*Tabelle3[[#This Row],[Complex]])</f>
        <v>20</v>
      </c>
      <c r="K31">
        <f>SUM(Tabelle3[Points])*0.65</f>
        <v>28.6</v>
      </c>
    </row>
    <row r="32" spans="2:17" x14ac:dyDescent="0.25">
      <c r="B32" t="s">
        <v>13</v>
      </c>
      <c r="C32">
        <v>1</v>
      </c>
      <c r="D32">
        <f>IF(OR(AND(Tabelle3[[#This Row],[FTR/RET]]&lt;=1, Tabelle3[[#This Row],[DET]] &lt;= 19), AND(Tabelle3[[#This Row],[FTR/RET]]&lt;= 3, Tabelle3[[#This Row],[DET]] &lt;= 5)), 1, 0)</f>
        <v>1</v>
      </c>
      <c r="E32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32">
        <f>IF(AND(Tabelle3[[#This Row],[Simple]]=0,Tabelle3[[#This Row],[Average]]=0), 1, 0)</f>
        <v>0</v>
      </c>
      <c r="G32">
        <v>1</v>
      </c>
      <c r="H32">
        <v>1</v>
      </c>
      <c r="I32">
        <f>Tabelle3[[#This Row],[Count]]*(Tabelle3[[#This Row],[Simple]]*4+Tabelle3[[#This Row],[Average]]*5+Tabelle3[[#This Row],[Complex]]*7)</f>
        <v>4</v>
      </c>
    </row>
    <row r="33" spans="2:11" x14ac:dyDescent="0.25">
      <c r="B33" t="s">
        <v>14</v>
      </c>
      <c r="C33">
        <v>2</v>
      </c>
      <c r="D33">
        <f>IF(OR(AND(Tabelle3[[#This Row],[FTR/RET]]&lt;=1, Tabelle3[[#This Row],[DET]] &lt;= 19), AND(Tabelle3[[#This Row],[FTR/RET]]&lt;= 3, Tabelle3[[#This Row],[DET]] &lt;= 5)), 1, 0)</f>
        <v>1</v>
      </c>
      <c r="E33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33">
        <f>IF(AND(Tabelle3[[#This Row],[Simple]]=0,Tabelle3[[#This Row],[Average]]=0), 1, 0)</f>
        <v>0</v>
      </c>
      <c r="G33">
        <v>2</v>
      </c>
      <c r="H33">
        <v>0</v>
      </c>
      <c r="I33">
        <f>Tabelle3[[#This Row],[Count]]*(3*Tabelle3[[#This Row],[Simple]]+4*Tabelle3[[#This Row],[Average]]+6*Tabelle3[[#This Row],[Complex]])</f>
        <v>6</v>
      </c>
    </row>
    <row r="34" spans="2:11" x14ac:dyDescent="0.25">
      <c r="B34" t="s">
        <v>15</v>
      </c>
      <c r="C34">
        <v>2</v>
      </c>
      <c r="D34">
        <f>IF(OR(AND(Tabelle3[[#This Row],[FTR/RET]]&lt;2, Tabelle3[[#This Row],[DET]] &lt;= 50), AND(Tabelle3[[#This Row],[FTR/RET]]&lt;=5, Tabelle3[[#This Row],[DET]] &lt; 20)), 1, 0)</f>
        <v>1</v>
      </c>
      <c r="E34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34">
        <f>IF(AND(Tabelle3[[#This Row],[Simple]]=0,Tabelle3[[#This Row],[Average]]=0), 1, 0)</f>
        <v>0</v>
      </c>
      <c r="G34">
        <v>2</v>
      </c>
      <c r="H34">
        <v>6</v>
      </c>
      <c r="I34">
        <f>Tabelle3[[#This Row],[Count]]*(7*Tabelle3[[#This Row],[Simple]]+10*Tabelle3[[#This Row],[Average]]+15*Tabelle3[[#This Row],[Complex]])</f>
        <v>14</v>
      </c>
    </row>
    <row r="35" spans="2:11" x14ac:dyDescent="0.25">
      <c r="B35" t="s">
        <v>16</v>
      </c>
      <c r="C35">
        <v>0</v>
      </c>
      <c r="D35">
        <f>IF(OR(AND(Tabelle3[[#This Row],[FTR/RET]]&lt;2, Tabelle3[[#This Row],[DET]] &lt;= 50), AND(Tabelle3[[#This Row],[FTR/RET]]&lt;=5, Tabelle3[[#This Row],[DET]] &lt; 20)), 1, 0)</f>
        <v>1</v>
      </c>
      <c r="E35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35">
        <f>IF(AND(Tabelle3[[#This Row],[Simple]]=0,Tabelle3[[#This Row],[Average]]=0), 1, 0)</f>
        <v>0</v>
      </c>
      <c r="G35">
        <v>0</v>
      </c>
      <c r="H35">
        <v>0</v>
      </c>
      <c r="I35">
        <f>Tabelle3[[#This Row],[Count]]*(5*Tabelle3[[#This Row],[Simple]]+7*Tabelle3[[#This Row],[Average]]+10*Tabelle3[[#This Row],[Complex]])</f>
        <v>0</v>
      </c>
    </row>
    <row r="38" spans="2:11" x14ac:dyDescent="0.25">
      <c r="B38" t="s">
        <v>55</v>
      </c>
      <c r="C38" t="s">
        <v>10</v>
      </c>
      <c r="D38" t="s">
        <v>7</v>
      </c>
      <c r="E38" t="s">
        <v>8</v>
      </c>
      <c r="F38" t="s">
        <v>9</v>
      </c>
      <c r="G38" t="s">
        <v>23</v>
      </c>
      <c r="H38" t="s">
        <v>17</v>
      </c>
      <c r="I38" t="s">
        <v>24</v>
      </c>
      <c r="J38" t="s">
        <v>11</v>
      </c>
      <c r="K38" t="s">
        <v>18</v>
      </c>
    </row>
    <row r="39" spans="2:11" x14ac:dyDescent="0.25">
      <c r="B39" t="s">
        <v>12</v>
      </c>
      <c r="C39">
        <v>3</v>
      </c>
      <c r="D39">
        <f>IF(OR(AND(Tabelle4[[#This Row],[FTR/RET]]&lt;=1, Tabelle4[[#This Row],[DET]] &lt;= 15), AND(Tabelle4[[#This Row],[FTR/RET]]&lt;= 3, Tabelle4[[#This Row],[DET]] &lt;= 4)), 1, 0)</f>
        <v>1</v>
      </c>
      <c r="E39">
        <f>IF(OR(AND(Tabelle4[[#This Row],[FTR/RET]]&lt;=1, Tabelle4[[#This Row],[DET]] &gt; 15), AND(Tabelle4[[#This Row],[FTR/RET]]&lt;=5, Tabelle4[[#This Row],[FTR/RET]]&gt;=2, Tabelle4[[#This Row],[DET]] &gt;= 5, Tabelle4[[#This Row],[DET]] &lt;= 15), AND(Tabelle4[[#This Row],[FTR/RET]] &gt;= 5, Tabelle4[[#This Row],[DET]] &lt;= 4 )), 1, 0)</f>
        <v>0</v>
      </c>
      <c r="F39">
        <f>IF(AND(Tabelle4[[#This Row],[Simple]]=0,Tabelle4[[#This Row],[Average]]=0), 1, 0)</f>
        <v>0</v>
      </c>
      <c r="G39">
        <v>2</v>
      </c>
      <c r="H39">
        <v>3</v>
      </c>
      <c r="I39">
        <f>Tabelle4[[#This Row],[Count]]*(3*Tabelle4[[#This Row],[Simple]]+4*Tabelle4[[#This Row],[Average]]+6*Tabelle4[[#This Row],[Complex]])</f>
        <v>9</v>
      </c>
      <c r="K39">
        <f>SUM(Tabelle4[Points])*0.65</f>
        <v>27.95</v>
      </c>
    </row>
    <row r="40" spans="2:11" x14ac:dyDescent="0.25">
      <c r="B40" t="s">
        <v>13</v>
      </c>
      <c r="C40">
        <v>1</v>
      </c>
      <c r="D40">
        <f>IF(OR(AND(Tabelle4[[#This Row],[FTR/RET]]&lt;=1, Tabelle4[[#This Row],[DET]] &lt;= 19), AND(Tabelle4[[#This Row],[FTR/RET]]&lt;= 3, Tabelle4[[#This Row],[DET]] &lt;= 5)), 1, 0)</f>
        <v>1</v>
      </c>
      <c r="E40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40">
        <f>IF(AND(Tabelle4[[#This Row],[Simple]]=0,Tabelle4[[#This Row],[Average]]=0), 1, 0)</f>
        <v>0</v>
      </c>
      <c r="G40">
        <v>1</v>
      </c>
      <c r="H40">
        <v>1</v>
      </c>
      <c r="I40">
        <f>Tabelle4[[#This Row],[Count]]*(Tabelle4[[#This Row],[Simple]]*4+Tabelle4[[#This Row],[Average]]*5+Tabelle4[[#This Row],[Complex]]*7)</f>
        <v>4</v>
      </c>
    </row>
    <row r="41" spans="2:11" x14ac:dyDescent="0.25">
      <c r="B41" t="s">
        <v>14</v>
      </c>
      <c r="C41">
        <v>2</v>
      </c>
      <c r="D41">
        <f>IF(OR(AND(Tabelle4[[#This Row],[FTR/RET]]&lt;=1, Tabelle4[[#This Row],[DET]] &lt;= 19), AND(Tabelle4[[#This Row],[FTR/RET]]&lt;= 3, Tabelle4[[#This Row],[DET]] &lt;= 5)), 1, 0)</f>
        <v>1</v>
      </c>
      <c r="E41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41">
        <f>IF(AND(Tabelle4[[#This Row],[Simple]]=0,Tabelle4[[#This Row],[Average]]=0), 1, 0)</f>
        <v>0</v>
      </c>
      <c r="G41">
        <v>0</v>
      </c>
      <c r="H41">
        <v>0</v>
      </c>
      <c r="I41">
        <f>Tabelle4[[#This Row],[Count]]*(3*Tabelle4[[#This Row],[Simple]]+4*Tabelle4[[#This Row],[Average]]+6*Tabelle4[[#This Row],[Complex]])</f>
        <v>6</v>
      </c>
    </row>
    <row r="42" spans="2:11" x14ac:dyDescent="0.25">
      <c r="B42" t="s">
        <v>15</v>
      </c>
      <c r="C42">
        <v>2</v>
      </c>
      <c r="D42">
        <f>IF(OR(AND(Tabelle4[[#This Row],[FTR/RET]]&lt;2, Tabelle4[[#This Row],[DET]] &lt;= 50), AND(Tabelle4[[#This Row],[FTR/RET]]&lt;=5, Tabelle4[[#This Row],[DET]] &lt; 20)), 1, 0)</f>
        <v>1</v>
      </c>
      <c r="E42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42">
        <f>IF(AND(Tabelle4[[#This Row],[Simple]]=0,Tabelle4[[#This Row],[Average]]=0), 1, 0)</f>
        <v>0</v>
      </c>
      <c r="G42">
        <v>2</v>
      </c>
      <c r="H42">
        <v>6</v>
      </c>
      <c r="I42">
        <f>Tabelle4[[#This Row],[Count]]*(7*Tabelle4[[#This Row],[Simple]]+10*Tabelle4[[#This Row],[Average]]+15*Tabelle4[[#This Row],[Complex]])</f>
        <v>14</v>
      </c>
    </row>
    <row r="43" spans="2:11" x14ac:dyDescent="0.25">
      <c r="B43" t="s">
        <v>16</v>
      </c>
      <c r="C43">
        <v>2</v>
      </c>
      <c r="D43">
        <f>IF(OR(AND(Tabelle4[[#This Row],[FTR/RET]]&lt;2, Tabelle4[[#This Row],[DET]] &lt;= 50), AND(Tabelle4[[#This Row],[FTR/RET]]&lt;=5, Tabelle4[[#This Row],[DET]] &lt; 20)), 1, 0)</f>
        <v>1</v>
      </c>
      <c r="E43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43">
        <f>IF(AND(Tabelle4[[#This Row],[Simple]]=0,Tabelle4[[#This Row],[Average]]=0), 1, 0)</f>
        <v>0</v>
      </c>
      <c r="G43">
        <v>2</v>
      </c>
      <c r="H43">
        <v>6</v>
      </c>
      <c r="I43">
        <f>Tabelle4[[#This Row],[Count]]*(5*Tabelle4[[#This Row],[Simple]]+7*Tabelle4[[#This Row],[Average]]+10*Tabelle4[[#This Row],[Complex]])</f>
        <v>10</v>
      </c>
    </row>
    <row r="46" spans="2:11" x14ac:dyDescent="0.25">
      <c r="B46" t="s">
        <v>36</v>
      </c>
      <c r="C46" t="s">
        <v>10</v>
      </c>
      <c r="D46" t="s">
        <v>7</v>
      </c>
      <c r="E46" t="s">
        <v>8</v>
      </c>
      <c r="F46" t="s">
        <v>9</v>
      </c>
      <c r="G46" t="s">
        <v>23</v>
      </c>
      <c r="H46" t="s">
        <v>17</v>
      </c>
      <c r="I46" t="s">
        <v>24</v>
      </c>
      <c r="J46" t="s">
        <v>11</v>
      </c>
      <c r="K46" t="s">
        <v>18</v>
      </c>
    </row>
    <row r="47" spans="2:11" x14ac:dyDescent="0.25">
      <c r="B47" t="s">
        <v>12</v>
      </c>
      <c r="C47">
        <v>3</v>
      </c>
      <c r="D47">
        <f>IF(OR(AND(Tabelle5[[#This Row],[FTR/RET]]&lt;=1, Tabelle5[[#This Row],[DET]] &lt;= 15), AND(Tabelle5[[#This Row],[FTR/RET]]&lt;= 3, Tabelle5[[#This Row],[DET]] &lt;= 4)), 1, 0)</f>
        <v>1</v>
      </c>
      <c r="E47">
        <f>IF(OR(AND(Tabelle5[[#This Row],[FTR/RET]]&lt;=1, Tabelle5[[#This Row],[DET]] &gt; 15), AND(Tabelle5[[#This Row],[FTR/RET]]&lt;=5, Tabelle5[[#This Row],[FTR/RET]]&gt;=2, Tabelle5[[#This Row],[DET]] &gt;= 5, Tabelle5[[#This Row],[DET]] &lt;= 15), AND(Tabelle5[[#This Row],[FTR/RET]] &gt;= 5, Tabelle5[[#This Row],[DET]] &lt;= 4 )), 1, 0)</f>
        <v>0</v>
      </c>
      <c r="F47">
        <f>IF(AND(Tabelle5[[#This Row],[Simple]]=0,Tabelle5[[#This Row],[Average]]=0), 1, 0)</f>
        <v>0</v>
      </c>
      <c r="G47">
        <v>1</v>
      </c>
      <c r="H47">
        <v>3</v>
      </c>
      <c r="I47">
        <f>Tabelle5[[#This Row],[Count]]*(3*Tabelle5[[#This Row],[Simple]]+4*Tabelle5[[#This Row],[Average]]+6*Tabelle5[[#This Row],[Complex]])</f>
        <v>9</v>
      </c>
      <c r="J47" t="s">
        <v>19</v>
      </c>
      <c r="K47">
        <f>SUM(Tabelle5[Points])*(0.65+(5)/100)</f>
        <v>19.600000000000001</v>
      </c>
    </row>
    <row r="48" spans="2:11" x14ac:dyDescent="0.25">
      <c r="B48" t="s">
        <v>13</v>
      </c>
      <c r="C48">
        <v>1</v>
      </c>
      <c r="D48">
        <f>IF(OR(AND(Tabelle5[[#This Row],[FTR/RET]]&lt;=1, Tabelle5[[#This Row],[DET]] &lt;= 19), AND(Tabelle5[[#This Row],[FTR/RET]]&lt;= 3, Tabelle5[[#This Row],[DET]] &lt;= 5)), 1, 0)</f>
        <v>1</v>
      </c>
      <c r="E48">
        <f>IF(OR(AND(Tabelle5[[#This Row],[FTR/RET]]&lt;=1, Tabelle5[[#This Row],[DET]] &gt; 20), AND(Tabelle5[[#This Row],[FTR/RET]]&lt;=5, Tabelle5[[#This Row],[FTR/RET]]&gt;=2, Tabelle5[[#This Row],[DET]] &gt;= 6, Tabelle5[[#This Row],[DET]] &lt;= 19), AND(Tabelle5[[#This Row],[FTR/RET]] &gt;= 5, Tabelle5[[#This Row],[DET]] &lt;= 5 )), 1, 0)</f>
        <v>0</v>
      </c>
      <c r="F48">
        <f>IF(AND(Tabelle5[[#This Row],[Simple]]=0,Tabelle5[[#This Row],[Average]]=0), 1, 0)</f>
        <v>0</v>
      </c>
      <c r="G48">
        <v>1</v>
      </c>
      <c r="H48">
        <v>1</v>
      </c>
      <c r="I48">
        <f>Tabelle5[[#This Row],[Count]]*(Tabelle5[[#This Row],[Simple]]*4+Tabelle5[[#This Row],[Average]]*5+Tabelle5[[#This Row],[Complex]]*7)</f>
        <v>4</v>
      </c>
    </row>
    <row r="49" spans="2:11" x14ac:dyDescent="0.25">
      <c r="B49" t="s">
        <v>14</v>
      </c>
      <c r="C49">
        <v>1</v>
      </c>
      <c r="D49">
        <f>IF(OR(AND(Tabelle5[[#This Row],[FTR/RET]]&lt;=1, Tabelle5[[#This Row],[DET]] &lt;= 19), AND(Tabelle5[[#This Row],[FTR/RET]]&lt;= 3, Tabelle5[[#This Row],[DET]] &lt;= 5)), 1, 0)</f>
        <v>1</v>
      </c>
      <c r="E49">
        <f>IF(OR(AND(Tabelle5[[#This Row],[FTR/RET]]&lt;=1, Tabelle5[[#This Row],[DET]] &gt; 20), AND(Tabelle5[[#This Row],[FTR/RET]]&lt;=5, Tabelle5[[#This Row],[FTR/RET]]&gt;=2, Tabelle5[[#This Row],[DET]] &gt;= 6, Tabelle5[[#This Row],[DET]] &lt;= 19), AND(Tabelle5[[#This Row],[FTR/RET]] &gt;= 5, Tabelle5[[#This Row],[DET]] &lt;= 5 )), 1, 0)</f>
        <v>0</v>
      </c>
      <c r="F49">
        <f>IF(AND(Tabelle5[[#This Row],[Simple]]=0,Tabelle5[[#This Row],[Average]]=0), 1, 0)</f>
        <v>0</v>
      </c>
      <c r="G49">
        <v>0</v>
      </c>
      <c r="H49">
        <v>0</v>
      </c>
      <c r="I49">
        <f>Tabelle5[[#This Row],[Count]]*(3*Tabelle5[[#This Row],[Simple]]+4*Tabelle5[[#This Row],[Average]]+6*Tabelle5[[#This Row],[Complex]])</f>
        <v>3</v>
      </c>
    </row>
    <row r="50" spans="2:11" x14ac:dyDescent="0.25">
      <c r="B50" t="s">
        <v>15</v>
      </c>
      <c r="C50">
        <v>1</v>
      </c>
      <c r="D50">
        <f>IF(OR(AND(Tabelle5[[#This Row],[FTR/RET]]&lt;2, Tabelle5[[#This Row],[DET]] &lt;= 50), AND(Tabelle5[[#This Row],[FTR/RET]]&lt;=5, Tabelle5[[#This Row],[DET]] &lt; 20)), 1, 0)</f>
        <v>1</v>
      </c>
      <c r="E50">
        <f>IF(OR(AND(Tabelle5[[#This Row],[FTR/RET]]=1, Tabelle5[[#This Row],[DET]] &gt; 50), AND(Tabelle5[[#This Row],[FTR/RET]]&lt;=5, Tabelle5[[#This Row],[FTR/RET]]&gt;=2, Tabelle5[[#This Row],[DET]] &gt;= 20, Tabelle5[[#This Row],[DET]] &lt;= 50), AND(Tabelle5[[#This Row],[FTR/RET]] &gt;= 5, Tabelle5[[#This Row],[DET]] &lt; 20)), 1, 0)</f>
        <v>0</v>
      </c>
      <c r="F50">
        <f>IF(AND(Tabelle5[[#This Row],[Simple]]=0,Tabelle5[[#This Row],[Average]]=0), 1, 0)</f>
        <v>0</v>
      </c>
      <c r="G50">
        <v>0</v>
      </c>
      <c r="H50">
        <v>0</v>
      </c>
      <c r="I50">
        <f>Tabelle5[[#This Row],[Count]]*(7*Tabelle5[[#This Row],[Simple]]+10*Tabelle5[[#This Row],[Average]]+15*Tabelle5[[#This Row],[Complex]])</f>
        <v>7</v>
      </c>
      <c r="J50" t="s">
        <v>56</v>
      </c>
    </row>
    <row r="51" spans="2:11" x14ac:dyDescent="0.25">
      <c r="B51" t="s">
        <v>16</v>
      </c>
      <c r="C51">
        <v>1</v>
      </c>
      <c r="D51">
        <f>IF(OR(AND(Tabelle5[[#This Row],[FTR/RET]]&lt;2, Tabelle5[[#This Row],[DET]] &lt;= 50), AND(Tabelle5[[#This Row],[FTR/RET]]&lt;=5, Tabelle5[[#This Row],[DET]] &lt; 20)), 1, 0)</f>
        <v>1</v>
      </c>
      <c r="E51">
        <f>IF(OR(AND(Tabelle5[[#This Row],[FTR/RET]]=1, Tabelle5[[#This Row],[DET]] &gt; 50), AND(Tabelle5[[#This Row],[FTR/RET]]&lt;=5, Tabelle5[[#This Row],[FTR/RET]]&gt;=2, Tabelle5[[#This Row],[DET]] &gt;= 20, Tabelle5[[#This Row],[DET]] &lt;= 50), AND(Tabelle5[[#This Row],[FTR/RET]] &gt;= 5, Tabelle5[[#This Row],[DET]] &lt; 20)), 1, 0)</f>
        <v>0</v>
      </c>
      <c r="F51">
        <f>IF(AND(Tabelle5[[#This Row],[Simple]]=0,Tabelle5[[#This Row],[Average]]=0), 1, 0)</f>
        <v>0</v>
      </c>
      <c r="G51">
        <v>0</v>
      </c>
      <c r="H51">
        <v>0</v>
      </c>
      <c r="I51">
        <f>Tabelle5[[#This Row],[Count]]*(5*Tabelle5[[#This Row],[Simple]]+7*Tabelle5[[#This Row],[Average]]+10*Tabelle5[[#This Row],[Complex]])</f>
        <v>5</v>
      </c>
    </row>
    <row r="54" spans="2:11" x14ac:dyDescent="0.25">
      <c r="B54" t="s">
        <v>54</v>
      </c>
      <c r="C54" t="s">
        <v>10</v>
      </c>
      <c r="D54" t="s">
        <v>7</v>
      </c>
      <c r="E54" t="s">
        <v>8</v>
      </c>
      <c r="F54" t="s">
        <v>9</v>
      </c>
      <c r="G54" t="s">
        <v>23</v>
      </c>
      <c r="H54" t="s">
        <v>17</v>
      </c>
      <c r="I54" t="s">
        <v>24</v>
      </c>
      <c r="J54" t="s">
        <v>11</v>
      </c>
      <c r="K54" t="s">
        <v>18</v>
      </c>
    </row>
    <row r="55" spans="2:11" x14ac:dyDescent="0.25">
      <c r="B55" t="s">
        <v>12</v>
      </c>
      <c r="C55">
        <v>3</v>
      </c>
      <c r="D55">
        <f>IF(OR(AND(Tabelle6[[#This Row],[FTR/RET]]&lt;=1, Tabelle6[[#This Row],[DET]] &lt;= 15), AND(Tabelle6[[#This Row],[FTR/RET]]&lt;= 3, Tabelle6[[#This Row],[DET]] &lt;= 4)), 1, 0)</f>
        <v>1</v>
      </c>
      <c r="E55">
        <f>IF(OR(AND(Tabelle6[[#This Row],[FTR/RET]]&lt;=1, Tabelle6[[#This Row],[DET]] &gt; 15), AND(Tabelle6[[#This Row],[FTR/RET]]&lt;=5, Tabelle6[[#This Row],[FTR/RET]]&gt;=2, Tabelle6[[#This Row],[DET]] &gt;= 5, Tabelle6[[#This Row],[DET]] &lt;= 15), AND(Tabelle6[[#This Row],[FTR/RET]] &gt;= 5, Tabelle6[[#This Row],[DET]] &lt;= 4 )), 1, 0)</f>
        <v>0</v>
      </c>
      <c r="F55">
        <f>IF(AND(Tabelle6[[#This Row],[Simple]]=0,Tabelle6[[#This Row],[Average]]=0), 1, 0)</f>
        <v>0</v>
      </c>
      <c r="G55">
        <v>1</v>
      </c>
      <c r="H55">
        <v>3</v>
      </c>
      <c r="I55">
        <f>Tabelle6[[#This Row],[Count]]*(3*Tabelle6[[#This Row],[Simple]]+4*Tabelle6[[#This Row],[Average]]+6*Tabelle6[[#This Row],[Complex]])</f>
        <v>9</v>
      </c>
      <c r="K55">
        <f>SUM(Tabelle6[Points])*0.65</f>
        <v>12.35</v>
      </c>
    </row>
    <row r="56" spans="2:11" x14ac:dyDescent="0.25">
      <c r="B56" t="s">
        <v>13</v>
      </c>
      <c r="C56">
        <v>1</v>
      </c>
      <c r="D56">
        <f>IF(OR(AND(Tabelle6[[#This Row],[FTR/RET]]&lt;=1, Tabelle6[[#This Row],[DET]] &lt;= 19), AND(Tabelle6[[#This Row],[FTR/RET]]&lt;= 3, Tabelle6[[#This Row],[DET]] &lt;= 5)), 1, 0)</f>
        <v>1</v>
      </c>
      <c r="E56">
        <f>IF(OR(AND(Tabelle6[[#This Row],[FTR/RET]]&lt;=1, Tabelle6[[#This Row],[DET]] &gt; 20), AND(Tabelle6[[#This Row],[FTR/RET]]&lt;=5, Tabelle6[[#This Row],[FTR/RET]]&gt;=2, Tabelle6[[#This Row],[DET]] &gt;= 6, Tabelle6[[#This Row],[DET]] &lt;= 19), AND(Tabelle6[[#This Row],[FTR/RET]] &gt;= 5, Tabelle6[[#This Row],[DET]] &lt;= 5 )), 1, 0)</f>
        <v>0</v>
      </c>
      <c r="F56">
        <f>IF(AND(Tabelle6[[#This Row],[Simple]]=0,Tabelle6[[#This Row],[Average]]=0), 1, 0)</f>
        <v>0</v>
      </c>
      <c r="G56">
        <v>1</v>
      </c>
      <c r="H56">
        <v>0</v>
      </c>
      <c r="I56">
        <f>Tabelle6[[#This Row],[Count]]*(Tabelle6[[#This Row],[Simple]]*4+Tabelle6[[#This Row],[Average]]*5+Tabelle6[[#This Row],[Complex]]*7)</f>
        <v>4</v>
      </c>
    </row>
    <row r="57" spans="2:11" x14ac:dyDescent="0.25">
      <c r="B57" t="s">
        <v>14</v>
      </c>
      <c r="C57">
        <v>2</v>
      </c>
      <c r="D57">
        <f>IF(OR(AND(Tabelle6[[#This Row],[FTR/RET]]&lt;=1, Tabelle6[[#This Row],[DET]] &lt;= 19), AND(Tabelle6[[#This Row],[FTR/RET]]&lt;= 3, Tabelle6[[#This Row],[DET]] &lt;= 5)), 1, 0)</f>
        <v>1</v>
      </c>
      <c r="E57">
        <f>IF(OR(AND(Tabelle6[[#This Row],[FTR/RET]]&lt;=1, Tabelle6[[#This Row],[DET]] &gt; 20), AND(Tabelle6[[#This Row],[FTR/RET]]&lt;=5, Tabelle6[[#This Row],[FTR/RET]]&gt;=2, Tabelle6[[#This Row],[DET]] &gt;= 6, Tabelle6[[#This Row],[DET]] &lt;= 19), AND(Tabelle6[[#This Row],[FTR/RET]] &gt;= 5, Tabelle6[[#This Row],[DET]] &lt;= 5 )), 1, 0)</f>
        <v>0</v>
      </c>
      <c r="F57">
        <f>IF(AND(Tabelle6[[#This Row],[Simple]]=0,Tabelle6[[#This Row],[Average]]=0), 1, 0)</f>
        <v>0</v>
      </c>
      <c r="G57">
        <v>1</v>
      </c>
      <c r="H57">
        <v>1</v>
      </c>
      <c r="I57">
        <f>Tabelle6[[#This Row],[Count]]*(3*Tabelle6[[#This Row],[Simple]]+4*Tabelle6[[#This Row],[Average]]+6*Tabelle6[[#This Row],[Complex]])</f>
        <v>6</v>
      </c>
    </row>
    <row r="58" spans="2:11" x14ac:dyDescent="0.25">
      <c r="B58" t="s">
        <v>15</v>
      </c>
      <c r="C58">
        <v>0</v>
      </c>
      <c r="D58">
        <f>IF(OR(AND(Tabelle6[[#This Row],[FTR/RET]]&lt;2, Tabelle6[[#This Row],[DET]] &lt;= 50), AND(Tabelle6[[#This Row],[FTR/RET]]&lt;=5, Tabelle6[[#This Row],[DET]] &lt; 20)), 1, 0)</f>
        <v>1</v>
      </c>
      <c r="E58">
        <f>IF(OR(AND(Tabelle6[[#This Row],[FTR/RET]]=1, Tabelle6[[#This Row],[DET]] &gt; 50), AND(Tabelle6[[#This Row],[FTR/RET]]&lt;=5, Tabelle6[[#This Row],[FTR/RET]]&gt;=2, Tabelle6[[#This Row],[DET]] &gt;= 20, Tabelle6[[#This Row],[DET]] &lt;= 50), AND(Tabelle6[[#This Row],[FTR/RET]] &gt;= 5, Tabelle6[[#This Row],[DET]] &lt; 20)), 1, 0)</f>
        <v>0</v>
      </c>
      <c r="F58">
        <f>IF(AND(Tabelle6[[#This Row],[Simple]]=0,Tabelle6[[#This Row],[Average]]=0), 1, 0)</f>
        <v>0</v>
      </c>
      <c r="G58">
        <v>0</v>
      </c>
      <c r="H58">
        <v>0</v>
      </c>
      <c r="I58">
        <f>Tabelle6[[#This Row],[Count]]*(7*Tabelle6[[#This Row],[Simple]]+10*Tabelle6[[#This Row],[Average]]+15*Tabelle6[[#This Row],[Complex]])</f>
        <v>0</v>
      </c>
      <c r="J58" t="s">
        <v>56</v>
      </c>
    </row>
    <row r="59" spans="2:11" x14ac:dyDescent="0.25">
      <c r="B59" t="s">
        <v>16</v>
      </c>
      <c r="C59">
        <v>0</v>
      </c>
      <c r="D59">
        <f>IF(OR(AND(Tabelle6[[#This Row],[FTR/RET]]&lt;2, Tabelle6[[#This Row],[DET]] &lt;= 50), AND(Tabelle6[[#This Row],[FTR/RET]]&lt;=5, Tabelle6[[#This Row],[DET]] &lt; 20)), 1, 0)</f>
        <v>1</v>
      </c>
      <c r="E59">
        <f>IF(OR(AND(Tabelle6[[#This Row],[FTR/RET]]=1, Tabelle6[[#This Row],[DET]] &gt; 50), AND(Tabelle6[[#This Row],[FTR/RET]]&lt;=5, Tabelle6[[#This Row],[FTR/RET]]&gt;=2, Tabelle6[[#This Row],[DET]] &gt;= 20, Tabelle6[[#This Row],[DET]] &lt;= 50), AND(Tabelle6[[#This Row],[FTR/RET]] &gt;= 5, Tabelle6[[#This Row],[DET]] &lt; 20)), 1, 0)</f>
        <v>0</v>
      </c>
      <c r="F59">
        <f>IF(AND(Tabelle6[[#This Row],[Simple]]=0,Tabelle6[[#This Row],[Average]]=0), 1, 0)</f>
        <v>0</v>
      </c>
      <c r="G59">
        <v>0</v>
      </c>
      <c r="H59">
        <v>0</v>
      </c>
      <c r="I59">
        <f>Tabelle6[[#This Row],[Count]]*(5*Tabelle6[[#This Row],[Simple]]+7*Tabelle6[[#This Row],[Average]]+10*Tabelle6[[#This Row],[Complex]])</f>
        <v>0</v>
      </c>
    </row>
    <row r="62" spans="2:11" x14ac:dyDescent="0.25">
      <c r="B62" t="s">
        <v>37</v>
      </c>
      <c r="C62" t="s">
        <v>10</v>
      </c>
      <c r="D62" t="s">
        <v>7</v>
      </c>
      <c r="E62" t="s">
        <v>8</v>
      </c>
      <c r="F62" t="s">
        <v>9</v>
      </c>
      <c r="G62" t="s">
        <v>23</v>
      </c>
      <c r="H62" t="s">
        <v>17</v>
      </c>
      <c r="I62" t="s">
        <v>24</v>
      </c>
      <c r="J62" t="s">
        <v>11</v>
      </c>
      <c r="K62" t="s">
        <v>18</v>
      </c>
    </row>
    <row r="63" spans="2:11" x14ac:dyDescent="0.25">
      <c r="B63" t="s">
        <v>12</v>
      </c>
      <c r="C63">
        <v>2</v>
      </c>
      <c r="D63">
        <f>IF(OR(AND(Tabelle7[[#This Row],[FTR/RET]]&lt;=1, Tabelle7[[#This Row],[DET]] &lt;= 15), AND(Tabelle7[[#This Row],[FTR/RET]]&lt;= 3, Tabelle7[[#This Row],[DET]] &lt;= 4)), 1, 0)</f>
        <v>1</v>
      </c>
      <c r="E63">
        <f>IF(OR(AND(Tabelle7[[#This Row],[FTR/RET]]&lt;=1, Tabelle7[[#This Row],[DET]] &gt; 15), AND(Tabelle7[[#This Row],[FTR/RET]]&lt;=5, Tabelle7[[#This Row],[FTR/RET]]&gt;=2, Tabelle7[[#This Row],[DET]] &gt;= 5, Tabelle7[[#This Row],[DET]] &lt;= 15), AND(Tabelle7[[#This Row],[FTR/RET]] &gt;= 5, Tabelle7[[#This Row],[DET]] &lt;= 4 )), 1, 0)</f>
        <v>0</v>
      </c>
      <c r="F63">
        <f>IF(AND(Tabelle7[[#This Row],[Simple]]=0,Tabelle7[[#This Row],[Average]]=0), 1, 0)</f>
        <v>0</v>
      </c>
      <c r="G63">
        <v>0</v>
      </c>
      <c r="H63">
        <v>0</v>
      </c>
      <c r="I63">
        <f>Tabelle7[[#This Row],[Count]]*(3*Tabelle7[[#This Row],[Simple]]+4*Tabelle7[[#This Row],[Average]]+6*Tabelle7[[#This Row],[Complex]])</f>
        <v>6</v>
      </c>
      <c r="K63">
        <f>SUM(Tabelle7[Points])*0.65</f>
        <v>24.05</v>
      </c>
    </row>
    <row r="64" spans="2:11" x14ac:dyDescent="0.25">
      <c r="B64" t="s">
        <v>13</v>
      </c>
      <c r="C64">
        <v>1</v>
      </c>
      <c r="D64">
        <f>IF(OR(AND(Tabelle7[[#This Row],[FTR/RET]]&lt;=1, Tabelle7[[#This Row],[DET]] &lt;= 19), AND(Tabelle7[[#This Row],[FTR/RET]]&lt;= 3, Tabelle7[[#This Row],[DET]] &lt;= 5)), 1, 0)</f>
        <v>1</v>
      </c>
      <c r="E64">
        <f>IF(OR(AND(Tabelle7[[#This Row],[FTR/RET]]&lt;=1, Tabelle7[[#This Row],[DET]] &gt; 20), AND(Tabelle7[[#This Row],[FTR/RET]]&lt;=5, Tabelle7[[#This Row],[FTR/RET]]&gt;=2, Tabelle7[[#This Row],[DET]] &gt;= 6, Tabelle7[[#This Row],[DET]] &lt;= 19), AND(Tabelle7[[#This Row],[FTR/RET]] &gt;= 5, Tabelle7[[#This Row],[DET]] &lt;= 5 )), 1, 0)</f>
        <v>0</v>
      </c>
      <c r="F64">
        <f>IF(AND(Tabelle7[[#This Row],[Simple]]=0,Tabelle7[[#This Row],[Average]]=0), 1, 0)</f>
        <v>0</v>
      </c>
      <c r="G64">
        <v>0</v>
      </c>
      <c r="H64">
        <v>5</v>
      </c>
      <c r="I64">
        <f>Tabelle7[[#This Row],[Count]]*(Tabelle7[[#This Row],[Simple]]*4+Tabelle7[[#This Row],[Average]]*5+Tabelle7[[#This Row],[Complex]]*7)</f>
        <v>4</v>
      </c>
    </row>
    <row r="65" spans="2:11" x14ac:dyDescent="0.25">
      <c r="B65" t="s">
        <v>14</v>
      </c>
      <c r="C65">
        <v>2</v>
      </c>
      <c r="D65">
        <f>IF(OR(AND(Tabelle7[[#This Row],[FTR/RET]]&lt;=1, Tabelle7[[#This Row],[DET]] &lt;= 19), AND(Tabelle7[[#This Row],[FTR/RET]]&lt;= 3, Tabelle7[[#This Row],[DET]] &lt;= 5)), 1, 0)</f>
        <v>1</v>
      </c>
      <c r="E65">
        <f>IF(OR(AND(Tabelle7[[#This Row],[FTR/RET]]&lt;=1, Tabelle7[[#This Row],[DET]] &gt; 20), AND(Tabelle7[[#This Row],[FTR/RET]]&lt;=5, Tabelle7[[#This Row],[FTR/RET]]&gt;=2, Tabelle7[[#This Row],[DET]] &gt;= 6, Tabelle7[[#This Row],[DET]] &lt;= 19), AND(Tabelle7[[#This Row],[FTR/RET]] &gt;= 5, Tabelle7[[#This Row],[DET]] &lt;= 5 )), 1, 0)</f>
        <v>0</v>
      </c>
      <c r="F65">
        <f>IF(AND(Tabelle7[[#This Row],[Simple]]=0,Tabelle7[[#This Row],[Average]]=0), 1, 0)</f>
        <v>0</v>
      </c>
      <c r="G65">
        <v>2</v>
      </c>
      <c r="H65">
        <v>0</v>
      </c>
      <c r="I65">
        <f>Tabelle7[[#This Row],[Count]]*(3*Tabelle7[[#This Row],[Simple]]+4*Tabelle7[[#This Row],[Average]]+6*Tabelle7[[#This Row],[Complex]])</f>
        <v>6</v>
      </c>
    </row>
    <row r="66" spans="2:11" x14ac:dyDescent="0.25">
      <c r="B66" t="s">
        <v>15</v>
      </c>
      <c r="C66">
        <v>3</v>
      </c>
      <c r="D66">
        <f>IF(OR(AND(Tabelle7[[#This Row],[FTR/RET]]&lt;2, Tabelle7[[#This Row],[DET]] &lt;= 50), AND(Tabelle7[[#This Row],[FTR/RET]]&lt;=5, Tabelle7[[#This Row],[DET]] &lt; 20)), 1, 0)</f>
        <v>1</v>
      </c>
      <c r="E66">
        <f>IF(OR(AND(Tabelle7[[#This Row],[FTR/RET]]=1, Tabelle7[[#This Row],[DET]] &gt; 50), AND(Tabelle7[[#This Row],[FTR/RET]]&lt;=5, Tabelle7[[#This Row],[FTR/RET]]&gt;=2, Tabelle7[[#This Row],[DET]] &gt;= 20, Tabelle7[[#This Row],[DET]] &lt;= 50), AND(Tabelle7[[#This Row],[FTR/RET]] &gt;= 5, Tabelle7[[#This Row],[DET]] &lt; 20)), 1, 0)</f>
        <v>0</v>
      </c>
      <c r="F66">
        <f>IF(AND(Tabelle7[[#This Row],[Simple]]=0,Tabelle7[[#This Row],[Average]]=0), 1, 0)</f>
        <v>0</v>
      </c>
      <c r="G66">
        <v>0</v>
      </c>
      <c r="H66">
        <v>0</v>
      </c>
      <c r="I66">
        <f>Tabelle7[[#This Row],[Count]]*(7*Tabelle7[[#This Row],[Simple]]+10*Tabelle7[[#This Row],[Average]]+15*Tabelle7[[#This Row],[Complex]])</f>
        <v>21</v>
      </c>
      <c r="J66" t="s">
        <v>20</v>
      </c>
    </row>
    <row r="67" spans="2:11" x14ac:dyDescent="0.25">
      <c r="B67" t="s">
        <v>16</v>
      </c>
      <c r="C67">
        <v>0</v>
      </c>
      <c r="D67">
        <f>IF(OR(AND(Tabelle7[[#This Row],[FTR/RET]]&lt;2, Tabelle7[[#This Row],[DET]] &lt;= 50), AND(Tabelle7[[#This Row],[FTR/RET]]&lt;=5, Tabelle7[[#This Row],[DET]] &lt; 20)), 1, 0)</f>
        <v>1</v>
      </c>
      <c r="E67">
        <f>IF(OR(AND(Tabelle7[[#This Row],[FTR/RET]]=1, Tabelle7[[#This Row],[DET]] &gt; 50), AND(Tabelle7[[#This Row],[FTR/RET]]&lt;=5, Tabelle7[[#This Row],[FTR/RET]]&gt;=2, Tabelle7[[#This Row],[DET]] &gt;= 20, Tabelle7[[#This Row],[DET]] &lt;= 50), AND(Tabelle7[[#This Row],[FTR/RET]] &gt;= 5, Tabelle7[[#This Row],[DET]] &lt; 20)), 1, 0)</f>
        <v>0</v>
      </c>
      <c r="F67">
        <f>IF(AND(Tabelle7[[#This Row],[Simple]]=0,Tabelle7[[#This Row],[Average]]=0), 1, 0)</f>
        <v>0</v>
      </c>
      <c r="G67">
        <v>0</v>
      </c>
      <c r="H67">
        <v>0</v>
      </c>
      <c r="I67">
        <f>Tabelle7[[#This Row],[Count]]*(5*Tabelle7[[#This Row],[Simple]]+7*Tabelle7[[#This Row],[Average]]+10*Tabelle7[[#This Row],[Complex]])</f>
        <v>0</v>
      </c>
    </row>
    <row r="70" spans="2:11" x14ac:dyDescent="0.25">
      <c r="B70" t="s">
        <v>38</v>
      </c>
      <c r="C70" t="s">
        <v>10</v>
      </c>
      <c r="D70" t="s">
        <v>7</v>
      </c>
      <c r="E70" t="s">
        <v>8</v>
      </c>
      <c r="F70" t="s">
        <v>9</v>
      </c>
      <c r="G70" t="s">
        <v>23</v>
      </c>
      <c r="H70" t="s">
        <v>17</v>
      </c>
      <c r="I70" t="s">
        <v>24</v>
      </c>
      <c r="J70" t="s">
        <v>11</v>
      </c>
      <c r="K70" t="s">
        <v>18</v>
      </c>
    </row>
    <row r="71" spans="2:11" x14ac:dyDescent="0.25">
      <c r="B71" t="s">
        <v>12</v>
      </c>
      <c r="C71">
        <v>2</v>
      </c>
      <c r="D71">
        <f>IF(OR(AND(Tabelle8[[#This Row],[FTR/RET]]&lt;=1, Tabelle8[[#This Row],[DET]] &lt;= 15), AND(Tabelle8[[#This Row],[FTR/RET]]&lt;= 3, Tabelle8[[#This Row],[DET]] &lt;= 4)), 1, 0)</f>
        <v>0</v>
      </c>
      <c r="E71">
        <f>IF(OR(AND(Tabelle8[[#This Row],[FTR/RET]]&lt;=1, Tabelle8[[#This Row],[DET]] &gt; 15), AND(Tabelle8[[#This Row],[FTR/RET]]&lt;=5, Tabelle8[[#This Row],[FTR/RET]]&gt;=2, Tabelle8[[#This Row],[DET]] &gt;= 5, Tabelle8[[#This Row],[DET]] &lt;= 15), AND(Tabelle8[[#This Row],[FTR/RET]] &gt;= 5, Tabelle8[[#This Row],[DET]] &lt;= 4 )), 1, 0)</f>
        <v>1</v>
      </c>
      <c r="F71">
        <f>IF(AND(Tabelle8[[#This Row],[Simple]]=0,Tabelle8[[#This Row],[Average]]=0), 1, 0)</f>
        <v>0</v>
      </c>
      <c r="G71">
        <v>1</v>
      </c>
      <c r="H71">
        <v>25</v>
      </c>
      <c r="I71">
        <f>Tabelle8[[#This Row],[Count]]*(3*Tabelle8[[#This Row],[Simple]]+4*Tabelle8[[#This Row],[Average]]+6*Tabelle8[[#This Row],[Complex]])</f>
        <v>8</v>
      </c>
      <c r="J71" t="s">
        <v>25</v>
      </c>
      <c r="K71">
        <f>SUM(Tabelle8[Points])*(0.65+(5)/100)</f>
        <v>15.400000000000002</v>
      </c>
    </row>
    <row r="72" spans="2:11" x14ac:dyDescent="0.25">
      <c r="B72" t="s">
        <v>13</v>
      </c>
      <c r="C72">
        <v>1</v>
      </c>
      <c r="D72">
        <f>IF(OR(AND(Tabelle8[[#This Row],[FTR/RET]]&lt;=1, Tabelle8[[#This Row],[DET]] &lt;= 19), AND(Tabelle8[[#This Row],[FTR/RET]]&lt;= 3, Tabelle8[[#This Row],[DET]] &lt;= 5)), 1, 0)</f>
        <v>1</v>
      </c>
      <c r="E72">
        <f>IF(OR(AND(Tabelle8[[#This Row],[FTR/RET]]&lt;=1, Tabelle8[[#This Row],[DET]] &gt; 20), AND(Tabelle8[[#This Row],[FTR/RET]]&lt;=5, Tabelle8[[#This Row],[FTR/RET]]&gt;=2, Tabelle8[[#This Row],[DET]] &gt;= 6, Tabelle8[[#This Row],[DET]] &lt;= 19), AND(Tabelle8[[#This Row],[FTR/RET]] &gt;= 5, Tabelle8[[#This Row],[DET]] &lt;= 5 )), 1, 0)</f>
        <v>0</v>
      </c>
      <c r="F72">
        <f>IF(AND(Tabelle8[[#This Row],[Simple]]=0,Tabelle8[[#This Row],[Average]]=0), 1, 0)</f>
        <v>0</v>
      </c>
      <c r="G72">
        <v>0</v>
      </c>
      <c r="H72">
        <v>0</v>
      </c>
      <c r="I72">
        <f>Tabelle8[[#This Row],[Count]]*(Tabelle8[[#This Row],[Simple]]*4+Tabelle8[[#This Row],[Average]]*5+Tabelle8[[#This Row],[Complex]]*7)</f>
        <v>4</v>
      </c>
    </row>
    <row r="73" spans="2:11" x14ac:dyDescent="0.25">
      <c r="B73" t="s">
        <v>14</v>
      </c>
      <c r="C73">
        <v>1</v>
      </c>
      <c r="D73">
        <f>IF(OR(AND(Tabelle8[[#This Row],[FTR/RET]]&lt;=1, Tabelle8[[#This Row],[DET]] &lt;= 19), AND(Tabelle8[[#This Row],[FTR/RET]]&lt;= 3, Tabelle8[[#This Row],[DET]] &lt;= 5)), 1, 0)</f>
        <v>1</v>
      </c>
      <c r="E73">
        <f>IF(OR(AND(Tabelle8[[#This Row],[FTR/RET]]&lt;=1, Tabelle8[[#This Row],[DET]] &gt; 20), AND(Tabelle8[[#This Row],[FTR/RET]]&lt;=5, Tabelle8[[#This Row],[FTR/RET]]&gt;=2, Tabelle8[[#This Row],[DET]] &gt;= 6, Tabelle8[[#This Row],[DET]] &lt;= 19), AND(Tabelle8[[#This Row],[FTR/RET]] &gt;= 5, Tabelle8[[#This Row],[DET]] &lt;= 5 )), 1, 0)</f>
        <v>0</v>
      </c>
      <c r="F73">
        <f>IF(AND(Tabelle8[[#This Row],[Simple]]=0,Tabelle8[[#This Row],[Average]]=0), 1, 0)</f>
        <v>0</v>
      </c>
      <c r="G73">
        <v>0</v>
      </c>
      <c r="H73">
        <v>0</v>
      </c>
      <c r="I73">
        <f>Tabelle8[[#This Row],[Count]]*(3*Tabelle8[[#This Row],[Simple]]+4*Tabelle8[[#This Row],[Average]]+6*Tabelle8[[#This Row],[Complex]])</f>
        <v>3</v>
      </c>
    </row>
    <row r="74" spans="2:11" x14ac:dyDescent="0.25">
      <c r="B74" t="s">
        <v>15</v>
      </c>
      <c r="C74">
        <v>1</v>
      </c>
      <c r="D74">
        <f>IF(OR(AND(Tabelle8[[#This Row],[FTR/RET]]&lt;2, Tabelle8[[#This Row],[DET]] &lt;= 50), AND(Tabelle8[[#This Row],[FTR/RET]]&lt;=5, Tabelle8[[#This Row],[DET]] &lt; 20)), 1, 0)</f>
        <v>1</v>
      </c>
      <c r="E74">
        <f>IF(OR(AND(Tabelle8[[#This Row],[FTR/RET]]=1, Tabelle8[[#This Row],[DET]] &gt; 50), AND(Tabelle8[[#This Row],[FTR/RET]]&lt;=5, Tabelle8[[#This Row],[FTR/RET]]&gt;=2, Tabelle8[[#This Row],[DET]] &gt;= 20, Tabelle8[[#This Row],[DET]] &lt;= 50), AND(Tabelle8[[#This Row],[FTR/RET]] &gt;= 5, Tabelle8[[#This Row],[DET]] &lt; 20)), 1, 0)</f>
        <v>0</v>
      </c>
      <c r="F74">
        <f>IF(AND(Tabelle8[[#This Row],[Simple]]=0,Tabelle8[[#This Row],[Average]]=0), 1, 0)</f>
        <v>0</v>
      </c>
      <c r="G74">
        <v>1</v>
      </c>
      <c r="H74">
        <v>11</v>
      </c>
      <c r="I74">
        <f>Tabelle8[[#This Row],[Count]]*(7*Tabelle8[[#This Row],[Simple]]+10*Tabelle8[[#This Row],[Average]]+15*Tabelle8[[#This Row],[Complex]])</f>
        <v>7</v>
      </c>
      <c r="J74" t="s">
        <v>26</v>
      </c>
    </row>
    <row r="75" spans="2:11" x14ac:dyDescent="0.25">
      <c r="B75" t="s">
        <v>16</v>
      </c>
      <c r="C75">
        <v>0</v>
      </c>
      <c r="D75">
        <f>IF(OR(AND(Tabelle8[[#This Row],[FTR/RET]]&lt;2, Tabelle8[[#This Row],[DET]] &lt;= 50), AND(Tabelle8[[#This Row],[FTR/RET]]&lt;=5, Tabelle8[[#This Row],[DET]] &lt; 20)), 1, 0)</f>
        <v>1</v>
      </c>
      <c r="E75">
        <f>IF(OR(AND(Tabelle8[[#This Row],[FTR/RET]]=1, Tabelle8[[#This Row],[DET]] &gt; 50), AND(Tabelle8[[#This Row],[FTR/RET]]&lt;=5, Tabelle8[[#This Row],[FTR/RET]]&gt;=2, Tabelle8[[#This Row],[DET]] &gt;= 20, Tabelle8[[#This Row],[DET]] &lt;= 50), AND(Tabelle8[[#This Row],[FTR/RET]] &gt;= 5, Tabelle8[[#This Row],[DET]] &lt; 20)), 1, 0)</f>
        <v>0</v>
      </c>
      <c r="F75">
        <f>IF(AND(Tabelle8[[#This Row],[Simple]]=0,Tabelle8[[#This Row],[Average]]=0), 1, 0)</f>
        <v>0</v>
      </c>
      <c r="G75">
        <v>0</v>
      </c>
      <c r="H75">
        <v>0</v>
      </c>
      <c r="I75">
        <f>Tabelle8[[#This Row],[Count]]*(5*Tabelle8[[#This Row],[Simple]]+7*Tabelle8[[#This Row],[Average]]+10*Tabelle8[[#This Row],[Complex]])</f>
        <v>0</v>
      </c>
    </row>
    <row r="78" spans="2:11" x14ac:dyDescent="0.25">
      <c r="B78" t="s">
        <v>39</v>
      </c>
      <c r="C78" t="s">
        <v>10</v>
      </c>
      <c r="D78" t="s">
        <v>7</v>
      </c>
      <c r="E78" t="s">
        <v>8</v>
      </c>
      <c r="F78" t="s">
        <v>9</v>
      </c>
      <c r="G78" t="s">
        <v>23</v>
      </c>
      <c r="H78" t="s">
        <v>17</v>
      </c>
      <c r="I78" t="s">
        <v>24</v>
      </c>
      <c r="J78" t="s">
        <v>11</v>
      </c>
      <c r="K78" t="s">
        <v>18</v>
      </c>
    </row>
    <row r="79" spans="2:11" x14ac:dyDescent="0.25">
      <c r="B79" t="s">
        <v>12</v>
      </c>
      <c r="C79">
        <v>1</v>
      </c>
      <c r="D79">
        <f>IF(OR(AND(Tabelle9[[#This Row],[FTR/RET]]&lt;=1, Tabelle9[[#This Row],[DET]] &lt;= 15), AND(Tabelle9[[#This Row],[FTR/RET]]&lt;= 3, Tabelle9[[#This Row],[DET]] &lt;= 4)), 1, 0)</f>
        <v>1</v>
      </c>
      <c r="E79">
        <f>IF(OR(AND(Tabelle9[[#This Row],[FTR/RET]]&lt;=1, Tabelle9[[#This Row],[DET]] &gt; 15), AND(Tabelle9[[#This Row],[FTR/RET]]&lt;=5, Tabelle9[[#This Row],[FTR/RET]]&gt;=2, Tabelle9[[#This Row],[DET]] &gt;= 5, Tabelle9[[#This Row],[DET]] &lt;= 15), AND(Tabelle9[[#This Row],[FTR/RET]] &gt;= 5, Tabelle9[[#This Row],[DET]] &lt;= 4 )), 1, 0)</f>
        <v>0</v>
      </c>
      <c r="F79">
        <f>IF(AND(Tabelle9[[#This Row],[Simple]]=0,Tabelle9[[#This Row],[Average]]=0), 1, 0)</f>
        <v>0</v>
      </c>
      <c r="G79">
        <v>1</v>
      </c>
      <c r="H79">
        <v>1</v>
      </c>
      <c r="I79">
        <f>Tabelle9[[#This Row],[Count]]*(3*Tabelle9[[#This Row],[Simple]]+4*Tabelle9[[#This Row],[Average]]+6*Tabelle9[[#This Row],[Complex]])</f>
        <v>3</v>
      </c>
      <c r="K79">
        <f>SUM(Tabelle9[Points])*0.65</f>
        <v>11.05</v>
      </c>
    </row>
    <row r="80" spans="2:11" x14ac:dyDescent="0.25">
      <c r="B80" t="s">
        <v>13</v>
      </c>
      <c r="C80">
        <v>1</v>
      </c>
      <c r="D80">
        <f>IF(OR(AND(Tabelle9[[#This Row],[FTR/RET]]&lt;=1, Tabelle9[[#This Row],[DET]] &lt;= 19), AND(Tabelle9[[#This Row],[FTR/RET]]&lt;= 3, Tabelle9[[#This Row],[DET]] &lt;= 5)), 1, 0)</f>
        <v>1</v>
      </c>
      <c r="E80">
        <f>IF(OR(AND(Tabelle9[[#This Row],[FTR/RET]]&lt;=1, Tabelle9[[#This Row],[DET]] &gt; 20), AND(Tabelle9[[#This Row],[FTR/RET]]&lt;=5, Tabelle9[[#This Row],[FTR/RET]]&gt;=2, Tabelle9[[#This Row],[DET]] &gt;= 6, Tabelle9[[#This Row],[DET]] &lt;= 19), AND(Tabelle9[[#This Row],[FTR/RET]] &gt;= 5, Tabelle9[[#This Row],[DET]] &lt;= 5 )), 1, 0)</f>
        <v>0</v>
      </c>
      <c r="F80">
        <f>IF(AND(Tabelle9[[#This Row],[Simple]]=0,Tabelle9[[#This Row],[Average]]=0), 1, 0)</f>
        <v>0</v>
      </c>
      <c r="G80">
        <v>1</v>
      </c>
      <c r="H80">
        <v>0</v>
      </c>
      <c r="I80">
        <f>Tabelle9[[#This Row],[Count]]*(Tabelle9[[#This Row],[Simple]]*4+Tabelle9[[#This Row],[Average]]*5+Tabelle9[[#This Row],[Complex]]*7)</f>
        <v>4</v>
      </c>
    </row>
    <row r="81" spans="2:11" x14ac:dyDescent="0.25">
      <c r="B81" t="s">
        <v>14</v>
      </c>
      <c r="C81">
        <v>1</v>
      </c>
      <c r="D81">
        <f>IF(OR(AND(Tabelle9[[#This Row],[FTR/RET]]&lt;=1, Tabelle9[[#This Row],[DET]] &lt;= 19), AND(Tabelle9[[#This Row],[FTR/RET]]&lt;= 3, Tabelle9[[#This Row],[DET]] &lt;= 5)), 1, 0)</f>
        <v>1</v>
      </c>
      <c r="E81">
        <f>IF(OR(AND(Tabelle9[[#This Row],[FTR/RET]]&lt;=1, Tabelle9[[#This Row],[DET]] &gt; 20), AND(Tabelle9[[#This Row],[FTR/RET]]&lt;=5, Tabelle9[[#This Row],[FTR/RET]]&gt;=2, Tabelle9[[#This Row],[DET]] &gt;= 6, Tabelle9[[#This Row],[DET]] &lt;= 19), AND(Tabelle9[[#This Row],[FTR/RET]] &gt;= 5, Tabelle9[[#This Row],[DET]] &lt;= 5 )), 1, 0)</f>
        <v>0</v>
      </c>
      <c r="F81">
        <f>IF(AND(Tabelle9[[#This Row],[Simple]]=0,Tabelle9[[#This Row],[Average]]=0), 1, 0)</f>
        <v>0</v>
      </c>
      <c r="G81">
        <v>0</v>
      </c>
      <c r="H81">
        <v>0</v>
      </c>
      <c r="I81">
        <f>Tabelle9[[#This Row],[Count]]*(3*Tabelle9[[#This Row],[Simple]]+4*Tabelle9[[#This Row],[Average]]+6*Tabelle9[[#This Row],[Complex]])</f>
        <v>3</v>
      </c>
    </row>
    <row r="82" spans="2:11" x14ac:dyDescent="0.25">
      <c r="B82" t="s">
        <v>15</v>
      </c>
      <c r="C82">
        <v>1</v>
      </c>
      <c r="D82">
        <f>IF(OR(AND(Tabelle9[[#This Row],[FTR/RET]]&lt;2, Tabelle9[[#This Row],[DET]] &lt;= 50), AND(Tabelle9[[#This Row],[FTR/RET]]&lt;=5, Tabelle9[[#This Row],[DET]] &lt; 20)), 1, 0)</f>
        <v>1</v>
      </c>
      <c r="E82">
        <f>IF(OR(AND(Tabelle9[[#This Row],[FTR/RET]]=1, Tabelle9[[#This Row],[DET]] &gt; 50), AND(Tabelle9[[#This Row],[FTR/RET]]&lt;=5, Tabelle9[[#This Row],[FTR/RET]]&gt;=2, Tabelle9[[#This Row],[DET]] &gt;= 20, Tabelle9[[#This Row],[DET]] &lt;= 50), AND(Tabelle9[[#This Row],[FTR/RET]] &gt;= 5, Tabelle9[[#This Row],[DET]] &lt; 20)), 1, 0)</f>
        <v>0</v>
      </c>
      <c r="F82">
        <f>IF(AND(Tabelle9[[#This Row],[Simple]]=0,Tabelle9[[#This Row],[Average]]=0), 1, 0)</f>
        <v>0</v>
      </c>
      <c r="G82">
        <v>2</v>
      </c>
      <c r="H82">
        <v>1</v>
      </c>
      <c r="I82">
        <f>Tabelle9[[#This Row],[Count]]*(7*Tabelle9[[#This Row],[Simple]]+10*Tabelle9[[#This Row],[Average]]+15*Tabelle9[[#This Row],[Complex]])</f>
        <v>7</v>
      </c>
      <c r="J82" t="s">
        <v>27</v>
      </c>
    </row>
    <row r="83" spans="2:11" x14ac:dyDescent="0.25">
      <c r="B83" t="s">
        <v>16</v>
      </c>
      <c r="C83">
        <v>0</v>
      </c>
      <c r="D83">
        <f>IF(OR(AND(Tabelle9[[#This Row],[FTR/RET]]&lt;2, Tabelle9[[#This Row],[DET]] &lt;= 50), AND(Tabelle9[[#This Row],[FTR/RET]]&lt;=5, Tabelle9[[#This Row],[DET]] &lt; 20)), 1, 0)</f>
        <v>1</v>
      </c>
      <c r="E83">
        <f>IF(OR(AND(Tabelle9[[#This Row],[FTR/RET]]=1, Tabelle9[[#This Row],[DET]] &gt; 50), AND(Tabelle9[[#This Row],[FTR/RET]]&lt;=5, Tabelle9[[#This Row],[FTR/RET]]&gt;=2, Tabelle9[[#This Row],[DET]] &gt;= 20, Tabelle9[[#This Row],[DET]] &lt;= 50), AND(Tabelle9[[#This Row],[FTR/RET]] &gt;= 5, Tabelle9[[#This Row],[DET]] &lt; 20)), 1, 0)</f>
        <v>0</v>
      </c>
      <c r="F83">
        <f>IF(AND(Tabelle9[[#This Row],[Simple]]=0,Tabelle9[[#This Row],[Average]]=0), 1, 0)</f>
        <v>0</v>
      </c>
      <c r="G83">
        <v>0</v>
      </c>
      <c r="H83">
        <v>0</v>
      </c>
      <c r="I83">
        <f>Tabelle9[[#This Row],[Count]]*(5*Tabelle9[[#This Row],[Simple]]+7*Tabelle9[[#This Row],[Average]]+10*Tabelle9[[#This Row],[Complex]])</f>
        <v>0</v>
      </c>
    </row>
    <row r="86" spans="2:11" x14ac:dyDescent="0.25">
      <c r="B86" t="s">
        <v>40</v>
      </c>
      <c r="C86" t="s">
        <v>10</v>
      </c>
      <c r="D86" t="s">
        <v>7</v>
      </c>
      <c r="E86" t="s">
        <v>8</v>
      </c>
      <c r="F86" t="s">
        <v>9</v>
      </c>
      <c r="G86" t="s">
        <v>23</v>
      </c>
      <c r="H86" t="s">
        <v>17</v>
      </c>
      <c r="I86" t="s">
        <v>24</v>
      </c>
      <c r="J86" t="s">
        <v>11</v>
      </c>
      <c r="K86" t="s">
        <v>18</v>
      </c>
    </row>
    <row r="87" spans="2:11" x14ac:dyDescent="0.25">
      <c r="B87" t="s">
        <v>12</v>
      </c>
      <c r="C87">
        <v>2</v>
      </c>
      <c r="D87">
        <f>IF(OR(AND(Tabelle10[[#This Row],[FTR/RET]]&lt;=1, Tabelle10[[#This Row],[DET]] &lt;= 15), AND(Tabelle10[[#This Row],[FTR/RET]]&lt;= 3, Tabelle10[[#This Row],[DET]] &lt;= 4)), 1, 0)</f>
        <v>1</v>
      </c>
      <c r="E87">
        <f>IF(OR(AND(Tabelle10[[#This Row],[FTR/RET]]&lt;=1, Tabelle10[[#This Row],[DET]] &gt; 15), AND(Tabelle10[[#This Row],[FTR/RET]]&lt;=5, Tabelle10[[#This Row],[FTR/RET]]&gt;=2, Tabelle10[[#This Row],[DET]] &gt;= 5, Tabelle10[[#This Row],[DET]] &lt;= 15), AND(Tabelle10[[#This Row],[FTR/RET]] &gt;= 5, Tabelle10[[#This Row],[DET]] &lt;= 4 )), 1, 0)</f>
        <v>0</v>
      </c>
      <c r="F87">
        <f>IF(AND(Tabelle10[[#This Row],[Simple]]=0,Tabelle10[[#This Row],[Average]]=0), 1, 0)</f>
        <v>0</v>
      </c>
      <c r="G87">
        <v>1</v>
      </c>
      <c r="H87">
        <v>10</v>
      </c>
      <c r="I87">
        <f>Tabelle10[[#This Row],[Count]]*(3*Tabelle10[[#This Row],[Simple]]+4*Tabelle10[[#This Row],[Average]]+6*Tabelle10[[#This Row],[Complex]])</f>
        <v>6</v>
      </c>
      <c r="K87">
        <f>SUM(Tabelle10[Points])*0.65</f>
        <v>15.600000000000001</v>
      </c>
    </row>
    <row r="88" spans="2:11" x14ac:dyDescent="0.25">
      <c r="B88" t="s">
        <v>13</v>
      </c>
      <c r="C88">
        <v>1</v>
      </c>
      <c r="D88">
        <f>IF(OR(AND(Tabelle10[[#This Row],[FTR/RET]]&lt;=1, Tabelle10[[#This Row],[DET]] &lt;= 19), AND(Tabelle10[[#This Row],[FTR/RET]]&lt;= 3, Tabelle10[[#This Row],[DET]] &lt;= 5)), 1, 0)</f>
        <v>1</v>
      </c>
      <c r="E88">
        <f>IF(OR(AND(Tabelle10[[#This Row],[FTR/RET]]&lt;=1, Tabelle10[[#This Row],[DET]] &gt; 20), AND(Tabelle10[[#This Row],[FTR/RET]]&lt;=5, Tabelle10[[#This Row],[FTR/RET]]&gt;=2, Tabelle10[[#This Row],[DET]] &gt;= 6, Tabelle10[[#This Row],[DET]] &lt;= 19), AND(Tabelle10[[#This Row],[FTR/RET]] &gt;= 5, Tabelle10[[#This Row],[DET]] &lt;= 5 )), 1, 0)</f>
        <v>0</v>
      </c>
      <c r="F88">
        <f>IF(AND(Tabelle10[[#This Row],[Simple]]=0,Tabelle10[[#This Row],[Average]]=0), 1, 0)</f>
        <v>0</v>
      </c>
      <c r="G88">
        <v>0</v>
      </c>
      <c r="H88">
        <v>0</v>
      </c>
      <c r="I88">
        <f>Tabelle10[[#This Row],[Count]]*(Tabelle10[[#This Row],[Simple]]*4+Tabelle10[[#This Row],[Average]]*5+Tabelle10[[#This Row],[Complex]]*7)</f>
        <v>4</v>
      </c>
    </row>
    <row r="89" spans="2:11" x14ac:dyDescent="0.25">
      <c r="B89" t="s">
        <v>14</v>
      </c>
      <c r="C89">
        <v>0</v>
      </c>
      <c r="D89">
        <f>IF(OR(AND(Tabelle10[[#This Row],[FTR/RET]]&lt;=1, Tabelle10[[#This Row],[DET]] &lt;= 19), AND(Tabelle10[[#This Row],[FTR/RET]]&lt;= 3, Tabelle10[[#This Row],[DET]] &lt;= 5)), 1, 0)</f>
        <v>1</v>
      </c>
      <c r="E89">
        <f>IF(OR(AND(Tabelle10[[#This Row],[FTR/RET]]&lt;=1, Tabelle10[[#This Row],[DET]] &gt; 20), AND(Tabelle10[[#This Row],[FTR/RET]]&lt;=5, Tabelle10[[#This Row],[FTR/RET]]&gt;=2, Tabelle10[[#This Row],[DET]] &gt;= 6, Tabelle10[[#This Row],[DET]] &lt;= 19), AND(Tabelle10[[#This Row],[FTR/RET]] &gt;= 5, Tabelle10[[#This Row],[DET]] &lt;= 5 )), 1, 0)</f>
        <v>0</v>
      </c>
      <c r="F89">
        <f>IF(AND(Tabelle10[[#This Row],[Simple]]=0,Tabelle10[[#This Row],[Average]]=0), 1, 0)</f>
        <v>0</v>
      </c>
      <c r="G89">
        <v>0</v>
      </c>
      <c r="H89">
        <v>0</v>
      </c>
      <c r="I89">
        <f>Tabelle10[[#This Row],[Count]]*(3*Tabelle10[[#This Row],[Simple]]+4*Tabelle10[[#This Row],[Average]]+6*Tabelle10[[#This Row],[Complex]])</f>
        <v>0</v>
      </c>
    </row>
    <row r="90" spans="2:11" x14ac:dyDescent="0.25">
      <c r="B90" t="s">
        <v>15</v>
      </c>
      <c r="C90">
        <v>2</v>
      </c>
      <c r="D90">
        <f>IF(OR(AND(Tabelle10[[#This Row],[FTR/RET]]&lt;2, Tabelle10[[#This Row],[DET]] &lt;= 50), AND(Tabelle10[[#This Row],[FTR/RET]]&lt;=5, Tabelle10[[#This Row],[DET]] &lt; 20)), 1, 0)</f>
        <v>1</v>
      </c>
      <c r="E90">
        <f>IF(OR(AND(Tabelle10[[#This Row],[FTR/RET]]=1, Tabelle10[[#This Row],[DET]] &gt; 50), AND(Tabelle10[[#This Row],[FTR/RET]]&lt;=5, Tabelle10[[#This Row],[FTR/RET]]&gt;=2, Tabelle10[[#This Row],[DET]] &gt;= 20, Tabelle10[[#This Row],[DET]] &lt;= 50), AND(Tabelle10[[#This Row],[FTR/RET]] &gt;= 5, Tabelle10[[#This Row],[DET]] &lt; 20)), 1, 0)</f>
        <v>0</v>
      </c>
      <c r="F90">
        <f>IF(AND(Tabelle10[[#This Row],[Simple]]=0,Tabelle10[[#This Row],[Average]]=0), 1, 0)</f>
        <v>0</v>
      </c>
      <c r="G90">
        <v>0</v>
      </c>
      <c r="H90">
        <v>0</v>
      </c>
      <c r="I90">
        <f>Tabelle10[[#This Row],[Count]]*(7*Tabelle10[[#This Row],[Simple]]+10*Tabelle10[[#This Row],[Average]]+15*Tabelle10[[#This Row],[Complex]])</f>
        <v>14</v>
      </c>
      <c r="J90" t="s">
        <v>28</v>
      </c>
    </row>
    <row r="91" spans="2:11" x14ac:dyDescent="0.25">
      <c r="B91" t="s">
        <v>16</v>
      </c>
      <c r="C91">
        <v>0</v>
      </c>
      <c r="D91">
        <f>IF(OR(AND(Tabelle10[[#This Row],[FTR/RET]]&lt;2, Tabelle10[[#This Row],[DET]] &lt;= 50), AND(Tabelle10[[#This Row],[FTR/RET]]&lt;=5, Tabelle10[[#This Row],[DET]] &lt; 20)), 1, 0)</f>
        <v>1</v>
      </c>
      <c r="E91">
        <f>IF(OR(AND(Tabelle10[[#This Row],[FTR/RET]]=1, Tabelle10[[#This Row],[DET]] &gt; 50), AND(Tabelle10[[#This Row],[FTR/RET]]&lt;=5, Tabelle10[[#This Row],[FTR/RET]]&gt;=2, Tabelle10[[#This Row],[DET]] &gt;= 20, Tabelle10[[#This Row],[DET]] &lt;= 50), AND(Tabelle10[[#This Row],[FTR/RET]] &gt;= 5, Tabelle10[[#This Row],[DET]] &lt; 20)), 1, 0)</f>
        <v>0</v>
      </c>
      <c r="F91">
        <f>IF(AND(Tabelle10[[#This Row],[Simple]]=0,Tabelle10[[#This Row],[Average]]=0), 1, 0)</f>
        <v>0</v>
      </c>
      <c r="G91">
        <v>0</v>
      </c>
      <c r="H91">
        <v>0</v>
      </c>
      <c r="I91">
        <f>Tabelle10[[#This Row],[Count]]*(5*Tabelle10[[#This Row],[Simple]]+7*Tabelle10[[#This Row],[Average]]+10*Tabelle10[[#This Row],[Complex]])</f>
        <v>0</v>
      </c>
    </row>
    <row r="94" spans="2:11" x14ac:dyDescent="0.25">
      <c r="B94" t="s">
        <v>41</v>
      </c>
      <c r="C94" t="s">
        <v>10</v>
      </c>
      <c r="D94" t="s">
        <v>7</v>
      </c>
      <c r="E94" t="s">
        <v>8</v>
      </c>
      <c r="F94" t="s">
        <v>9</v>
      </c>
      <c r="G94" t="s">
        <v>23</v>
      </c>
      <c r="H94" t="s">
        <v>17</v>
      </c>
      <c r="I94" t="s">
        <v>24</v>
      </c>
      <c r="J94" t="s">
        <v>11</v>
      </c>
      <c r="K94" t="s">
        <v>18</v>
      </c>
    </row>
    <row r="95" spans="2:11" x14ac:dyDescent="0.25">
      <c r="B95" t="s">
        <v>12</v>
      </c>
      <c r="C95">
        <v>1</v>
      </c>
      <c r="D95">
        <f>IF(OR(AND(Tabelle11[[#This Row],[FTR/RET]]&lt;=1, Tabelle11[[#This Row],[DET]] &lt;= 15), AND(Tabelle11[[#This Row],[FTR/RET]]&lt;= 3, Tabelle11[[#This Row],[DET]] &lt;= 4)), 1, 0)</f>
        <v>1</v>
      </c>
      <c r="E95">
        <f>IF(OR(AND(Tabelle11[[#This Row],[FTR/RET]]&lt;=1, Tabelle11[[#This Row],[DET]] &gt; 15), AND(Tabelle11[[#This Row],[FTR/RET]]&lt;=5, Tabelle11[[#This Row],[FTR/RET]]&gt;=2, Tabelle11[[#This Row],[DET]] &gt;= 5, Tabelle11[[#This Row],[DET]] &lt;= 15), AND(Tabelle11[[#This Row],[FTR/RET]] &gt;= 5, Tabelle11[[#This Row],[DET]] &lt;= 4 )), 1, 0)</f>
        <v>0</v>
      </c>
      <c r="F95">
        <f>IF(AND(Tabelle11[[#This Row],[Simple]]=0,Tabelle11[[#This Row],[Average]]=0), 1, 0)</f>
        <v>0</v>
      </c>
      <c r="G95">
        <v>0</v>
      </c>
      <c r="H95">
        <v>0</v>
      </c>
      <c r="I95">
        <f>Tabelle11[[#This Row],[Count]]*(3*Tabelle11[[#This Row],[Simple]]+4*Tabelle11[[#This Row],[Average]]+6*Tabelle11[[#This Row],[Complex]])</f>
        <v>3</v>
      </c>
      <c r="K95">
        <f>SUM(Tabelle11[Points])*0.65</f>
        <v>13</v>
      </c>
    </row>
    <row r="96" spans="2:11" x14ac:dyDescent="0.25">
      <c r="B96" t="s">
        <v>13</v>
      </c>
      <c r="C96">
        <v>1</v>
      </c>
      <c r="D96">
        <f>IF(OR(AND(Tabelle11[[#This Row],[FTR/RET]]&lt;=1, Tabelle11[[#This Row],[DET]] &lt;= 19), AND(Tabelle11[[#This Row],[FTR/RET]]&lt;= 3, Tabelle11[[#This Row],[DET]] &lt;= 5)), 1, 0)</f>
        <v>1</v>
      </c>
      <c r="E96">
        <f>IF(OR(AND(Tabelle11[[#This Row],[FTR/RET]]&lt;=1, Tabelle11[[#This Row],[DET]] &gt; 20), AND(Tabelle11[[#This Row],[FTR/RET]]&lt;=5, Tabelle11[[#This Row],[FTR/RET]]&gt;=2, Tabelle11[[#This Row],[DET]] &gt;= 6, Tabelle11[[#This Row],[DET]] &lt;= 19), AND(Tabelle11[[#This Row],[FTR/RET]] &gt;= 5, Tabelle11[[#This Row],[DET]] &lt;= 5 )), 1, 0)</f>
        <v>0</v>
      </c>
      <c r="F96">
        <f>IF(AND(Tabelle11[[#This Row],[Simple]]=0,Tabelle11[[#This Row],[Average]]=0), 1, 0)</f>
        <v>0</v>
      </c>
      <c r="G96">
        <v>0</v>
      </c>
      <c r="H96">
        <v>0</v>
      </c>
      <c r="I96">
        <f>Tabelle11[[#This Row],[Count]]*(Tabelle11[[#This Row],[Simple]]*4+Tabelle11[[#This Row],[Average]]*5+Tabelle11[[#This Row],[Complex]]*7)</f>
        <v>4</v>
      </c>
    </row>
    <row r="97" spans="2:11" x14ac:dyDescent="0.25">
      <c r="B97" t="s">
        <v>14</v>
      </c>
      <c r="C97">
        <v>2</v>
      </c>
      <c r="D97">
        <f>IF(OR(AND(Tabelle11[[#This Row],[FTR/RET]]&lt;=1, Tabelle11[[#This Row],[DET]] &lt;= 19), AND(Tabelle11[[#This Row],[FTR/RET]]&lt;= 3, Tabelle11[[#This Row],[DET]] &lt;= 5)), 1, 0)</f>
        <v>1</v>
      </c>
      <c r="E97">
        <f>IF(OR(AND(Tabelle11[[#This Row],[FTR/RET]]&lt;=1, Tabelle11[[#This Row],[DET]] &gt; 20), AND(Tabelle11[[#This Row],[FTR/RET]]&lt;=5, Tabelle11[[#This Row],[FTR/RET]]&gt;=2, Tabelle11[[#This Row],[DET]] &gt;= 6, Tabelle11[[#This Row],[DET]] &lt;= 19), AND(Tabelle11[[#This Row],[FTR/RET]] &gt;= 5, Tabelle11[[#This Row],[DET]] &lt;= 5 )), 1, 0)</f>
        <v>0</v>
      </c>
      <c r="F97">
        <f>IF(AND(Tabelle11[[#This Row],[Simple]]=0,Tabelle11[[#This Row],[Average]]=0), 1, 0)</f>
        <v>0</v>
      </c>
      <c r="G97">
        <v>0</v>
      </c>
      <c r="H97">
        <v>0</v>
      </c>
      <c r="I97">
        <f>Tabelle11[[#This Row],[Count]]*(3*Tabelle11[[#This Row],[Simple]]+4*Tabelle11[[#This Row],[Average]]+6*Tabelle11[[#This Row],[Complex]])</f>
        <v>6</v>
      </c>
      <c r="K97">
        <f>SeeMapsFP/Tabelle15[Velocity]</f>
        <v>5.3255646323882742</v>
      </c>
    </row>
    <row r="98" spans="2:11" x14ac:dyDescent="0.25">
      <c r="B98" t="s">
        <v>15</v>
      </c>
      <c r="C98">
        <v>1</v>
      </c>
      <c r="D98">
        <f>IF(OR(AND(Tabelle11[[#This Row],[FTR/RET]]&lt;2, Tabelle11[[#This Row],[DET]] &lt;= 50), AND(Tabelle11[[#This Row],[FTR/RET]]&lt;=5, Tabelle11[[#This Row],[DET]] &lt; 20)), 1, 0)</f>
        <v>1</v>
      </c>
      <c r="E98">
        <f>IF(OR(AND(Tabelle11[[#This Row],[FTR/RET]]=1, Tabelle11[[#This Row],[DET]] &gt; 50), AND(Tabelle11[[#This Row],[FTR/RET]]&lt;=5, Tabelle11[[#This Row],[FTR/RET]]&gt;=2, Tabelle11[[#This Row],[DET]] &gt;= 20, Tabelle11[[#This Row],[DET]] &lt;= 50), AND(Tabelle11[[#This Row],[FTR/RET]] &gt;= 5, Tabelle11[[#This Row],[DET]] &lt; 20)), 1, 0)</f>
        <v>0</v>
      </c>
      <c r="F98">
        <f>IF(AND(Tabelle11[[#This Row],[Simple]]=0,Tabelle11[[#This Row],[Average]]=0), 1, 0)</f>
        <v>0</v>
      </c>
      <c r="G98">
        <v>0</v>
      </c>
      <c r="H98">
        <v>0</v>
      </c>
      <c r="I98">
        <f>Tabelle11[[#This Row],[Count]]*(7*Tabelle11[[#This Row],[Simple]]+10*Tabelle11[[#This Row],[Average]]+15*Tabelle11[[#This Row],[Complex]])</f>
        <v>7</v>
      </c>
      <c r="J98" t="s">
        <v>56</v>
      </c>
    </row>
    <row r="99" spans="2:11" x14ac:dyDescent="0.25">
      <c r="B99" t="s">
        <v>16</v>
      </c>
      <c r="C99">
        <v>0</v>
      </c>
      <c r="D99">
        <f>IF(OR(AND(Tabelle11[[#This Row],[FTR/RET]]&lt;2, Tabelle11[[#This Row],[DET]] &lt;= 50), AND(Tabelle11[[#This Row],[FTR/RET]]&lt;=5, Tabelle11[[#This Row],[DET]] &lt; 20)), 1, 0)</f>
        <v>0</v>
      </c>
      <c r="E99">
        <f>IF(OR(AND(Tabelle11[[#This Row],[FTR/RET]]=1, Tabelle11[[#This Row],[DET]] &gt; 50), AND(Tabelle11[[#This Row],[FTR/RET]]&lt;=5, Tabelle11[[#This Row],[FTR/RET]]&gt;=2, Tabelle11[[#This Row],[DET]] &gt;= 20, Tabelle11[[#This Row],[DET]] &lt;= 50), AND(Tabelle11[[#This Row],[FTR/RET]] &gt;= 5, Tabelle11[[#This Row],[DET]] &lt; 20)), 1, 0)</f>
        <v>1</v>
      </c>
      <c r="F99">
        <f>IF(AND(Tabelle11[[#This Row],[Simple]]=0,Tabelle11[[#This Row],[Average]]=0), 1, 0)</f>
        <v>0</v>
      </c>
      <c r="G99">
        <v>5</v>
      </c>
      <c r="H99">
        <v>30</v>
      </c>
      <c r="I99">
        <f>Tabelle11[[#This Row],[Count]]*(5*Tabelle11[[#This Row],[Simple]]+7*Tabelle11[[#This Row],[Average]]+10*Tabelle11[[#This Row],[Complex]])</f>
        <v>0</v>
      </c>
      <c r="J99" t="s">
        <v>56</v>
      </c>
    </row>
    <row r="102" spans="2:11" x14ac:dyDescent="0.25">
      <c r="B102" t="s">
        <v>42</v>
      </c>
      <c r="C102" t="s">
        <v>10</v>
      </c>
      <c r="D102" t="s">
        <v>7</v>
      </c>
      <c r="E102" t="s">
        <v>8</v>
      </c>
      <c r="F102" t="s">
        <v>9</v>
      </c>
      <c r="G102" t="s">
        <v>23</v>
      </c>
      <c r="H102" t="s">
        <v>17</v>
      </c>
      <c r="I102" t="s">
        <v>24</v>
      </c>
      <c r="J102" t="s">
        <v>11</v>
      </c>
      <c r="K102" t="s">
        <v>18</v>
      </c>
    </row>
    <row r="103" spans="2:11" x14ac:dyDescent="0.25">
      <c r="B103" t="s">
        <v>12</v>
      </c>
      <c r="C103">
        <v>1</v>
      </c>
      <c r="D103">
        <f>IF(OR(AND(Tabelle12[[#This Row],[FTR/RET]]&lt;=1, Tabelle12[[#This Row],[DET]] &lt;= 15), AND(Tabelle12[[#This Row],[FTR/RET]]&lt;= 3, Tabelle12[[#This Row],[DET]] &lt;= 4)), 1, 0)</f>
        <v>1</v>
      </c>
      <c r="E103">
        <f>IF(OR(AND(Tabelle12[[#This Row],[FTR/RET]]&lt;=1, Tabelle12[[#This Row],[DET]] &gt; 15), AND(Tabelle12[[#This Row],[FTR/RET]]&lt;=5, Tabelle12[[#This Row],[FTR/RET]]&gt;=2, Tabelle12[[#This Row],[DET]] &gt;= 5, Tabelle12[[#This Row],[DET]] &lt;= 15), AND(Tabelle12[[#This Row],[FTR/RET]] &gt;= 5, Tabelle12[[#This Row],[DET]] &lt;= 4 )), 1, 0)</f>
        <v>0</v>
      </c>
      <c r="F103">
        <f>IF(AND(Tabelle12[[#This Row],[Simple]]=0,Tabelle12[[#This Row],[Average]]=0), 1, 0)</f>
        <v>0</v>
      </c>
      <c r="G103">
        <v>0</v>
      </c>
      <c r="H103">
        <v>1</v>
      </c>
      <c r="I103">
        <f>Tabelle12[[#This Row],[Count]]*(3*Tabelle12[[#This Row],[Simple]]+4*Tabelle12[[#This Row],[Average]]+6*Tabelle12[[#This Row],[Complex]])</f>
        <v>3</v>
      </c>
      <c r="J103" t="s">
        <v>22</v>
      </c>
      <c r="K103">
        <f>SUM(Tabelle12[Points])*0.65</f>
        <v>17.55</v>
      </c>
    </row>
    <row r="104" spans="2:11" x14ac:dyDescent="0.25">
      <c r="B104" t="s">
        <v>13</v>
      </c>
      <c r="C104">
        <v>1</v>
      </c>
      <c r="D104">
        <f>IF(OR(AND(Tabelle12[[#This Row],[FTR/RET]]&lt;=1, Tabelle12[[#This Row],[DET]] &lt;= 19), AND(Tabelle12[[#This Row],[FTR/RET]]&lt;= 3, Tabelle12[[#This Row],[DET]] &lt;= 5)), 1, 0)</f>
        <v>1</v>
      </c>
      <c r="E104">
        <f>IF(OR(AND(Tabelle12[[#This Row],[FTR/RET]]&lt;=1, Tabelle12[[#This Row],[DET]] &gt; 20), AND(Tabelle12[[#This Row],[FTR/RET]]&lt;=5, Tabelle12[[#This Row],[FTR/RET]]&gt;=2, Tabelle12[[#This Row],[DET]] &gt;= 6, Tabelle12[[#This Row],[DET]] &lt;= 19), AND(Tabelle12[[#This Row],[FTR/RET]] &gt;= 5, Tabelle12[[#This Row],[DET]] &lt;= 5 )), 1, 0)</f>
        <v>0</v>
      </c>
      <c r="F104">
        <f>IF(AND(Tabelle12[[#This Row],[Simple]]=0,Tabelle12[[#This Row],[Average]]=0), 1, 0)</f>
        <v>0</v>
      </c>
      <c r="G104">
        <v>0</v>
      </c>
      <c r="H104">
        <v>0</v>
      </c>
      <c r="I104">
        <f>Tabelle12[[#This Row],[Count]]*(Tabelle12[[#This Row],[Simple]]*4+Tabelle12[[#This Row],[Average]]*5+Tabelle12[[#This Row],[Complex]]*7)</f>
        <v>4</v>
      </c>
    </row>
    <row r="105" spans="2:11" x14ac:dyDescent="0.25">
      <c r="B105" t="s">
        <v>14</v>
      </c>
      <c r="C105">
        <v>2</v>
      </c>
      <c r="D105">
        <f>IF(OR(AND(Tabelle12[[#This Row],[FTR/RET]]&lt;=1, Tabelle12[[#This Row],[DET]] &lt;= 19), AND(Tabelle12[[#This Row],[FTR/RET]]&lt;= 3, Tabelle12[[#This Row],[DET]] &lt;= 5)), 1, 0)</f>
        <v>1</v>
      </c>
      <c r="E105">
        <f>IF(OR(AND(Tabelle12[[#This Row],[FTR/RET]]&lt;=1, Tabelle12[[#This Row],[DET]] &gt; 20), AND(Tabelle12[[#This Row],[FTR/RET]]&lt;=5, Tabelle12[[#This Row],[FTR/RET]]&gt;=2, Tabelle12[[#This Row],[DET]] &gt;= 6, Tabelle12[[#This Row],[DET]] &lt;= 19), AND(Tabelle12[[#This Row],[FTR/RET]] &gt;= 5, Tabelle12[[#This Row],[DET]] &lt;= 5 )), 1, 0)</f>
        <v>0</v>
      </c>
      <c r="F105">
        <f>IF(AND(Tabelle12[[#This Row],[Simple]]=0,Tabelle12[[#This Row],[Average]]=0), 1, 0)</f>
        <v>0</v>
      </c>
      <c r="G105">
        <v>0</v>
      </c>
      <c r="H105">
        <v>0</v>
      </c>
      <c r="I105">
        <f>Tabelle12[[#This Row],[Count]]*(3*Tabelle12[[#This Row],[Simple]]+4*Tabelle12[[#This Row],[Average]]+6*Tabelle12[[#This Row],[Complex]])</f>
        <v>6</v>
      </c>
      <c r="K105">
        <f>SetTagsFP/Tabelle15[Velocity]</f>
        <v>7.1895122537241702</v>
      </c>
    </row>
    <row r="106" spans="2:11" x14ac:dyDescent="0.25">
      <c r="B106" t="s">
        <v>15</v>
      </c>
      <c r="C106">
        <v>2</v>
      </c>
      <c r="D106">
        <f>IF(OR(AND(Tabelle12[[#This Row],[FTR/RET]]&lt;2, Tabelle12[[#This Row],[DET]] &lt;= 50), AND(Tabelle12[[#This Row],[FTR/RET]]&lt;=5, Tabelle12[[#This Row],[DET]] &lt; 20)), 1, 0)</f>
        <v>1</v>
      </c>
      <c r="E106">
        <f>IF(OR(AND(Tabelle12[[#This Row],[FTR/RET]]=1, Tabelle12[[#This Row],[DET]] &gt; 50), AND(Tabelle12[[#This Row],[FTR/RET]]&lt;=5, Tabelle12[[#This Row],[FTR/RET]]&gt;=2, Tabelle12[[#This Row],[DET]] &gt;= 20, Tabelle12[[#This Row],[DET]] &lt;= 50), AND(Tabelle12[[#This Row],[FTR/RET]] &gt;= 5, Tabelle12[[#This Row],[DET]] &lt; 20)), 1, 0)</f>
        <v>0</v>
      </c>
      <c r="F106">
        <f>IF(AND(Tabelle12[[#This Row],[Simple]]=0,Tabelle12[[#This Row],[Average]]=0), 1, 0)</f>
        <v>0</v>
      </c>
      <c r="G106">
        <v>0</v>
      </c>
      <c r="H106">
        <v>0</v>
      </c>
      <c r="I106">
        <f>Tabelle12[[#This Row],[Count]]*(7*Tabelle12[[#This Row],[Simple]]+10*Tabelle12[[#This Row],[Average]]+15*Tabelle12[[#This Row],[Complex]])</f>
        <v>14</v>
      </c>
      <c r="J106" t="s">
        <v>29</v>
      </c>
    </row>
    <row r="107" spans="2:11" x14ac:dyDescent="0.25">
      <c r="B107" t="s">
        <v>16</v>
      </c>
      <c r="C107">
        <v>0</v>
      </c>
      <c r="D107">
        <f>IF(OR(AND(Tabelle12[[#This Row],[FTR/RET]]&lt;2, Tabelle12[[#This Row],[DET]] &lt;= 50), AND(Tabelle12[[#This Row],[FTR/RET]]&lt;=5, Tabelle12[[#This Row],[DET]] &lt; 20)), 1, 0)</f>
        <v>1</v>
      </c>
      <c r="E107">
        <f>IF(OR(AND(Tabelle12[[#This Row],[FTR/RET]]=1, Tabelle12[[#This Row],[DET]] &gt; 50), AND(Tabelle12[[#This Row],[FTR/RET]]&lt;=5, Tabelle12[[#This Row],[FTR/RET]]&gt;=2, Tabelle12[[#This Row],[DET]] &gt;= 20, Tabelle12[[#This Row],[DET]] &lt;= 50), AND(Tabelle12[[#This Row],[FTR/RET]] &gt;= 5, Tabelle12[[#This Row],[DET]] &lt; 20)), 1, 0)</f>
        <v>0</v>
      </c>
      <c r="F107">
        <f>IF(AND(Tabelle12[[#This Row],[Simple]]=0,Tabelle12[[#This Row],[Average]]=0), 1, 0)</f>
        <v>0</v>
      </c>
      <c r="G107">
        <v>0</v>
      </c>
      <c r="H107">
        <v>0</v>
      </c>
      <c r="I107">
        <f>Tabelle12[[#This Row],[Count]]*(5*Tabelle12[[#This Row],[Simple]]+7*Tabelle12[[#This Row],[Average]]+10*Tabelle12[[#This Row],[Complex]])</f>
        <v>0</v>
      </c>
    </row>
    <row r="110" spans="2:11" x14ac:dyDescent="0.25">
      <c r="B110" t="s">
        <v>43</v>
      </c>
      <c r="C110" t="s">
        <v>10</v>
      </c>
      <c r="D110" t="s">
        <v>7</v>
      </c>
      <c r="E110" t="s">
        <v>8</v>
      </c>
      <c r="F110" t="s">
        <v>9</v>
      </c>
      <c r="G110" t="s">
        <v>23</v>
      </c>
      <c r="H110" t="s">
        <v>17</v>
      </c>
      <c r="I110" t="s">
        <v>24</v>
      </c>
      <c r="J110" t="s">
        <v>11</v>
      </c>
      <c r="K110" t="s">
        <v>18</v>
      </c>
    </row>
    <row r="111" spans="2:11" x14ac:dyDescent="0.25">
      <c r="B111" t="s">
        <v>12</v>
      </c>
      <c r="C111">
        <v>1</v>
      </c>
      <c r="D111">
        <f>IF(OR(AND(Tabelle1214[[#This Row],[FTR/RET]]&lt;=1, Tabelle1214[[#This Row],[DET]] &lt;= 15), AND(Tabelle1214[[#This Row],[FTR/RET]]&lt;= 3, Tabelle1214[[#This Row],[DET]] &lt;= 4)), 1, 0)</f>
        <v>1</v>
      </c>
      <c r="E111">
        <f>IF(OR(AND(Tabelle1214[[#This Row],[FTR/RET]]&lt;=1, Tabelle1214[[#This Row],[DET]] &gt; 15), AND(Tabelle1214[[#This Row],[FTR/RET]]&lt;=5, Tabelle1214[[#This Row],[FTR/RET]]&gt;=2, Tabelle1214[[#This Row],[DET]] &gt;= 5, Tabelle1214[[#This Row],[DET]] &lt;= 15), AND(Tabelle1214[[#This Row],[FTR/RET]] &gt;= 5, Tabelle1214[[#This Row],[DET]] &lt;= 4 )), 1, 0)</f>
        <v>0</v>
      </c>
      <c r="F111">
        <f>IF(AND(Tabelle1214[[#This Row],[Simple]]=0,Tabelle1214[[#This Row],[Average]]=0), 1, 0)</f>
        <v>0</v>
      </c>
      <c r="G111">
        <v>0</v>
      </c>
      <c r="H111">
        <v>4</v>
      </c>
      <c r="I111">
        <f>Tabelle1214[[#This Row],[Count]]*(3*Tabelle1214[[#This Row],[Simple]]+4*Tabelle1214[[#This Row],[Average]]+6*Tabelle1214[[#This Row],[Complex]])</f>
        <v>3</v>
      </c>
      <c r="J111" t="s">
        <v>56</v>
      </c>
      <c r="K111">
        <f>SUM(Tabelle1214[Points])*0.65</f>
        <v>13</v>
      </c>
    </row>
    <row r="112" spans="2:11" x14ac:dyDescent="0.25">
      <c r="B112" t="s">
        <v>13</v>
      </c>
      <c r="C112">
        <v>1</v>
      </c>
      <c r="D112">
        <f>IF(OR(AND(Tabelle1214[[#This Row],[FTR/RET]]&lt;=1, Tabelle1214[[#This Row],[DET]] &lt;= 19), AND(Tabelle1214[[#This Row],[FTR/RET]]&lt;= 3, Tabelle1214[[#This Row],[DET]] &lt;= 5)), 1, 0)</f>
        <v>1</v>
      </c>
      <c r="E112">
        <f>IF(OR(AND(Tabelle1214[[#This Row],[FTR/RET]]&lt;=1, Tabelle1214[[#This Row],[DET]] &gt; 20), AND(Tabelle1214[[#This Row],[FTR/RET]]&lt;=5, Tabelle1214[[#This Row],[FTR/RET]]&gt;=2, Tabelle1214[[#This Row],[DET]] &gt;= 6, Tabelle1214[[#This Row],[DET]] &lt;= 19), AND(Tabelle1214[[#This Row],[FTR/RET]] &gt;= 5, Tabelle1214[[#This Row],[DET]] &lt;= 5 )), 1, 0)</f>
        <v>0</v>
      </c>
      <c r="F112">
        <f>IF(AND(Tabelle1214[[#This Row],[Simple]]=0,Tabelle1214[[#This Row],[Average]]=0), 1, 0)</f>
        <v>0</v>
      </c>
      <c r="G112">
        <v>0</v>
      </c>
      <c r="H112">
        <v>0</v>
      </c>
      <c r="I112">
        <f>Tabelle1214[[#This Row],[Count]]*(Tabelle1214[[#This Row],[Simple]]*4+Tabelle1214[[#This Row],[Average]]*5+Tabelle1214[[#This Row],[Complex]]*7)</f>
        <v>4</v>
      </c>
    </row>
    <row r="113" spans="2:11" x14ac:dyDescent="0.25">
      <c r="B113" t="s">
        <v>14</v>
      </c>
      <c r="C113">
        <v>2</v>
      </c>
      <c r="D113">
        <f>IF(OR(AND(Tabelle1214[[#This Row],[FTR/RET]]&lt;=1, Tabelle1214[[#This Row],[DET]] &lt;= 19), AND(Tabelle1214[[#This Row],[FTR/RET]]&lt;= 3, Tabelle1214[[#This Row],[DET]] &lt;= 5)), 1, 0)</f>
        <v>1</v>
      </c>
      <c r="E113">
        <f>IF(OR(AND(Tabelle1214[[#This Row],[FTR/RET]]&lt;=1, Tabelle1214[[#This Row],[DET]] &gt; 20), AND(Tabelle1214[[#This Row],[FTR/RET]]&lt;=5, Tabelle1214[[#This Row],[FTR/RET]]&gt;=2, Tabelle1214[[#This Row],[DET]] &gt;= 6, Tabelle1214[[#This Row],[DET]] &lt;= 19), AND(Tabelle1214[[#This Row],[FTR/RET]] &gt;= 5, Tabelle1214[[#This Row],[DET]] &lt;= 5 )), 1, 0)</f>
        <v>0</v>
      </c>
      <c r="F113">
        <f>IF(AND(Tabelle1214[[#This Row],[Simple]]=0,Tabelle1214[[#This Row],[Average]]=0), 1, 0)</f>
        <v>0</v>
      </c>
      <c r="G113">
        <v>0</v>
      </c>
      <c r="H113">
        <v>0</v>
      </c>
      <c r="I113">
        <f>Tabelle1214[[#This Row],[Count]]*(3*Tabelle1214[[#This Row],[Simple]]+4*Tabelle1214[[#This Row],[Average]]+6*Tabelle1214[[#This Row],[Complex]])</f>
        <v>6</v>
      </c>
      <c r="K113">
        <f>AdministrateBarsFP/Tabelle15[Velocity]</f>
        <v>5.3255646323882742</v>
      </c>
    </row>
    <row r="114" spans="2:11" x14ac:dyDescent="0.25">
      <c r="B114" t="s">
        <v>15</v>
      </c>
      <c r="C114">
        <v>1</v>
      </c>
      <c r="D114">
        <f>IF(OR(AND(Tabelle1214[[#This Row],[FTR/RET]]&lt;2, Tabelle1214[[#This Row],[DET]] &lt;= 50), AND(Tabelle1214[[#This Row],[FTR/RET]]&lt;=5, Tabelle1214[[#This Row],[DET]] &lt; 20)), 1, 0)</f>
        <v>1</v>
      </c>
      <c r="E114">
        <f>IF(OR(AND(Tabelle1214[[#This Row],[FTR/RET]]=1, Tabelle1214[[#This Row],[DET]] &gt; 50), AND(Tabelle1214[[#This Row],[FTR/RET]]&lt;=5, Tabelle1214[[#This Row],[FTR/RET]]&gt;=2, Tabelle1214[[#This Row],[DET]] &gt;= 20, Tabelle1214[[#This Row],[DET]] &lt;= 50), AND(Tabelle1214[[#This Row],[FTR/RET]] &gt;= 5, Tabelle1214[[#This Row],[DET]] &lt; 20)), 1, 0)</f>
        <v>0</v>
      </c>
      <c r="F114">
        <f>IF(AND(Tabelle1214[[#This Row],[Simple]]=0,Tabelle1214[[#This Row],[Average]]=0), 1, 0)</f>
        <v>0</v>
      </c>
      <c r="G114">
        <v>0</v>
      </c>
      <c r="H114">
        <v>0</v>
      </c>
      <c r="I114">
        <f>Tabelle1214[[#This Row],[Count]]*(7*Tabelle1214[[#This Row],[Simple]]+10*Tabelle1214[[#This Row],[Average]]+15*Tabelle1214[[#This Row],[Complex]])</f>
        <v>7</v>
      </c>
      <c r="J114" t="s">
        <v>56</v>
      </c>
    </row>
    <row r="115" spans="2:11" x14ac:dyDescent="0.25">
      <c r="B115" t="s">
        <v>16</v>
      </c>
      <c r="C115">
        <v>0</v>
      </c>
      <c r="D115">
        <f>IF(OR(AND(Tabelle1214[[#This Row],[FTR/RET]]&lt;2, Tabelle1214[[#This Row],[DET]] &lt;= 50), AND(Tabelle1214[[#This Row],[FTR/RET]]&lt;=5, Tabelle1214[[#This Row],[DET]] &lt; 20)), 1, 0)</f>
        <v>1</v>
      </c>
      <c r="E115">
        <f>IF(OR(AND(Tabelle1214[[#This Row],[FTR/RET]]=1, Tabelle1214[[#This Row],[DET]] &gt; 50), AND(Tabelle1214[[#This Row],[FTR/RET]]&lt;=5, Tabelle1214[[#This Row],[FTR/RET]]&gt;=2, Tabelle1214[[#This Row],[DET]] &gt;= 20, Tabelle1214[[#This Row],[DET]] &lt;= 50), AND(Tabelle1214[[#This Row],[FTR/RET]] &gt;= 5, Tabelle1214[[#This Row],[DET]] &lt; 20)), 1, 0)</f>
        <v>0</v>
      </c>
      <c r="F115">
        <f>IF(AND(Tabelle1214[[#This Row],[Simple]]=0,Tabelle1214[[#This Row],[Average]]=0), 1, 0)</f>
        <v>0</v>
      </c>
      <c r="G115">
        <v>0</v>
      </c>
      <c r="H115">
        <v>0</v>
      </c>
      <c r="I115">
        <f>Tabelle1214[[#This Row],[Count]]*(5*Tabelle1214[[#This Row],[Simple]]+7*Tabelle1214[[#This Row],[Average]]+10*Tabelle1214[[#This Row],[Complex]])</f>
        <v>0</v>
      </c>
    </row>
    <row r="118" spans="2:11" x14ac:dyDescent="0.25">
      <c r="B118" t="s">
        <v>44</v>
      </c>
      <c r="C118" t="s">
        <v>10</v>
      </c>
      <c r="D118" t="s">
        <v>7</v>
      </c>
      <c r="E118" t="s">
        <v>8</v>
      </c>
      <c r="F118" t="s">
        <v>9</v>
      </c>
      <c r="G118" t="s">
        <v>23</v>
      </c>
      <c r="H118" t="s">
        <v>17</v>
      </c>
      <c r="I118" t="s">
        <v>24</v>
      </c>
      <c r="J118" t="s">
        <v>11</v>
      </c>
      <c r="K118" t="s">
        <v>18</v>
      </c>
    </row>
    <row r="119" spans="2:11" x14ac:dyDescent="0.25">
      <c r="B119" t="s">
        <v>12</v>
      </c>
      <c r="C119">
        <v>5</v>
      </c>
      <c r="D119">
        <f>IF(OR(AND(Tabelle121415[[#This Row],[FTR/RET]]&lt;=1, Tabelle121415[[#This Row],[DET]] &lt;= 15), AND(Tabelle121415[[#This Row],[FTR/RET]]&lt;= 3, Tabelle121415[[#This Row],[DET]] &lt;= 4)), 1, 0)</f>
        <v>0</v>
      </c>
      <c r="E119">
        <f>IF(OR(AND(Tabelle121415[[#This Row],[FTR/RET]]&lt;=1, Tabelle121415[[#This Row],[DET]] &gt; 15), AND(Tabelle121415[[#This Row],[FTR/RET]]&lt;=5, Tabelle121415[[#This Row],[FTR/RET]]&gt;=2, Tabelle121415[[#This Row],[DET]] &gt;= 5, Tabelle121415[[#This Row],[DET]] &lt;= 15), AND(Tabelle121415[[#This Row],[FTR/RET]] &gt;= 5, Tabelle121415[[#This Row],[DET]] &lt;= 4 )), 1, 0)</f>
        <v>1</v>
      </c>
      <c r="F119">
        <f>IF(AND(Tabelle121415[[#This Row],[Simple]]=0,Tabelle121415[[#This Row],[Average]]=0), 1, 0)</f>
        <v>0</v>
      </c>
      <c r="G119">
        <v>2</v>
      </c>
      <c r="H119">
        <v>5</v>
      </c>
      <c r="I119">
        <f>Tabelle121415[[#This Row],[Count]]*(3*Tabelle121415[[#This Row],[Simple]]+4*Tabelle121415[[#This Row],[Average]]+6*Tabelle121415[[#This Row],[Complex]])</f>
        <v>20</v>
      </c>
      <c r="K119">
        <f>SUM(Tabelle121415[Points])*0.65</f>
        <v>28.6</v>
      </c>
    </row>
    <row r="120" spans="2:11" x14ac:dyDescent="0.25">
      <c r="B120" t="s">
        <v>13</v>
      </c>
      <c r="C120">
        <v>1</v>
      </c>
      <c r="D120">
        <f>IF(OR(AND(Tabelle121415[[#This Row],[FTR/RET]]&lt;=1, Tabelle121415[[#This Row],[DET]] &lt;= 19), AND(Tabelle121415[[#This Row],[FTR/RET]]&lt;= 3, Tabelle121415[[#This Row],[DET]] &lt;= 5)), 1, 0)</f>
        <v>1</v>
      </c>
      <c r="E120">
        <f>IF(OR(AND(Tabelle121415[[#This Row],[FTR/RET]]&lt;=1, Tabelle121415[[#This Row],[DET]] &gt; 20), AND(Tabelle121415[[#This Row],[FTR/RET]]&lt;=5, Tabelle121415[[#This Row],[FTR/RET]]&gt;=2, Tabelle121415[[#This Row],[DET]] &gt;= 6, Tabelle121415[[#This Row],[DET]] &lt;= 19), AND(Tabelle121415[[#This Row],[FTR/RET]] &gt;= 5, Tabelle121415[[#This Row],[DET]] &lt;= 5 )), 1, 0)</f>
        <v>0</v>
      </c>
      <c r="F120">
        <f>IF(AND(Tabelle121415[[#This Row],[Simple]]=0,Tabelle121415[[#This Row],[Average]]=0), 1, 0)</f>
        <v>0</v>
      </c>
      <c r="G120">
        <v>1</v>
      </c>
      <c r="H120">
        <v>1</v>
      </c>
      <c r="I120">
        <f>Tabelle121415[[#This Row],[Count]]*(Tabelle121415[[#This Row],[Simple]]*4+Tabelle121415[[#This Row],[Average]]*5+Tabelle121415[[#This Row],[Complex]]*7)</f>
        <v>4</v>
      </c>
    </row>
    <row r="121" spans="2:11" x14ac:dyDescent="0.25">
      <c r="B121" t="s">
        <v>14</v>
      </c>
      <c r="C121">
        <v>2</v>
      </c>
      <c r="D121">
        <f>IF(OR(AND(Tabelle121415[[#This Row],[FTR/RET]]&lt;=1, Tabelle121415[[#This Row],[DET]] &lt;= 19), AND(Tabelle121415[[#This Row],[FTR/RET]]&lt;= 3, Tabelle121415[[#This Row],[DET]] &lt;= 5)), 1, 0)</f>
        <v>1</v>
      </c>
      <c r="E121">
        <f>IF(OR(AND(Tabelle121415[[#This Row],[FTR/RET]]&lt;=1, Tabelle121415[[#This Row],[DET]] &gt; 20), AND(Tabelle121415[[#This Row],[FTR/RET]]&lt;=5, Tabelle121415[[#This Row],[FTR/RET]]&gt;=2, Tabelle121415[[#This Row],[DET]] &gt;= 6, Tabelle121415[[#This Row],[DET]] &lt;= 19), AND(Tabelle121415[[#This Row],[FTR/RET]] &gt;= 5, Tabelle121415[[#This Row],[DET]] &lt;= 5 )), 1, 0)</f>
        <v>0</v>
      </c>
      <c r="F121">
        <f>IF(AND(Tabelle121415[[#This Row],[Simple]]=0,Tabelle121415[[#This Row],[Average]]=0), 1, 0)</f>
        <v>0</v>
      </c>
      <c r="G121">
        <v>1</v>
      </c>
      <c r="H121">
        <v>1</v>
      </c>
      <c r="I121">
        <f>Tabelle121415[[#This Row],[Count]]*(3*Tabelle121415[[#This Row],[Simple]]+4*Tabelle121415[[#This Row],[Average]]+6*Tabelle121415[[#This Row],[Complex]])</f>
        <v>6</v>
      </c>
    </row>
    <row r="122" spans="2:11" x14ac:dyDescent="0.25">
      <c r="B122" t="s">
        <v>15</v>
      </c>
      <c r="C122">
        <v>2</v>
      </c>
      <c r="D122">
        <f>IF(OR(AND(Tabelle121415[[#This Row],[FTR/RET]]&lt;2, Tabelle121415[[#This Row],[DET]] &lt;= 50), AND(Tabelle121415[[#This Row],[FTR/RET]]&lt;=5, Tabelle121415[[#This Row],[DET]] &lt; 20)), 1, 0)</f>
        <v>1</v>
      </c>
      <c r="E122">
        <f>IF(OR(AND(Tabelle121415[[#This Row],[FTR/RET]]=1, Tabelle121415[[#This Row],[DET]] &gt; 50), AND(Tabelle121415[[#This Row],[FTR/RET]]&lt;=5, Tabelle121415[[#This Row],[FTR/RET]]&gt;=2, Tabelle121415[[#This Row],[DET]] &gt;= 20, Tabelle121415[[#This Row],[DET]] &lt;= 50), AND(Tabelle121415[[#This Row],[FTR/RET]] &gt;= 5, Tabelle121415[[#This Row],[DET]] &lt; 20)), 1, 0)</f>
        <v>0</v>
      </c>
      <c r="F122">
        <f>IF(AND(Tabelle121415[[#This Row],[Simple]]=0,Tabelle121415[[#This Row],[Average]]=0), 1, 0)</f>
        <v>0</v>
      </c>
      <c r="G122">
        <v>3</v>
      </c>
      <c r="H122">
        <v>1</v>
      </c>
      <c r="I122">
        <f>Tabelle121415[[#This Row],[Count]]*(7*Tabelle121415[[#This Row],[Simple]]+10*Tabelle121415[[#This Row],[Average]]+15*Tabelle121415[[#This Row],[Complex]])</f>
        <v>14</v>
      </c>
    </row>
    <row r="123" spans="2:11" x14ac:dyDescent="0.25">
      <c r="B123" t="s">
        <v>16</v>
      </c>
      <c r="C123">
        <v>0</v>
      </c>
      <c r="D123">
        <f>IF(OR(AND(Tabelle121415[[#This Row],[FTR/RET]]&lt;2, Tabelle121415[[#This Row],[DET]] &lt;= 50), AND(Tabelle121415[[#This Row],[FTR/RET]]&lt;=5, Tabelle121415[[#This Row],[DET]] &lt; 20)), 1, 0)</f>
        <v>1</v>
      </c>
      <c r="E123">
        <f>IF(OR(AND(Tabelle121415[[#This Row],[FTR/RET]]=1, Tabelle121415[[#This Row],[DET]] &gt; 50), AND(Tabelle121415[[#This Row],[FTR/RET]]&lt;=5, Tabelle121415[[#This Row],[FTR/RET]]&gt;=2, Tabelle121415[[#This Row],[DET]] &gt;= 20, Tabelle121415[[#This Row],[DET]] &lt;= 50), AND(Tabelle121415[[#This Row],[FTR/RET]] &gt;= 5, Tabelle121415[[#This Row],[DET]] &lt; 20)), 1, 0)</f>
        <v>0</v>
      </c>
      <c r="F123">
        <f>IF(AND(Tabelle121415[[#This Row],[Simple]]=0,Tabelle121415[[#This Row],[Average]]=0), 1, 0)</f>
        <v>0</v>
      </c>
      <c r="G123">
        <v>0</v>
      </c>
      <c r="H123">
        <v>0</v>
      </c>
      <c r="I123">
        <f>Tabelle121415[[#This Row],[Count]]*(5*Tabelle121415[[#This Row],[Simple]]+7*Tabelle121415[[#This Row],[Average]]+10*Tabelle121415[[#This Row],[Complex]])</f>
        <v>0</v>
      </c>
    </row>
    <row r="126" spans="2:11" x14ac:dyDescent="0.25">
      <c r="B126" t="s">
        <v>45</v>
      </c>
      <c r="C126" t="s">
        <v>10</v>
      </c>
      <c r="D126" t="s">
        <v>7</v>
      </c>
      <c r="E126" t="s">
        <v>8</v>
      </c>
      <c r="F126" t="s">
        <v>9</v>
      </c>
      <c r="G126" t="s">
        <v>23</v>
      </c>
      <c r="H126" t="s">
        <v>17</v>
      </c>
      <c r="I126" t="s">
        <v>24</v>
      </c>
      <c r="J126" t="s">
        <v>11</v>
      </c>
      <c r="K126" t="s">
        <v>18</v>
      </c>
    </row>
    <row r="127" spans="2:11" x14ac:dyDescent="0.25">
      <c r="B127" t="s">
        <v>12</v>
      </c>
      <c r="C127">
        <v>5</v>
      </c>
      <c r="D127">
        <f>IF(OR(AND(Tabelle12141524[[#This Row],[FTR/RET]]&lt;=1, Tabelle12141524[[#This Row],[DET]] &lt;= 15), AND(Tabelle12141524[[#This Row],[FTR/RET]]&lt;= 3, Tabelle12141524[[#This Row],[DET]] &lt;= 4)), 1, 0)</f>
        <v>0</v>
      </c>
      <c r="E127">
        <f>IF(OR(AND(Tabelle12141524[[#This Row],[FTR/RET]]&lt;=1, Tabelle12141524[[#This Row],[DET]] &gt; 15), AND(Tabelle12141524[[#This Row],[FTR/RET]]&lt;=5, Tabelle12141524[[#This Row],[FTR/RET]]&gt;=2, Tabelle12141524[[#This Row],[DET]] &gt;= 5, Tabelle12141524[[#This Row],[DET]] &lt;= 15), AND(Tabelle12141524[[#This Row],[FTR/RET]] &gt;= 5, Tabelle12141524[[#This Row],[DET]] &lt;= 4 )), 1, 0)</f>
        <v>1</v>
      </c>
      <c r="F127">
        <f>IF(AND(Tabelle12141524[[#This Row],[Simple]]=0,Tabelle12141524[[#This Row],[Average]]=0), 1, 0)</f>
        <v>0</v>
      </c>
      <c r="G127">
        <v>2</v>
      </c>
      <c r="H127">
        <v>5</v>
      </c>
      <c r="I127">
        <f>Tabelle12141524[[#This Row],[Count]]*(3*Tabelle12141524[[#This Row],[Simple]]+4*Tabelle12141524[[#This Row],[Average]]+6*Tabelle12141524[[#This Row],[Complex]])</f>
        <v>20</v>
      </c>
      <c r="K127">
        <f>SUM(Tabelle12141524[Points])*0.65</f>
        <v>28.6</v>
      </c>
    </row>
    <row r="128" spans="2:11" x14ac:dyDescent="0.25">
      <c r="B128" t="s">
        <v>13</v>
      </c>
      <c r="C128">
        <v>1</v>
      </c>
      <c r="D128">
        <f>IF(OR(AND(Tabelle12141524[[#This Row],[FTR/RET]]&lt;=1, Tabelle12141524[[#This Row],[DET]] &lt;= 19), AND(Tabelle12141524[[#This Row],[FTR/RET]]&lt;= 3, Tabelle12141524[[#This Row],[DET]] &lt;= 5)), 1, 0)</f>
        <v>1</v>
      </c>
      <c r="E128">
        <f>IF(OR(AND(Tabelle12141524[[#This Row],[FTR/RET]]&lt;=1, Tabelle12141524[[#This Row],[DET]] &gt; 20), AND(Tabelle12141524[[#This Row],[FTR/RET]]&lt;=5, Tabelle12141524[[#This Row],[FTR/RET]]&gt;=2, Tabelle12141524[[#This Row],[DET]] &gt;= 6, Tabelle12141524[[#This Row],[DET]] &lt;= 19), AND(Tabelle12141524[[#This Row],[FTR/RET]] &gt;= 5, Tabelle12141524[[#This Row],[DET]] &lt;= 5 )), 1, 0)</f>
        <v>0</v>
      </c>
      <c r="F128">
        <f>IF(AND(Tabelle12141524[[#This Row],[Simple]]=0,Tabelle12141524[[#This Row],[Average]]=0), 1, 0)</f>
        <v>0</v>
      </c>
      <c r="G128">
        <v>1</v>
      </c>
      <c r="H128">
        <v>1</v>
      </c>
      <c r="I128">
        <f>Tabelle12141524[[#This Row],[Count]]*(Tabelle12141524[[#This Row],[Simple]]*4+Tabelle12141524[[#This Row],[Average]]*5+Tabelle12141524[[#This Row],[Complex]]*7)</f>
        <v>4</v>
      </c>
    </row>
    <row r="129" spans="2:11" x14ac:dyDescent="0.25">
      <c r="B129" t="s">
        <v>14</v>
      </c>
      <c r="C129">
        <v>2</v>
      </c>
      <c r="D129">
        <f>IF(OR(AND(Tabelle12141524[[#This Row],[FTR/RET]]&lt;=1, Tabelle12141524[[#This Row],[DET]] &lt;= 19), AND(Tabelle12141524[[#This Row],[FTR/RET]]&lt;= 3, Tabelle12141524[[#This Row],[DET]] &lt;= 5)), 1, 0)</f>
        <v>1</v>
      </c>
      <c r="E129">
        <f>IF(OR(AND(Tabelle12141524[[#This Row],[FTR/RET]]&lt;=1, Tabelle12141524[[#This Row],[DET]] &gt; 20), AND(Tabelle12141524[[#This Row],[FTR/RET]]&lt;=5, Tabelle12141524[[#This Row],[FTR/RET]]&gt;=2, Tabelle12141524[[#This Row],[DET]] &gt;= 6, Tabelle12141524[[#This Row],[DET]] &lt;= 19), AND(Tabelle12141524[[#This Row],[FTR/RET]] &gt;= 5, Tabelle12141524[[#This Row],[DET]] &lt;= 5 )), 1, 0)</f>
        <v>0</v>
      </c>
      <c r="F129">
        <f>IF(AND(Tabelle12141524[[#This Row],[Simple]]=0,Tabelle12141524[[#This Row],[Average]]=0), 1, 0)</f>
        <v>0</v>
      </c>
      <c r="G129">
        <v>1</v>
      </c>
      <c r="H129">
        <v>1</v>
      </c>
      <c r="I129">
        <f>Tabelle12141524[[#This Row],[Count]]*(3*Tabelle12141524[[#This Row],[Simple]]+4*Tabelle12141524[[#This Row],[Average]]+6*Tabelle12141524[[#This Row],[Complex]])</f>
        <v>6</v>
      </c>
    </row>
    <row r="130" spans="2:11" x14ac:dyDescent="0.25">
      <c r="B130" t="s">
        <v>15</v>
      </c>
      <c r="C130">
        <v>2</v>
      </c>
      <c r="D130">
        <f>IF(OR(AND(Tabelle12141524[[#This Row],[FTR/RET]]&lt;2, Tabelle12141524[[#This Row],[DET]] &lt;= 50), AND(Tabelle12141524[[#This Row],[FTR/RET]]&lt;=5, Tabelle12141524[[#This Row],[DET]] &lt; 20)), 1, 0)</f>
        <v>1</v>
      </c>
      <c r="E130">
        <f>IF(OR(AND(Tabelle12141524[[#This Row],[FTR/RET]]=1, Tabelle12141524[[#This Row],[DET]] &gt; 50), AND(Tabelle12141524[[#This Row],[FTR/RET]]&lt;=5, Tabelle12141524[[#This Row],[FTR/RET]]&gt;=2, Tabelle12141524[[#This Row],[DET]] &gt;= 20, Tabelle12141524[[#This Row],[DET]] &lt;= 50), AND(Tabelle12141524[[#This Row],[FTR/RET]] &gt;= 5, Tabelle12141524[[#This Row],[DET]] &lt; 20)), 1, 0)</f>
        <v>0</v>
      </c>
      <c r="F130">
        <f>IF(AND(Tabelle12141524[[#This Row],[Simple]]=0,Tabelle12141524[[#This Row],[Average]]=0), 1, 0)</f>
        <v>0</v>
      </c>
      <c r="G130">
        <v>3</v>
      </c>
      <c r="H130">
        <v>1</v>
      </c>
      <c r="I130">
        <f>Tabelle12141524[[#This Row],[Count]]*(7*Tabelle12141524[[#This Row],[Simple]]+10*Tabelle12141524[[#This Row],[Average]]+15*Tabelle12141524[[#This Row],[Complex]])</f>
        <v>14</v>
      </c>
    </row>
    <row r="131" spans="2:11" x14ac:dyDescent="0.25">
      <c r="B131" t="s">
        <v>16</v>
      </c>
      <c r="C131">
        <v>0</v>
      </c>
      <c r="D131">
        <f>IF(OR(AND(Tabelle12141524[[#This Row],[FTR/RET]]&lt;2, Tabelle12141524[[#This Row],[DET]] &lt;= 50), AND(Tabelle12141524[[#This Row],[FTR/RET]]&lt;=5, Tabelle12141524[[#This Row],[DET]] &lt; 20)), 1, 0)</f>
        <v>1</v>
      </c>
      <c r="E131">
        <f>IF(OR(AND(Tabelle12141524[[#This Row],[FTR/RET]]=1, Tabelle12141524[[#This Row],[DET]] &gt; 50), AND(Tabelle12141524[[#This Row],[FTR/RET]]&lt;=5, Tabelle12141524[[#This Row],[FTR/RET]]&gt;=2, Tabelle12141524[[#This Row],[DET]] &gt;= 20, Tabelle12141524[[#This Row],[DET]] &lt;= 50), AND(Tabelle12141524[[#This Row],[FTR/RET]] &gt;= 5, Tabelle12141524[[#This Row],[DET]] &lt; 20)), 1, 0)</f>
        <v>0</v>
      </c>
      <c r="F131">
        <f>IF(AND(Tabelle12141524[[#This Row],[Simple]]=0,Tabelle12141524[[#This Row],[Average]]=0), 1, 0)</f>
        <v>0</v>
      </c>
      <c r="G131">
        <v>0</v>
      </c>
      <c r="H131">
        <v>0</v>
      </c>
      <c r="I131">
        <f>Tabelle12141524[[#This Row],[Count]]*(5*Tabelle12141524[[#This Row],[Simple]]+7*Tabelle12141524[[#This Row],[Average]]+10*Tabelle12141524[[#This Row],[Complex]])</f>
        <v>0</v>
      </c>
    </row>
    <row r="134" spans="2:11" x14ac:dyDescent="0.25">
      <c r="B134" t="s">
        <v>46</v>
      </c>
      <c r="C134" t="s">
        <v>10</v>
      </c>
      <c r="D134" t="s">
        <v>7</v>
      </c>
      <c r="E134" t="s">
        <v>8</v>
      </c>
      <c r="F134" t="s">
        <v>9</v>
      </c>
      <c r="G134" t="s">
        <v>23</v>
      </c>
      <c r="H134" t="s">
        <v>17</v>
      </c>
      <c r="I134" t="s">
        <v>24</v>
      </c>
      <c r="J134" t="s">
        <v>11</v>
      </c>
      <c r="K134" t="s">
        <v>18</v>
      </c>
    </row>
    <row r="135" spans="2:11" x14ac:dyDescent="0.25">
      <c r="B135" t="s">
        <v>12</v>
      </c>
      <c r="C135">
        <v>2</v>
      </c>
      <c r="D135">
        <f>IF(OR(AND(Tabelle12141518[[#This Row],[FTR/RET]]&lt;=1, Tabelle12141518[[#This Row],[DET]] &lt;= 15), AND(Tabelle12141518[[#This Row],[FTR/RET]]&lt;= 3, Tabelle12141518[[#This Row],[DET]] &lt;= 4)), 1, 0)</f>
        <v>1</v>
      </c>
      <c r="E135">
        <f>IF(OR(AND(Tabelle12141518[[#This Row],[FTR/RET]]&lt;=1, Tabelle12141518[[#This Row],[DET]] &gt; 15), AND(Tabelle12141518[[#This Row],[FTR/RET]]&lt;=5, Tabelle12141518[[#This Row],[FTR/RET]]&gt;=2, Tabelle12141518[[#This Row],[DET]] &gt;= 5, Tabelle12141518[[#This Row],[DET]] &lt;= 15), AND(Tabelle12141518[[#This Row],[FTR/RET]] &gt;= 5, Tabelle12141518[[#This Row],[DET]] &lt;= 4 )), 1, 0)</f>
        <v>0</v>
      </c>
      <c r="F135">
        <f>IF(AND(Tabelle12141518[[#This Row],[Simple]]=0,Tabelle12141518[[#This Row],[Average]]=0), 1, 0)</f>
        <v>0</v>
      </c>
      <c r="G135">
        <v>1</v>
      </c>
      <c r="H135">
        <v>2</v>
      </c>
      <c r="I135">
        <f>Tabelle12141518[[#This Row],[Count]]*(3*Tabelle12141518[[#This Row],[Simple]]+4*Tabelle12141518[[#This Row],[Average]]+6*Tabelle12141518[[#This Row],[Complex]])</f>
        <v>6</v>
      </c>
      <c r="K135">
        <f>SUM(Tabelle12141518[Points])*0.65</f>
        <v>17.55</v>
      </c>
    </row>
    <row r="136" spans="2:11" x14ac:dyDescent="0.25">
      <c r="B136" t="s">
        <v>13</v>
      </c>
      <c r="C136">
        <v>1</v>
      </c>
      <c r="D136">
        <f>IF(OR(AND(Tabelle12141518[[#This Row],[FTR/RET]]&lt;=1, Tabelle12141518[[#This Row],[DET]] &lt;= 19), AND(Tabelle12141518[[#This Row],[FTR/RET]]&lt;= 3, Tabelle12141518[[#This Row],[DET]] &lt;= 5)), 1, 0)</f>
        <v>1</v>
      </c>
      <c r="E136">
        <f>IF(OR(AND(Tabelle12141518[[#This Row],[FTR/RET]]&lt;=1, Tabelle12141518[[#This Row],[DET]] &gt; 20), AND(Tabelle12141518[[#This Row],[FTR/RET]]&lt;=5, Tabelle12141518[[#This Row],[FTR/RET]]&gt;=2, Tabelle12141518[[#This Row],[DET]] &gt;= 6, Tabelle12141518[[#This Row],[DET]] &lt;= 19), AND(Tabelle12141518[[#This Row],[FTR/RET]] &gt;= 5, Tabelle12141518[[#This Row],[DET]] &lt;= 5 )), 1, 0)</f>
        <v>0</v>
      </c>
      <c r="F136">
        <f>IF(AND(Tabelle12141518[[#This Row],[Simple]]=0,Tabelle12141518[[#This Row],[Average]]=0), 1, 0)</f>
        <v>0</v>
      </c>
      <c r="G136">
        <v>1</v>
      </c>
      <c r="H136">
        <v>1</v>
      </c>
      <c r="I136">
        <f>Tabelle12141518[[#This Row],[Count]]*(Tabelle12141518[[#This Row],[Simple]]*4+Tabelle12141518[[#This Row],[Average]]*5+Tabelle12141518[[#This Row],[Complex]]*7)</f>
        <v>4</v>
      </c>
    </row>
    <row r="137" spans="2:11" x14ac:dyDescent="0.25">
      <c r="B137" t="s">
        <v>14</v>
      </c>
      <c r="C137">
        <v>1</v>
      </c>
      <c r="D137">
        <f>IF(OR(AND(Tabelle12141518[[#This Row],[FTR/RET]]&lt;=1, Tabelle12141518[[#This Row],[DET]] &lt;= 19), AND(Tabelle12141518[[#This Row],[FTR/RET]]&lt;= 3, Tabelle12141518[[#This Row],[DET]] &lt;= 5)), 1, 0)</f>
        <v>1</v>
      </c>
      <c r="E137">
        <f>IF(OR(AND(Tabelle12141518[[#This Row],[FTR/RET]]&lt;=1, Tabelle12141518[[#This Row],[DET]] &gt; 20), AND(Tabelle12141518[[#This Row],[FTR/RET]]&lt;=5, Tabelle12141518[[#This Row],[FTR/RET]]&gt;=2, Tabelle12141518[[#This Row],[DET]] &gt;= 6, Tabelle12141518[[#This Row],[DET]] &lt;= 19), AND(Tabelle12141518[[#This Row],[FTR/RET]] &gt;= 5, Tabelle12141518[[#This Row],[DET]] &lt;= 5 )), 1, 0)</f>
        <v>0</v>
      </c>
      <c r="F137">
        <f>IF(AND(Tabelle12141518[[#This Row],[Simple]]=0,Tabelle12141518[[#This Row],[Average]]=0), 1, 0)</f>
        <v>0</v>
      </c>
      <c r="G137">
        <v>2</v>
      </c>
      <c r="H137">
        <v>0</v>
      </c>
      <c r="I137">
        <f>Tabelle12141518[[#This Row],[Count]]*(3*Tabelle12141518[[#This Row],[Simple]]+4*Tabelle12141518[[#This Row],[Average]]+6*Tabelle12141518[[#This Row],[Complex]])</f>
        <v>3</v>
      </c>
    </row>
    <row r="138" spans="2:11" x14ac:dyDescent="0.25">
      <c r="B138" t="s">
        <v>15</v>
      </c>
      <c r="C138">
        <v>2</v>
      </c>
      <c r="D138">
        <f>IF(OR(AND(Tabelle12141518[[#This Row],[FTR/RET]]&lt;2, Tabelle12141518[[#This Row],[DET]] &lt;= 50), AND(Tabelle12141518[[#This Row],[FTR/RET]]&lt;=5, Tabelle12141518[[#This Row],[DET]] &lt; 20)), 1, 0)</f>
        <v>1</v>
      </c>
      <c r="E138">
        <f>IF(OR(AND(Tabelle12141518[[#This Row],[FTR/RET]]=1, Tabelle12141518[[#This Row],[DET]] &gt; 50), AND(Tabelle12141518[[#This Row],[FTR/RET]]&lt;=5, Tabelle12141518[[#This Row],[FTR/RET]]&gt;=2, Tabelle12141518[[#This Row],[DET]] &gt;= 20, Tabelle12141518[[#This Row],[DET]] &lt;= 50), AND(Tabelle12141518[[#This Row],[FTR/RET]] &gt;= 5, Tabelle12141518[[#This Row],[DET]] &lt; 20)), 1, 0)</f>
        <v>0</v>
      </c>
      <c r="F138">
        <f>IF(AND(Tabelle12141518[[#This Row],[Simple]]=0,Tabelle12141518[[#This Row],[Average]]=0), 1, 0)</f>
        <v>0</v>
      </c>
      <c r="G138">
        <v>4</v>
      </c>
      <c r="H138">
        <v>0</v>
      </c>
      <c r="I138">
        <f>Tabelle12141518[[#This Row],[Count]]*(7*Tabelle12141518[[#This Row],[Simple]]+10*Tabelle12141518[[#This Row],[Average]]+15*Tabelle12141518[[#This Row],[Complex]])</f>
        <v>14</v>
      </c>
    </row>
    <row r="139" spans="2:11" x14ac:dyDescent="0.25">
      <c r="B139" t="s">
        <v>16</v>
      </c>
      <c r="C139">
        <v>0</v>
      </c>
      <c r="D139">
        <f>IF(OR(AND(Tabelle12141518[[#This Row],[FTR/RET]]&lt;2, Tabelle12141518[[#This Row],[DET]] &lt;= 50), AND(Tabelle12141518[[#This Row],[FTR/RET]]&lt;=5, Tabelle12141518[[#This Row],[DET]] &lt; 20)), 1, 0)</f>
        <v>1</v>
      </c>
      <c r="E139">
        <f>IF(OR(AND(Tabelle12141518[[#This Row],[FTR/RET]]=1, Tabelle12141518[[#This Row],[DET]] &gt; 50), AND(Tabelle12141518[[#This Row],[FTR/RET]]&lt;=5, Tabelle12141518[[#This Row],[FTR/RET]]&gt;=2, Tabelle12141518[[#This Row],[DET]] &gt;= 20, Tabelle12141518[[#This Row],[DET]] &lt;= 50), AND(Tabelle12141518[[#This Row],[FTR/RET]] &gt;= 5, Tabelle12141518[[#This Row],[DET]] &lt; 20)), 1, 0)</f>
        <v>0</v>
      </c>
      <c r="F139">
        <f>IF(AND(Tabelle12141518[[#This Row],[Simple]]=0,Tabelle12141518[[#This Row],[Average]]=0), 1, 0)</f>
        <v>0</v>
      </c>
      <c r="G139">
        <v>0</v>
      </c>
      <c r="H139">
        <v>0</v>
      </c>
      <c r="I139">
        <f>Tabelle12141518[[#This Row],[Count]]*(5*Tabelle12141518[[#This Row],[Simple]]+7*Tabelle12141518[[#This Row],[Average]]+10*Tabelle12141518[[#This Row],[Complex]])</f>
        <v>0</v>
      </c>
    </row>
    <row r="142" spans="2:11" x14ac:dyDescent="0.25">
      <c r="B142" t="s">
        <v>47</v>
      </c>
      <c r="C142" t="s">
        <v>10</v>
      </c>
      <c r="D142" t="s">
        <v>7</v>
      </c>
      <c r="E142" t="s">
        <v>8</v>
      </c>
      <c r="F142" t="s">
        <v>9</v>
      </c>
      <c r="G142" t="s">
        <v>23</v>
      </c>
      <c r="H142" t="s">
        <v>17</v>
      </c>
      <c r="I142" t="s">
        <v>24</v>
      </c>
      <c r="J142" t="s">
        <v>11</v>
      </c>
      <c r="K142" t="s">
        <v>18</v>
      </c>
    </row>
    <row r="143" spans="2:11" x14ac:dyDescent="0.25">
      <c r="B143" t="s">
        <v>12</v>
      </c>
      <c r="C143">
        <v>1</v>
      </c>
      <c r="D143">
        <f>IF(OR(AND(Tabelle12141519[[#This Row],[FTR/RET]]&lt;=1, Tabelle12141519[[#This Row],[DET]] &lt;= 15), AND(Tabelle12141519[[#This Row],[FTR/RET]]&lt;= 3, Tabelle12141519[[#This Row],[DET]] &lt;= 4)), 1, 0)</f>
        <v>1</v>
      </c>
      <c r="E143">
        <f>IF(OR(AND(Tabelle12141519[[#This Row],[FTR/RET]]&lt;=1, Tabelle12141519[[#This Row],[DET]] &gt; 15), AND(Tabelle12141519[[#This Row],[FTR/RET]]&lt;=5, Tabelle12141519[[#This Row],[FTR/RET]]&gt;=2, Tabelle12141519[[#This Row],[DET]] &gt;= 5, Tabelle12141519[[#This Row],[DET]] &lt;= 15), AND(Tabelle12141519[[#This Row],[FTR/RET]] &gt;= 5, Tabelle12141519[[#This Row],[DET]] &lt;= 4 )), 1, 0)</f>
        <v>0</v>
      </c>
      <c r="F143">
        <f>IF(AND(Tabelle12141519[[#This Row],[Simple]]=0,Tabelle12141519[[#This Row],[Average]]=0), 1, 0)</f>
        <v>0</v>
      </c>
      <c r="G143">
        <v>1</v>
      </c>
      <c r="H143">
        <v>1</v>
      </c>
      <c r="I143">
        <f>Tabelle12141519[[#This Row],[Count]]*(3*Tabelle12141519[[#This Row],[Simple]]+4*Tabelle12141519[[#This Row],[Average]]+6*Tabelle12141519[[#This Row],[Complex]])</f>
        <v>3</v>
      </c>
      <c r="K143">
        <f>SUM(Tabelle12141519[Points])*0.65</f>
        <v>11.05</v>
      </c>
    </row>
    <row r="144" spans="2:11" x14ac:dyDescent="0.25">
      <c r="B144" t="s">
        <v>13</v>
      </c>
      <c r="C144">
        <v>1</v>
      </c>
      <c r="D144">
        <f>IF(OR(AND(Tabelle12141519[[#This Row],[FTR/RET]]&lt;=1, Tabelle12141519[[#This Row],[DET]] &lt;= 19), AND(Tabelle12141519[[#This Row],[FTR/RET]]&lt;= 3, Tabelle12141519[[#This Row],[DET]] &lt;= 5)), 1, 0)</f>
        <v>1</v>
      </c>
      <c r="E144">
        <f>IF(OR(AND(Tabelle12141519[[#This Row],[FTR/RET]]&lt;=1, Tabelle12141519[[#This Row],[DET]] &gt; 20), AND(Tabelle12141519[[#This Row],[FTR/RET]]&lt;=5, Tabelle12141519[[#This Row],[FTR/RET]]&gt;=2, Tabelle12141519[[#This Row],[DET]] &gt;= 6, Tabelle12141519[[#This Row],[DET]] &lt;= 19), AND(Tabelle12141519[[#This Row],[FTR/RET]] &gt;= 5, Tabelle12141519[[#This Row],[DET]] &lt;= 5 )), 1, 0)</f>
        <v>0</v>
      </c>
      <c r="F144">
        <f>IF(AND(Tabelle12141519[[#This Row],[Simple]]=0,Tabelle12141519[[#This Row],[Average]]=0), 1, 0)</f>
        <v>0</v>
      </c>
      <c r="G144">
        <v>0</v>
      </c>
      <c r="H144">
        <v>0</v>
      </c>
      <c r="I144">
        <f>Tabelle12141519[[#This Row],[Count]]*(Tabelle12141519[[#This Row],[Simple]]*4+Tabelle12141519[[#This Row],[Average]]*5+Tabelle12141519[[#This Row],[Complex]]*7)</f>
        <v>4</v>
      </c>
    </row>
    <row r="145" spans="2:11" x14ac:dyDescent="0.25">
      <c r="B145" t="s">
        <v>14</v>
      </c>
      <c r="C145">
        <v>1</v>
      </c>
      <c r="D145">
        <f>IF(OR(AND(Tabelle12141519[[#This Row],[FTR/RET]]&lt;=1, Tabelle12141519[[#This Row],[DET]] &lt;= 19), AND(Tabelle12141519[[#This Row],[FTR/RET]]&lt;= 3, Tabelle12141519[[#This Row],[DET]] &lt;= 5)), 1, 0)</f>
        <v>1</v>
      </c>
      <c r="E145">
        <f>IF(OR(AND(Tabelle12141519[[#This Row],[FTR/RET]]&lt;=1, Tabelle12141519[[#This Row],[DET]] &gt; 20), AND(Tabelle12141519[[#This Row],[FTR/RET]]&lt;=5, Tabelle12141519[[#This Row],[FTR/RET]]&gt;=2, Tabelle12141519[[#This Row],[DET]] &gt;= 6, Tabelle12141519[[#This Row],[DET]] &lt;= 19), AND(Tabelle12141519[[#This Row],[FTR/RET]] &gt;= 5, Tabelle12141519[[#This Row],[DET]] &lt;= 5 )), 1, 0)</f>
        <v>0</v>
      </c>
      <c r="F145">
        <f>IF(AND(Tabelle12141519[[#This Row],[Simple]]=0,Tabelle12141519[[#This Row],[Average]]=0), 1, 0)</f>
        <v>0</v>
      </c>
      <c r="G145">
        <v>0</v>
      </c>
      <c r="H145">
        <v>0</v>
      </c>
      <c r="I145">
        <f>Tabelle12141519[[#This Row],[Count]]*(3*Tabelle12141519[[#This Row],[Simple]]+4*Tabelle12141519[[#This Row],[Average]]+6*Tabelle12141519[[#This Row],[Complex]])</f>
        <v>3</v>
      </c>
    </row>
    <row r="146" spans="2:11" x14ac:dyDescent="0.25">
      <c r="B146" t="s">
        <v>15</v>
      </c>
      <c r="C146">
        <v>1</v>
      </c>
      <c r="D146">
        <f>IF(OR(AND(Tabelle12141519[[#This Row],[FTR/RET]]&lt;2, Tabelle12141519[[#This Row],[DET]] &lt;= 50), AND(Tabelle12141519[[#This Row],[FTR/RET]]&lt;=5, Tabelle12141519[[#This Row],[DET]] &lt; 20)), 1, 0)</f>
        <v>1</v>
      </c>
      <c r="E146">
        <f>IF(OR(AND(Tabelle12141519[[#This Row],[FTR/RET]]=1, Tabelle12141519[[#This Row],[DET]] &gt; 50), AND(Tabelle12141519[[#This Row],[FTR/RET]]&lt;=5, Tabelle12141519[[#This Row],[FTR/RET]]&gt;=2, Tabelle12141519[[#This Row],[DET]] &gt;= 20, Tabelle12141519[[#This Row],[DET]] &lt;= 50), AND(Tabelle12141519[[#This Row],[FTR/RET]] &gt;= 5, Tabelle12141519[[#This Row],[DET]] &lt; 20)), 1, 0)</f>
        <v>0</v>
      </c>
      <c r="F146">
        <f>IF(AND(Tabelle12141519[[#This Row],[Simple]]=0,Tabelle12141519[[#This Row],[Average]]=0), 1, 0)</f>
        <v>0</v>
      </c>
      <c r="G146">
        <v>1</v>
      </c>
      <c r="H146">
        <v>0</v>
      </c>
      <c r="I146">
        <f>Tabelle12141519[[#This Row],[Count]]*(7*Tabelle12141519[[#This Row],[Simple]]+10*Tabelle12141519[[#This Row],[Average]]+15*Tabelle12141519[[#This Row],[Complex]])</f>
        <v>7</v>
      </c>
    </row>
    <row r="147" spans="2:11" x14ac:dyDescent="0.25">
      <c r="B147" t="s">
        <v>16</v>
      </c>
      <c r="C147">
        <v>0</v>
      </c>
      <c r="D147">
        <f>IF(OR(AND(Tabelle12141519[[#This Row],[FTR/RET]]&lt;2, Tabelle12141519[[#This Row],[DET]] &lt;= 50), AND(Tabelle12141519[[#This Row],[FTR/RET]]&lt;=5, Tabelle12141519[[#This Row],[DET]] &lt; 20)), 1, 0)</f>
        <v>1</v>
      </c>
      <c r="E147">
        <f>IF(OR(AND(Tabelle12141519[[#This Row],[FTR/RET]]=1, Tabelle12141519[[#This Row],[DET]] &gt; 50), AND(Tabelle12141519[[#This Row],[FTR/RET]]&lt;=5, Tabelle12141519[[#This Row],[FTR/RET]]&gt;=2, Tabelle12141519[[#This Row],[DET]] &gt;= 20, Tabelle12141519[[#This Row],[DET]] &lt;= 50), AND(Tabelle12141519[[#This Row],[FTR/RET]] &gt;= 5, Tabelle12141519[[#This Row],[DET]] &lt; 20)), 1, 0)</f>
        <v>0</v>
      </c>
      <c r="F147">
        <f>IF(AND(Tabelle12141519[[#This Row],[Simple]]=0,Tabelle12141519[[#This Row],[Average]]=0), 1, 0)</f>
        <v>0</v>
      </c>
      <c r="G147">
        <v>0</v>
      </c>
      <c r="H147">
        <v>0</v>
      </c>
      <c r="I147">
        <f>Tabelle12141519[[#This Row],[Count]]*(5*Tabelle12141519[[#This Row],[Simple]]+7*Tabelle12141519[[#This Row],[Average]]+10*Tabelle12141519[[#This Row],[Complex]])</f>
        <v>0</v>
      </c>
    </row>
    <row r="150" spans="2:11" x14ac:dyDescent="0.25">
      <c r="B150" t="s">
        <v>48</v>
      </c>
      <c r="C150" t="s">
        <v>10</v>
      </c>
      <c r="D150" t="s">
        <v>7</v>
      </c>
      <c r="E150" t="s">
        <v>8</v>
      </c>
      <c r="F150" t="s">
        <v>9</v>
      </c>
      <c r="G150" t="s">
        <v>23</v>
      </c>
      <c r="H150" t="s">
        <v>17</v>
      </c>
      <c r="I150" t="s">
        <v>24</v>
      </c>
      <c r="J150" t="s">
        <v>11</v>
      </c>
      <c r="K150" t="s">
        <v>18</v>
      </c>
    </row>
    <row r="151" spans="2:11" x14ac:dyDescent="0.25">
      <c r="B151" t="s">
        <v>12</v>
      </c>
      <c r="C151">
        <v>1</v>
      </c>
      <c r="D151">
        <f>IF(OR(AND(Tabelle12141520[[#This Row],[FTR/RET]]&lt;=1, Tabelle12141520[[#This Row],[DET]] &lt;= 15), AND(Tabelle12141520[[#This Row],[FTR/RET]]&lt;= 3, Tabelle12141520[[#This Row],[DET]] &lt;= 4)), 1, 0)</f>
        <v>1</v>
      </c>
      <c r="E151">
        <f>IF(OR(AND(Tabelle12141520[[#This Row],[FTR/RET]]&lt;=1, Tabelle12141520[[#This Row],[DET]] &gt; 15), AND(Tabelle12141520[[#This Row],[FTR/RET]]&lt;=5, Tabelle12141520[[#This Row],[FTR/RET]]&gt;=2, Tabelle12141520[[#This Row],[DET]] &gt;= 5, Tabelle12141520[[#This Row],[DET]] &lt;= 15), AND(Tabelle12141520[[#This Row],[FTR/RET]] &gt;= 5, Tabelle12141520[[#This Row],[DET]] &lt;= 4 )), 1, 0)</f>
        <v>0</v>
      </c>
      <c r="F151">
        <f>IF(AND(Tabelle12141520[[#This Row],[Simple]]=0,Tabelle12141520[[#This Row],[Average]]=0), 1, 0)</f>
        <v>0</v>
      </c>
      <c r="G151">
        <v>1</v>
      </c>
      <c r="H151">
        <v>1</v>
      </c>
      <c r="I151">
        <f>Tabelle12141520[[#This Row],[Count]]*(3*Tabelle12141520[[#This Row],[Simple]]+4*Tabelle12141520[[#This Row],[Average]]+6*Tabelle12141520[[#This Row],[Complex]])</f>
        <v>3</v>
      </c>
      <c r="K151">
        <f>SUM(Tabelle12141520[Points])*0.65</f>
        <v>11.05</v>
      </c>
    </row>
    <row r="152" spans="2:11" x14ac:dyDescent="0.25">
      <c r="B152" t="s">
        <v>13</v>
      </c>
      <c r="C152">
        <v>1</v>
      </c>
      <c r="D152">
        <f>IF(OR(AND(Tabelle12141520[[#This Row],[FTR/RET]]&lt;=1, Tabelle12141520[[#This Row],[DET]] &lt;= 19), AND(Tabelle12141520[[#This Row],[FTR/RET]]&lt;= 3, Tabelle12141520[[#This Row],[DET]] &lt;= 5)), 1, 0)</f>
        <v>1</v>
      </c>
      <c r="E152">
        <f>IF(OR(AND(Tabelle12141520[[#This Row],[FTR/RET]]&lt;=1, Tabelle12141520[[#This Row],[DET]] &gt; 20), AND(Tabelle12141520[[#This Row],[FTR/RET]]&lt;=5, Tabelle12141520[[#This Row],[FTR/RET]]&gt;=2, Tabelle12141520[[#This Row],[DET]] &gt;= 6, Tabelle12141520[[#This Row],[DET]] &lt;= 19), AND(Tabelle12141520[[#This Row],[FTR/RET]] &gt;= 5, Tabelle12141520[[#This Row],[DET]] &lt;= 5 )), 1, 0)</f>
        <v>0</v>
      </c>
      <c r="F152">
        <f>IF(AND(Tabelle12141520[[#This Row],[Simple]]=0,Tabelle12141520[[#This Row],[Average]]=0), 1, 0)</f>
        <v>0</v>
      </c>
      <c r="G152">
        <v>0</v>
      </c>
      <c r="H152">
        <v>0</v>
      </c>
      <c r="I152">
        <f>Tabelle12141520[[#This Row],[Count]]*(Tabelle12141520[[#This Row],[Simple]]*4+Tabelle12141520[[#This Row],[Average]]*5+Tabelle12141520[[#This Row],[Complex]]*7)</f>
        <v>4</v>
      </c>
    </row>
    <row r="153" spans="2:11" x14ac:dyDescent="0.25">
      <c r="B153" t="s">
        <v>14</v>
      </c>
      <c r="C153">
        <v>1</v>
      </c>
      <c r="D153">
        <f>IF(OR(AND(Tabelle12141520[[#This Row],[FTR/RET]]&lt;=1, Tabelle12141520[[#This Row],[DET]] &lt;= 19), AND(Tabelle12141520[[#This Row],[FTR/RET]]&lt;= 3, Tabelle12141520[[#This Row],[DET]] &lt;= 5)), 1, 0)</f>
        <v>1</v>
      </c>
      <c r="E153">
        <f>IF(OR(AND(Tabelle12141520[[#This Row],[FTR/RET]]&lt;=1, Tabelle12141520[[#This Row],[DET]] &gt; 20), AND(Tabelle12141520[[#This Row],[FTR/RET]]&lt;=5, Tabelle12141520[[#This Row],[FTR/RET]]&gt;=2, Tabelle12141520[[#This Row],[DET]] &gt;= 6, Tabelle12141520[[#This Row],[DET]] &lt;= 19), AND(Tabelle12141520[[#This Row],[FTR/RET]] &gt;= 5, Tabelle12141520[[#This Row],[DET]] &lt;= 5 )), 1, 0)</f>
        <v>0</v>
      </c>
      <c r="F153">
        <f>IF(AND(Tabelle12141520[[#This Row],[Simple]]=0,Tabelle12141520[[#This Row],[Average]]=0), 1, 0)</f>
        <v>0</v>
      </c>
      <c r="G153">
        <v>0</v>
      </c>
      <c r="H153">
        <v>0</v>
      </c>
      <c r="I153">
        <f>Tabelle12141520[[#This Row],[Count]]*(3*Tabelle12141520[[#This Row],[Simple]]+4*Tabelle12141520[[#This Row],[Average]]+6*Tabelle12141520[[#This Row],[Complex]])</f>
        <v>3</v>
      </c>
    </row>
    <row r="154" spans="2:11" x14ac:dyDescent="0.25">
      <c r="B154" t="s">
        <v>15</v>
      </c>
      <c r="C154">
        <v>1</v>
      </c>
      <c r="D154">
        <f>IF(OR(AND(Tabelle12141520[[#This Row],[FTR/RET]]&lt;2, Tabelle12141520[[#This Row],[DET]] &lt;= 50), AND(Tabelle12141520[[#This Row],[FTR/RET]]&lt;=5, Tabelle12141520[[#This Row],[DET]] &lt; 20)), 1, 0)</f>
        <v>1</v>
      </c>
      <c r="E154">
        <f>IF(OR(AND(Tabelle12141520[[#This Row],[FTR/RET]]=1, Tabelle12141520[[#This Row],[DET]] &gt; 50), AND(Tabelle12141520[[#This Row],[FTR/RET]]&lt;=5, Tabelle12141520[[#This Row],[FTR/RET]]&gt;=2, Tabelle12141520[[#This Row],[DET]] &gt;= 20, Tabelle12141520[[#This Row],[DET]] &lt;= 50), AND(Tabelle12141520[[#This Row],[FTR/RET]] &gt;= 5, Tabelle12141520[[#This Row],[DET]] &lt; 20)), 1, 0)</f>
        <v>0</v>
      </c>
      <c r="F154">
        <f>IF(AND(Tabelle12141520[[#This Row],[Simple]]=0,Tabelle12141520[[#This Row],[Average]]=0), 1, 0)</f>
        <v>0</v>
      </c>
      <c r="G154">
        <v>0</v>
      </c>
      <c r="H154">
        <v>0</v>
      </c>
      <c r="I154">
        <f>Tabelle12141520[[#This Row],[Count]]*(7*Tabelle12141520[[#This Row],[Simple]]+10*Tabelle12141520[[#This Row],[Average]]+15*Tabelle12141520[[#This Row],[Complex]])</f>
        <v>7</v>
      </c>
    </row>
    <row r="155" spans="2:11" x14ac:dyDescent="0.25">
      <c r="B155" t="s">
        <v>16</v>
      </c>
      <c r="C155">
        <v>0</v>
      </c>
      <c r="D155">
        <f>IF(OR(AND(Tabelle12141520[[#This Row],[FTR/RET]]&lt;2, Tabelle12141520[[#This Row],[DET]] &lt;= 50), AND(Tabelle12141520[[#This Row],[FTR/RET]]&lt;=5, Tabelle12141520[[#This Row],[DET]] &lt; 20)), 1, 0)</f>
        <v>1</v>
      </c>
      <c r="E155">
        <f>IF(OR(AND(Tabelle12141520[[#This Row],[FTR/RET]]=1, Tabelle12141520[[#This Row],[DET]] &gt; 50), AND(Tabelle12141520[[#This Row],[FTR/RET]]&lt;=5, Tabelle12141520[[#This Row],[FTR/RET]]&gt;=2, Tabelle12141520[[#This Row],[DET]] &gt;= 20, Tabelle12141520[[#This Row],[DET]] &lt;= 50), AND(Tabelle12141520[[#This Row],[FTR/RET]] &gt;= 5, Tabelle12141520[[#This Row],[DET]] &lt; 20)), 1, 0)</f>
        <v>0</v>
      </c>
      <c r="F155">
        <f>IF(AND(Tabelle12141520[[#This Row],[Simple]]=0,Tabelle12141520[[#This Row],[Average]]=0), 1, 0)</f>
        <v>0</v>
      </c>
      <c r="G155">
        <v>0</v>
      </c>
      <c r="H155">
        <v>0</v>
      </c>
      <c r="I155">
        <f>Tabelle12141520[[#This Row],[Count]]*(5*Tabelle12141520[[#This Row],[Simple]]+7*Tabelle12141520[[#This Row],[Average]]+10*Tabelle12141520[[#This Row],[Complex]])</f>
        <v>0</v>
      </c>
    </row>
    <row r="158" spans="2:11" x14ac:dyDescent="0.25">
      <c r="B158" t="s">
        <v>49</v>
      </c>
      <c r="C158" t="s">
        <v>10</v>
      </c>
      <c r="D158" t="s">
        <v>7</v>
      </c>
      <c r="E158" t="s">
        <v>8</v>
      </c>
      <c r="F158" t="s">
        <v>9</v>
      </c>
      <c r="G158" t="s">
        <v>23</v>
      </c>
      <c r="H158" t="s">
        <v>17</v>
      </c>
      <c r="I158" t="s">
        <v>24</v>
      </c>
      <c r="J158" t="s">
        <v>11</v>
      </c>
      <c r="K158" t="s">
        <v>18</v>
      </c>
    </row>
    <row r="159" spans="2:11" x14ac:dyDescent="0.25">
      <c r="B159" t="s">
        <v>12</v>
      </c>
      <c r="C159">
        <v>1</v>
      </c>
      <c r="D159">
        <f>IF(OR(AND(Tabelle12141521[[#This Row],[FTR/RET]]&lt;=1, Tabelle12141521[[#This Row],[DET]] &lt;= 15), AND(Tabelle12141521[[#This Row],[FTR/RET]]&lt;= 3, Tabelle12141521[[#This Row],[DET]] &lt;= 4)), 1, 0)</f>
        <v>1</v>
      </c>
      <c r="E159">
        <f>IF(OR(AND(Tabelle12141521[[#This Row],[FTR/RET]]&lt;=1, Tabelle12141521[[#This Row],[DET]] &gt; 15), AND(Tabelle12141521[[#This Row],[FTR/RET]]&lt;=5, Tabelle12141521[[#This Row],[FTR/RET]]&gt;=2, Tabelle12141521[[#This Row],[DET]] &gt;= 5, Tabelle12141521[[#This Row],[DET]] &lt;= 15), AND(Tabelle12141521[[#This Row],[FTR/RET]] &gt;= 5, Tabelle12141521[[#This Row],[DET]] &lt;= 4 )), 1, 0)</f>
        <v>0</v>
      </c>
      <c r="F159">
        <f>IF(AND(Tabelle12141521[[#This Row],[Simple]]=0,Tabelle12141521[[#This Row],[Average]]=0), 1, 0)</f>
        <v>0</v>
      </c>
      <c r="G159">
        <v>1</v>
      </c>
      <c r="H159">
        <v>1</v>
      </c>
      <c r="I159">
        <f>Tabelle12141521[[#This Row],[Count]]*(3*Tabelle12141521[[#This Row],[Simple]]+4*Tabelle12141521[[#This Row],[Average]]+6*Tabelle12141521[[#This Row],[Complex]])</f>
        <v>3</v>
      </c>
      <c r="K159">
        <f>SUM(Tabelle12141521[Points])*0.65</f>
        <v>11.05</v>
      </c>
    </row>
    <row r="160" spans="2:11" x14ac:dyDescent="0.25">
      <c r="B160" t="s">
        <v>13</v>
      </c>
      <c r="C160">
        <v>1</v>
      </c>
      <c r="D160">
        <f>IF(OR(AND(Tabelle12141521[[#This Row],[FTR/RET]]&lt;=1, Tabelle12141521[[#This Row],[DET]] &lt;= 19), AND(Tabelle12141521[[#This Row],[FTR/RET]]&lt;= 3, Tabelle12141521[[#This Row],[DET]] &lt;= 5)), 1, 0)</f>
        <v>1</v>
      </c>
      <c r="E160">
        <f>IF(OR(AND(Tabelle12141521[[#This Row],[FTR/RET]]&lt;=1, Tabelle12141521[[#This Row],[DET]] &gt; 20), AND(Tabelle12141521[[#This Row],[FTR/RET]]&lt;=5, Tabelle12141521[[#This Row],[FTR/RET]]&gt;=2, Tabelle12141521[[#This Row],[DET]] &gt;= 6, Tabelle12141521[[#This Row],[DET]] &lt;= 19), AND(Tabelle12141521[[#This Row],[FTR/RET]] &gt;= 5, Tabelle12141521[[#This Row],[DET]] &lt;= 5 )), 1, 0)</f>
        <v>0</v>
      </c>
      <c r="F160">
        <f>IF(AND(Tabelle12141521[[#This Row],[Simple]]=0,Tabelle12141521[[#This Row],[Average]]=0), 1, 0)</f>
        <v>0</v>
      </c>
      <c r="G160">
        <v>0</v>
      </c>
      <c r="H160">
        <v>0</v>
      </c>
      <c r="I160">
        <f>Tabelle12141521[[#This Row],[Count]]*(Tabelle12141521[[#This Row],[Simple]]*4+Tabelle12141521[[#This Row],[Average]]*5+Tabelle12141521[[#This Row],[Complex]]*7)</f>
        <v>4</v>
      </c>
    </row>
    <row r="161" spans="2:9" x14ac:dyDescent="0.25">
      <c r="B161" t="s">
        <v>14</v>
      </c>
      <c r="C161">
        <v>1</v>
      </c>
      <c r="D161">
        <f>IF(OR(AND(Tabelle12141521[[#This Row],[FTR/RET]]&lt;=1, Tabelle12141521[[#This Row],[DET]] &lt;= 19), AND(Tabelle12141521[[#This Row],[FTR/RET]]&lt;= 3, Tabelle12141521[[#This Row],[DET]] &lt;= 5)), 1, 0)</f>
        <v>1</v>
      </c>
      <c r="E161">
        <f>IF(OR(AND(Tabelle12141521[[#This Row],[FTR/RET]]&lt;=1, Tabelle12141521[[#This Row],[DET]] &gt; 20), AND(Tabelle12141521[[#This Row],[FTR/RET]]&lt;=5, Tabelle12141521[[#This Row],[FTR/RET]]&gt;=2, Tabelle12141521[[#This Row],[DET]] &gt;= 6, Tabelle12141521[[#This Row],[DET]] &lt;= 19), AND(Tabelle12141521[[#This Row],[FTR/RET]] &gt;= 5, Tabelle12141521[[#This Row],[DET]] &lt;= 5 )), 1, 0)</f>
        <v>0</v>
      </c>
      <c r="F161">
        <f>IF(AND(Tabelle12141521[[#This Row],[Simple]]=0,Tabelle12141521[[#This Row],[Average]]=0), 1, 0)</f>
        <v>0</v>
      </c>
      <c r="G161">
        <v>0</v>
      </c>
      <c r="H161">
        <v>0</v>
      </c>
      <c r="I161">
        <f>Tabelle12141521[[#This Row],[Count]]*(3*Tabelle12141521[[#This Row],[Simple]]+4*Tabelle12141521[[#This Row],[Average]]+6*Tabelle12141521[[#This Row],[Complex]])</f>
        <v>3</v>
      </c>
    </row>
    <row r="162" spans="2:9" x14ac:dyDescent="0.25">
      <c r="B162" t="s">
        <v>15</v>
      </c>
      <c r="C162">
        <v>1</v>
      </c>
      <c r="D162">
        <f>IF(OR(AND(Tabelle12141521[[#This Row],[FTR/RET]]&lt;2, Tabelle12141521[[#This Row],[DET]] &lt;= 50), AND(Tabelle12141521[[#This Row],[FTR/RET]]&lt;=5, Tabelle12141521[[#This Row],[DET]] &lt; 20)), 1, 0)</f>
        <v>1</v>
      </c>
      <c r="E162">
        <f>IF(OR(AND(Tabelle12141521[[#This Row],[FTR/RET]]=1, Tabelle12141521[[#This Row],[DET]] &gt; 50), AND(Tabelle12141521[[#This Row],[FTR/RET]]&lt;=5, Tabelle12141521[[#This Row],[FTR/RET]]&gt;=2, Tabelle12141521[[#This Row],[DET]] &gt;= 20, Tabelle12141521[[#This Row],[DET]] &lt;= 50), AND(Tabelle12141521[[#This Row],[FTR/RET]] &gt;= 5, Tabelle12141521[[#This Row],[DET]] &lt; 20)), 1, 0)</f>
        <v>0</v>
      </c>
      <c r="F162">
        <f>IF(AND(Tabelle12141521[[#This Row],[Simple]]=0,Tabelle12141521[[#This Row],[Average]]=0), 1, 0)</f>
        <v>0</v>
      </c>
      <c r="G162">
        <v>1</v>
      </c>
      <c r="H162">
        <v>0</v>
      </c>
      <c r="I162">
        <f>Tabelle12141521[[#This Row],[Count]]*(7*Tabelle12141521[[#This Row],[Simple]]+10*Tabelle12141521[[#This Row],[Average]]+15*Tabelle12141521[[#This Row],[Complex]])</f>
        <v>7</v>
      </c>
    </row>
    <row r="163" spans="2:9" x14ac:dyDescent="0.25">
      <c r="B163" t="s">
        <v>16</v>
      </c>
      <c r="C163">
        <v>0</v>
      </c>
      <c r="D163">
        <f>IF(OR(AND(Tabelle12141521[[#This Row],[FTR/RET]]&lt;2, Tabelle12141521[[#This Row],[DET]] &lt;= 50), AND(Tabelle12141521[[#This Row],[FTR/RET]]&lt;=5, Tabelle12141521[[#This Row],[DET]] &lt; 20)), 1, 0)</f>
        <v>1</v>
      </c>
      <c r="E163">
        <f>IF(OR(AND(Tabelle12141521[[#This Row],[FTR/RET]]=1, Tabelle12141521[[#This Row],[DET]] &gt; 50), AND(Tabelle12141521[[#This Row],[FTR/RET]]&lt;=5, Tabelle12141521[[#This Row],[FTR/RET]]&gt;=2, Tabelle12141521[[#This Row],[DET]] &gt;= 20, Tabelle12141521[[#This Row],[DET]] &lt;= 50), AND(Tabelle12141521[[#This Row],[FTR/RET]] &gt;= 5, Tabelle12141521[[#This Row],[DET]] &lt; 20)), 1, 0)</f>
        <v>0</v>
      </c>
      <c r="F163">
        <f>IF(AND(Tabelle12141521[[#This Row],[Simple]]=0,Tabelle12141521[[#This Row],[Average]]=0), 1, 0)</f>
        <v>0</v>
      </c>
      <c r="G163">
        <v>0</v>
      </c>
      <c r="H163">
        <v>0</v>
      </c>
      <c r="I163">
        <f>Tabelle12141521[[#This Row],[Count]]*(5*Tabelle12141521[[#This Row],[Simple]]+7*Tabelle12141521[[#This Row],[Average]]+10*Tabelle12141521[[#This Row],[Complex]])</f>
        <v>0</v>
      </c>
    </row>
  </sheetData>
  <pageMargins left="0.7" right="0.7" top="0.78740157499999996" bottom="0.78740157499999996" header="0.3" footer="0.3"/>
  <pageSetup paperSize="9" orientation="portrait" r:id="rId1"/>
  <drawing r:id="rId2"/>
  <tableParts count="2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27</vt:i4>
      </vt:variant>
    </vt:vector>
  </HeadingPairs>
  <TitlesOfParts>
    <vt:vector size="28" baseType="lpstr">
      <vt:lpstr>Tabelle1</vt:lpstr>
      <vt:lpstr>AcceptFriendRequests</vt:lpstr>
      <vt:lpstr>AddFriend</vt:lpstr>
      <vt:lpstr>AdministrateBarsFP</vt:lpstr>
      <vt:lpstr>ChangeInfoFP</vt:lpstr>
      <vt:lpstr>ChangePassword</vt:lpstr>
      <vt:lpstr>CommentFP</vt:lpstr>
      <vt:lpstr>CreateNewOffer</vt:lpstr>
      <vt:lpstr>CreateNewRequest</vt:lpstr>
      <vt:lpstr>DeleteFriend</vt:lpstr>
      <vt:lpstr>DeleteUser</vt:lpstr>
      <vt:lpstr>EditProfile</vt:lpstr>
      <vt:lpstr>EditStatus</vt:lpstr>
      <vt:lpstr>GetBarInfoFP</vt:lpstr>
      <vt:lpstr>ListOffers</vt:lpstr>
      <vt:lpstr>ListReceivedFriendRequests</vt:lpstr>
      <vt:lpstr>ListRequests</vt:lpstr>
      <vt:lpstr>ListSentFriendRequests</vt:lpstr>
      <vt:lpstr>LoginFP</vt:lpstr>
      <vt:lpstr>RateBarFP</vt:lpstr>
      <vt:lpstr>RegisterFp</vt:lpstr>
      <vt:lpstr>SearchBarFP</vt:lpstr>
      <vt:lpstr>SearchOfferAndRequests</vt:lpstr>
      <vt:lpstr>SearchUser</vt:lpstr>
      <vt:lpstr>SeeMapsFP</vt:lpstr>
      <vt:lpstr>SeePinboardsFP</vt:lpstr>
      <vt:lpstr>SetTagsFP</vt:lpstr>
      <vt:lpstr>SurveysFP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Fehrmann</dc:creator>
  <cp:lastModifiedBy>Merk Waldemar</cp:lastModifiedBy>
  <dcterms:created xsi:type="dcterms:W3CDTF">2016-04-06T09:08:04Z</dcterms:created>
  <dcterms:modified xsi:type="dcterms:W3CDTF">2017-04-28T09:56:15Z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d2b2eb0d-1f70-4d04-90f2-7f07463358eb</vt:lpwstr>
  </property>
</Properties>
</file>