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bwSyncAndShare\vnvDoc\doc\"/>
    </mc:Choice>
  </mc:AlternateContent>
  <bookViews>
    <workbookView xWindow="0" yWindow="0" windowWidth="15330" windowHeight="7680"/>
  </bookViews>
  <sheets>
    <sheet name="Tabelle1" sheetId="1" r:id="rId1"/>
  </sheets>
  <definedNames>
    <definedName name="AdministrateBarsFP">Tabelle1!$K$111</definedName>
    <definedName name="ChangeInfoFP">Tabelle1!$K$87</definedName>
    <definedName name="CommentFP">Tabelle1!$K$79</definedName>
    <definedName name="GetBarInfoFP">Tabelle1!$K$63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5" i="1"/>
  <c r="I18" i="1"/>
  <c r="I19" i="1"/>
  <c r="I20" i="1"/>
  <c r="J18" i="1"/>
  <c r="J19" i="1"/>
  <c r="J20" i="1"/>
  <c r="I17" i="1"/>
  <c r="J17" i="1"/>
  <c r="I16" i="1"/>
  <c r="J16" i="1"/>
  <c r="I15" i="1" l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D119" i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D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19" i="1"/>
  <c r="I119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K71" i="1" l="1"/>
  <c r="K119" i="1"/>
  <c r="K63" i="1"/>
  <c r="K39" i="1"/>
  <c r="K79" i="1"/>
  <c r="K111" i="1"/>
  <c r="K87" i="1"/>
  <c r="K103" i="1"/>
  <c r="K31" i="1"/>
  <c r="K47" i="1"/>
  <c r="K95" i="1"/>
  <c r="K55" i="1"/>
  <c r="K23" i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O27" i="1" l="1"/>
  <c r="P27" i="1"/>
  <c r="Q27" i="1" l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  <c r="K105" i="1"/>
  <c r="K97" i="1"/>
  <c r="K113" i="1"/>
</calcChain>
</file>

<file path=xl/sharedStrings.xml><?xml version="1.0" encoding="utf-8"?>
<sst xmlns="http://schemas.openxmlformats.org/spreadsheetml/2006/main" count="242" uniqueCount="64">
  <si>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</si>
  <si>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</si>
  <si>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</si>
  <si>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</si>
  <si>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</si>
  <si>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</si>
  <si>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</si>
  <si>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</si>
  <si>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</si>
  <si>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</si>
  <si>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</si>
  <si>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</si>
  <si>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</si>
  <si>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</si>
  <si>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</si>
  <si>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</si>
  <si>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</si>
  <si>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</si>
  <si>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</si>
  <si>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Name</t>
  </si>
  <si>
    <t>The amount depends on the survey in the database. That makes presenting the survey more comlex</t>
  </si>
  <si>
    <t xml:space="preserve">View, Presenter, Database, Model, </t>
  </si>
  <si>
    <t>Total w/o warmup</t>
  </si>
  <si>
    <t>Google Maps</t>
  </si>
  <si>
    <t>A Tag will be saved</t>
  </si>
  <si>
    <t>A complete bar needs to be saved</t>
  </si>
  <si>
    <t>FTR/RET</t>
  </si>
  <si>
    <t>Points</t>
  </si>
  <si>
    <t>Presenter, Bar</t>
  </si>
  <si>
    <t>25 single, clickable stars</t>
  </si>
  <si>
    <t>Presenter, Rating Class, Bar Class. Influences many fields in the database</t>
  </si>
  <si>
    <t>Presenter, Bar model</t>
  </si>
  <si>
    <t>Presenter, User Model</t>
  </si>
  <si>
    <t>Presenter, Bar Model, Question Model</t>
  </si>
  <si>
    <t>Presenter, Bar Model, Map Class</t>
  </si>
  <si>
    <t>Presenter, Bar Model</t>
  </si>
  <si>
    <t>Presnter, Bar Class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</si>
  <si>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</si>
  <si>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</si>
  <si>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</si>
  <si>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</si>
  <si>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</si>
  <si>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</si>
  <si>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</si>
  <si>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</si>
  <si>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</si>
  <si>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</si>
  <si>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</si>
  <si>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</si>
  <si>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</si>
  <si>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</si>
  <si>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</si>
  <si>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</si>
  <si>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</si>
  <si>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</si>
  <si>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</si>
  <si>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</si>
  <si>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</si>
  <si>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Spalte1</t>
  </si>
  <si>
    <t>Design</t>
  </si>
  <si>
    <t>Research</t>
  </si>
  <si>
    <t>Deployment</t>
  </si>
  <si>
    <t>Change Password</t>
  </si>
  <si>
    <t>Register/Login_Google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</si>
</sst>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Register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Tabelle1!$L$3:$L$21</c:f>
              <c:numCache>
                <c:formatCode>General</c:formatCode>
                <c:ptCount val="19"/>
                <c:pt idx="0">
                  <c:v>13</c:v>
                </c:pt>
                <c:pt idx="1">
                  <c:v>24.7</c:v>
                </c:pt>
                <c:pt idx="2">
                  <c:v>26</c:v>
                </c:pt>
              </c:numCache>
            </c:numRef>
          </c:xVal>
          <c:yVal>
            <c:numRef>
              <c:f>Tabelle1!$I$3:$I$21</c:f>
              <c:numCache>
                <c:formatCode>h:mm</c:formatCode>
                <c:ptCount val="19"/>
                <c:pt idx="0">
                  <c:v>0.85416666666666663</c:v>
                </c:pt>
                <c:pt idx="1">
                  <c:v>0.26041666666666669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0.33333333333333331</c:v>
                </c:pt>
                <c:pt idx="7">
                  <c:v>0.14930555555555555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0.50555555555555554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6712"/>
        <c:axId val="457142200"/>
      </c:scatterChart>
      <c:valAx>
        <c:axId val="45713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142200"/>
        <c:crosses val="autoZero"/>
        <c:crossBetween val="midCat"/>
      </c:valAx>
      <c:valAx>
        <c:axId val="4571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136712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187324</xdr:rowOff>
    </xdr:from>
    <xdr:to>
      <xdr:col>21</xdr:col>
      <xdr:colOff>31749</xdr:colOff>
      <xdr:row>24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0.08088</cdr:x>
      <cdr:y>0.11718</cdr:y>
    </cdr:from>
    <cdr:to>
      <cdr:x>0.79289</cdr:x>
      <cdr:y>0.92978</cdr:y>
    </cdr:to>
    <cdr:cxnSp macro="">
      <cdr:nvCxnSpPr>
        <cdr:cNvPr id="10" name="Gerader Verbinder 9"/>
        <cdr:cNvCxnSpPr/>
      </cdr:nvCxnSpPr>
      <cdr:spPr>
        <a:xfrm xmlns:a="http://schemas.openxmlformats.org/drawingml/2006/main" flipV="1">
          <a:off x="523875" y="463551"/>
          <a:ext cx="4611688" cy="32146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11"/>
    <tableColumn id="8" name="Testing" dataDxfId="10"/>
    <tableColumn id="9" name="Design" dataDxfId="9"/>
    <tableColumn id="3" name="Deployment"/>
    <tableColumn id="4" name="Research"/>
    <tableColumn id="10" name="Total w/o warmup" dataDxfId="8">
      <calculatedColumnFormula>SUM(Tabelle1[[#This Row],[Documentation]:[Testing]])+SUM(Tabelle1[[#This Row],[Deployment]:[Research]])</calculatedColumnFormula>
    </tableColumn>
    <tableColumn id="5" name="Total" dataDxfId="7">
      <calculatedColumnFormula>SUM(Tabelle1[[#This Row],[Documentation]:[Research]])</calculatedColumnFormula>
    </tableColumn>
    <tableColumn id="12" name="Estimate" dataDxfId="6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Nam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26:Q27" totalsRowShown="0">
  <autoFilter ref="O26:Q27"/>
  <tableColumns count="3">
    <tableColumn id="1" name="Time spent (w/o outliers)" dataDxfId="3">
      <calculatedColumnFormula>SUM(I3:I10,I12,I14:I15)*24</calculatedColumnFormula>
    </tableColumn>
    <tableColumn id="2" name="Function Points (w/o outliers)">
      <calculatedColumnFormula>SUM(L3:L10,L12,L14:L15)</calculatedColumnFormula>
    </tableColumn>
    <tableColumn id="3" name="Velocity" dataDxfId="2">
      <calculatedColumnFormula>P27/O27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5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4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Spalte1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23"/>
  <sheetViews>
    <sheetView tabSelected="1" topLeftCell="A20" zoomScaleNormal="100" workbookViewId="0">
      <selection activeCell="B13" sqref="B13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57</v>
      </c>
      <c r="E2" t="s">
        <v>2</v>
      </c>
      <c r="F2" t="s">
        <v>59</v>
      </c>
      <c r="G2" t="s">
        <v>61</v>
      </c>
      <c r="H2" t="s">
        <v>60</v>
      </c>
      <c r="I2" t="s">
        <v>22</v>
      </c>
      <c r="J2" t="s">
        <v>3</v>
      </c>
      <c r="K2" t="s">
        <v>41</v>
      </c>
      <c r="L2" t="s">
        <v>4</v>
      </c>
      <c r="M2" t="s">
        <v>37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0.64200680272108845</v>
      </c>
      <c r="L3">
        <f>SearchBarFP</f>
        <v>13</v>
      </c>
    </row>
    <row r="4" spans="2:13" x14ac:dyDescent="0.25">
      <c r="B4" t="s">
        <v>5</v>
      </c>
      <c r="C4" s="1">
        <v>0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0.26041666666666669</v>
      </c>
      <c r="J4" s="2">
        <f>SUM(Tabelle1[[#This Row],[Documentation]:[Research]])</f>
        <v>0.26041666666666669</v>
      </c>
      <c r="K4" s="2">
        <f>Tabelle1[[#This Row],[FP]]/Tabelle15[Velocity]/24</f>
        <v>1.219812925170068</v>
      </c>
      <c r="L4">
        <f>LoginFP</f>
        <v>24.7</v>
      </c>
    </row>
    <row r="5" spans="2:13" x14ac:dyDescent="0.25">
      <c r="B5" t="s">
        <v>42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1.2840136054421769</v>
      </c>
      <c r="L5">
        <f>RegisterFp</f>
        <v>26</v>
      </c>
    </row>
    <row r="6" spans="2:13" x14ac:dyDescent="0.25">
      <c r="B6" t="s">
        <v>43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</v>
      </c>
    </row>
    <row r="7" spans="2:13" x14ac:dyDescent="0.25">
      <c r="B7" t="s">
        <v>62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</v>
      </c>
    </row>
    <row r="8" spans="2:13" x14ac:dyDescent="0.25">
      <c r="B8" t="s">
        <v>44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</v>
      </c>
    </row>
    <row r="9" spans="2:13" x14ac:dyDescent="0.25">
      <c r="B9" t="s">
        <v>45</v>
      </c>
      <c r="C9" s="1">
        <v>0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0.33333333333333331</v>
      </c>
      <c r="J9" s="2">
        <f>SUM(Tabelle1[[#This Row],[Documentation]:[Research]])</f>
        <v>0.33333333333333331</v>
      </c>
      <c r="K9" s="2">
        <f>Tabelle1[[#This Row],[FP]]/Tabelle15[Velocity]/24</f>
        <v>0</v>
      </c>
    </row>
    <row r="10" spans="2:13" x14ac:dyDescent="0.25">
      <c r="B10" t="s">
        <v>46</v>
      </c>
      <c r="C10" s="1">
        <v>0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0.14930555555555555</v>
      </c>
      <c r="J10" s="2">
        <f>SUM(Tabelle1[[#This Row],[Documentation]:[Research]])</f>
        <v>0.14930555555555555</v>
      </c>
      <c r="K10" s="2">
        <f>Tabelle1[[#This Row],[FP]]/Tabelle15[Velocity]/24</f>
        <v>0</v>
      </c>
    </row>
    <row r="11" spans="2:13" x14ac:dyDescent="0.25">
      <c r="B11" t="s">
        <v>47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</v>
      </c>
    </row>
    <row r="12" spans="2:13" x14ac:dyDescent="0.25">
      <c r="B12" t="s">
        <v>48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</v>
      </c>
    </row>
    <row r="13" spans="2:13" x14ac:dyDescent="0.25">
      <c r="B13" t="s">
        <v>49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0</v>
      </c>
      <c r="J13" s="2">
        <f>SUM(Tabelle1[[#This Row],[Documentation]:[Research]])</f>
        <v>0</v>
      </c>
      <c r="K13" s="2">
        <f>Tabelle1[[#This Row],[FP]]/Tabelle15[Velocity]/24</f>
        <v>0</v>
      </c>
    </row>
    <row r="14" spans="2:13" x14ac:dyDescent="0.25">
      <c r="B14" t="s">
        <v>50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</v>
      </c>
      <c r="J14" s="2">
        <f>SUM(Tabelle1[[#This Row],[Documentation]:[Research]])</f>
        <v>0</v>
      </c>
      <c r="K14" s="2">
        <f>Tabelle1[[#This Row],[FP]]/Tabelle15[Velocity]/24</f>
        <v>0</v>
      </c>
    </row>
    <row r="15" spans="2:13" x14ac:dyDescent="0.25">
      <c r="B15" t="s">
        <v>51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</v>
      </c>
      <c r="J15" s="2">
        <f>SUM(Tabelle1[[#This Row],[Documentation]:[Research]])</f>
        <v>0</v>
      </c>
      <c r="K15" s="2">
        <f>Tabelle1[[#This Row],[FP]]/Tabelle15[Velocity]/24</f>
        <v>0</v>
      </c>
    </row>
    <row r="16" spans="2:13" x14ac:dyDescent="0.25">
      <c r="B16" t="s">
        <v>52</v>
      </c>
      <c r="C16" s="1">
        <v>0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0.50555555555555554</v>
      </c>
      <c r="J16" s="2">
        <f>SUM(Tabelle1[[#This Row],[Documentation]:[Research]])</f>
        <v>0.50555555555555554</v>
      </c>
      <c r="K16" s="2">
        <f>Tabelle1[[#This Row],[FP]]/Tabelle15[Velocity]/24</f>
        <v>0</v>
      </c>
    </row>
    <row r="17" spans="2:17" x14ac:dyDescent="0.25">
      <c r="B17" t="s">
        <v>53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0</v>
      </c>
      <c r="J17" s="2">
        <f>SUM(Tabelle1[[#This Row],[Documentation]:[Research]])</f>
        <v>0</v>
      </c>
      <c r="K17" s="2">
        <f>Tabelle1[[#This Row],[FP]]/Tabelle15[Velocity]/24</f>
        <v>0</v>
      </c>
    </row>
    <row r="18" spans="2:17" x14ac:dyDescent="0.25">
      <c r="B18" t="s">
        <v>54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0</v>
      </c>
      <c r="J18" s="2">
        <f>SUM(Tabelle1[[#This Row],[Documentation]:[Research]])</f>
        <v>0</v>
      </c>
      <c r="K18" s="2">
        <f>Tabelle1[[#This Row],[FP]]/Tabelle15[Velocity]/24</f>
        <v>0</v>
      </c>
    </row>
    <row r="19" spans="2:17" x14ac:dyDescent="0.25">
      <c r="B19" t="s">
        <v>55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0</v>
      </c>
      <c r="J19" s="2">
        <f>SUM(Tabelle1[[#This Row],[Documentation]:[Research]])</f>
        <v>0</v>
      </c>
      <c r="K19" s="2">
        <f>Tabelle1[[#This Row],[FP]]/Tabelle15[Velocity]/24</f>
        <v>0</v>
      </c>
    </row>
    <row r="20" spans="2:17" x14ac:dyDescent="0.25">
      <c r="B20" t="s">
        <v>56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0</v>
      </c>
      <c r="J20" s="2">
        <f>SUM(Tabelle1[[#This Row],[Documentation]:[Research]])</f>
        <v>0</v>
      </c>
      <c r="K20" s="2">
        <f>Tabelle1[[#This Row],[FP]]/Tabelle15[Velocity]/24</f>
        <v>0</v>
      </c>
    </row>
    <row r="22" spans="2:17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26</v>
      </c>
      <c r="H22" t="s">
        <v>17</v>
      </c>
      <c r="I22" t="s">
        <v>27</v>
      </c>
      <c r="J22" t="s">
        <v>11</v>
      </c>
      <c r="K22" t="s">
        <v>18</v>
      </c>
    </row>
    <row r="23" spans="2:17" x14ac:dyDescent="0.25">
      <c r="B23" t="s">
        <v>12</v>
      </c>
      <c r="C23">
        <v>1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1</v>
      </c>
      <c r="I23">
        <f>Tabelle2[[#This Row],[Count]]*(3*Tabelle2[[#This Row],[Simple]]+4*Tabelle2[[#This Row],[Average]]+6*Tabelle2[[#This Row],[Complex]])</f>
        <v>3</v>
      </c>
      <c r="K23">
        <f>SUM(Tabelle2[Points])*0.65</f>
        <v>13</v>
      </c>
    </row>
    <row r="24" spans="2:17" x14ac:dyDescent="0.25">
      <c r="B24" t="s">
        <v>13</v>
      </c>
      <c r="C24">
        <v>1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1</v>
      </c>
      <c r="H24">
        <v>1</v>
      </c>
      <c r="I24">
        <f>Tabelle2[[#This Row],[Count]]*(Tabelle2[[#This Row],[Simple]]*4+Tabelle2[[#This Row],[Average]]*5+Tabelle2[[#This Row],[Complex]]*7)</f>
        <v>4</v>
      </c>
    </row>
    <row r="25" spans="2:17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3</v>
      </c>
      <c r="I25">
        <f>Tabelle2[[#This Row],[Count]]*(3*Tabelle2[[#This Row],[Simple]]+4*Tabelle2[[#This Row],[Average]]+6*Tabelle2[[#This Row],[Complex]])</f>
        <v>6</v>
      </c>
    </row>
    <row r="26" spans="2:17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3</v>
      </c>
      <c r="I26">
        <f>Tabelle2[[#This Row],[Count]]*(7*Tabelle2[[#This Row],[Simple]]+10*Tabelle2[[#This Row],[Average]]+15*Tabelle2[[#This Row],[Complex]])</f>
        <v>7</v>
      </c>
      <c r="O26" t="s">
        <v>39</v>
      </c>
      <c r="P26" t="s">
        <v>40</v>
      </c>
      <c r="Q26" t="s">
        <v>38</v>
      </c>
    </row>
    <row r="27" spans="2:17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  <c r="O27" s="4">
        <f>SUM(I3:I10,I12,I14:I15)*24</f>
        <v>75.5</v>
      </c>
      <c r="P27">
        <f>SUM(L3:L10,L12,L14:L15)</f>
        <v>63.7</v>
      </c>
      <c r="Q27" s="3">
        <f>P27/O27</f>
        <v>0.84370860927152325</v>
      </c>
    </row>
    <row r="30" spans="2:17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26</v>
      </c>
      <c r="H30" t="s">
        <v>17</v>
      </c>
      <c r="I30" t="s">
        <v>27</v>
      </c>
      <c r="J30" t="s">
        <v>11</v>
      </c>
      <c r="K30" t="s">
        <v>18</v>
      </c>
    </row>
    <row r="31" spans="2:17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1</v>
      </c>
      <c r="F31">
        <f>IF(AND(Tabelle3[[#This Row],[Simple]]=0,Tabelle3[[#This Row],[Average]]=0), 1, 0)</f>
        <v>0</v>
      </c>
      <c r="G31">
        <v>2</v>
      </c>
      <c r="H31">
        <v>6</v>
      </c>
      <c r="I31">
        <f>Tabelle3[[#This Row],[Count]]*(3*Tabelle3[[#This Row],[Simple]]+4*Tabelle3[[#This Row],[Average]]+6*Tabelle3[[#This Row],[Complex]])</f>
        <v>20</v>
      </c>
      <c r="K31">
        <f>SUM(Tabelle3[Points])*0.65</f>
        <v>24.7</v>
      </c>
    </row>
    <row r="32" spans="2:17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0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0</v>
      </c>
      <c r="H33">
        <v>0</v>
      </c>
      <c r="I33">
        <f>Tabelle3[[#This Row],[Count]]*(3*Tabelle3[[#This Row],[Simple]]+4*Tabelle3[[#This Row],[Average]]+6*Tabelle3[[#This Row],[Complex]])</f>
        <v>0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63</v>
      </c>
      <c r="C38" t="s">
        <v>10</v>
      </c>
      <c r="D38" t="s">
        <v>7</v>
      </c>
      <c r="E38" t="s">
        <v>8</v>
      </c>
      <c r="F38" t="s">
        <v>9</v>
      </c>
      <c r="G38" t="s">
        <v>26</v>
      </c>
      <c r="H38" t="s">
        <v>17</v>
      </c>
      <c r="I38" t="s">
        <v>27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0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1</v>
      </c>
      <c r="F39">
        <f>IF(AND(Tabelle4[[#This Row],[Simple]]=0,Tabelle4[[#This Row],[Average]]=0), 1, 0)</f>
        <v>0</v>
      </c>
      <c r="G39">
        <v>2</v>
      </c>
      <c r="H39">
        <v>6</v>
      </c>
      <c r="I39">
        <f>Tabelle4[[#This Row],[Count]]*(3*Tabelle4[[#This Row],[Simple]]+4*Tabelle4[[#This Row],[Average]]+6*Tabelle4[[#This Row],[Complex]])</f>
        <v>12</v>
      </c>
      <c r="K39">
        <f>SUM(Tabelle4[Points])*0.65</f>
        <v>26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0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0</v>
      </c>
      <c r="H41">
        <v>0</v>
      </c>
      <c r="I41">
        <f>Tabelle4[[#This Row],[Count]]*(3*Tabelle4[[#This Row],[Simple]]+4*Tabelle4[[#This Row],[Average]]+6*Tabelle4[[#This Row],[Complex]])</f>
        <v>0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6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2</v>
      </c>
      <c r="H43">
        <v>6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58</v>
      </c>
      <c r="C46" t="s">
        <v>10</v>
      </c>
      <c r="D46" t="s">
        <v>7</v>
      </c>
      <c r="E46" t="s">
        <v>8</v>
      </c>
      <c r="F46" t="s">
        <v>9</v>
      </c>
      <c r="G46" t="s">
        <v>26</v>
      </c>
      <c r="H46" t="s">
        <v>17</v>
      </c>
      <c r="I46" t="s">
        <v>27</v>
      </c>
      <c r="J46" t="s">
        <v>11</v>
      </c>
      <c r="K46" t="s">
        <v>18</v>
      </c>
    </row>
    <row r="47" spans="2:11" x14ac:dyDescent="0.25">
      <c r="B47" t="s">
        <v>12</v>
      </c>
      <c r="C47">
        <v>1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1</v>
      </c>
      <c r="H47">
        <v>1</v>
      </c>
      <c r="I47">
        <f>Tabelle5[[#This Row],[Count]]*(3*Tabelle5[[#This Row],[Simple]]+4*Tabelle5[[#This Row],[Average]]+6*Tabelle5[[#This Row],[Complex]])</f>
        <v>3</v>
      </c>
      <c r="J47" t="s">
        <v>20</v>
      </c>
      <c r="K47">
        <f>SUM(Tabelle5[Points])*(0.65+(5)/100)</f>
        <v>18.900000000000002</v>
      </c>
    </row>
    <row r="48" spans="2:11" x14ac:dyDescent="0.25">
      <c r="B48" t="s">
        <v>13</v>
      </c>
      <c r="C48">
        <v>0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0</v>
      </c>
      <c r="H48">
        <v>0</v>
      </c>
      <c r="I48">
        <f>Tabelle5[[#This Row],[Count]]*(Tabelle5[[#This Row],[Simple]]*4+Tabelle5[[#This Row],[Average]]*5+Tabelle5[[#This Row],[Complex]]*7)</f>
        <v>0</v>
      </c>
    </row>
    <row r="49" spans="2:11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0</v>
      </c>
      <c r="H49">
        <v>0</v>
      </c>
      <c r="I49">
        <f>Tabelle5[[#This Row],[Count]]*(3*Tabelle5[[#This Row],[Simple]]+4*Tabelle5[[#This Row],[Average]]+6*Tabelle5[[#This Row],[Complex]])</f>
        <v>3</v>
      </c>
    </row>
    <row r="50" spans="2:11" x14ac:dyDescent="0.25">
      <c r="B50" t="s">
        <v>15</v>
      </c>
      <c r="C50">
        <v>3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0</v>
      </c>
      <c r="H50">
        <v>0</v>
      </c>
      <c r="I50">
        <f>Tabelle5[[#This Row],[Count]]*(7*Tabelle5[[#This Row],[Simple]]+10*Tabelle5[[#This Row],[Average]]+15*Tabelle5[[#This Row],[Complex]])</f>
        <v>21</v>
      </c>
      <c r="J50" t="s">
        <v>33</v>
      </c>
    </row>
    <row r="51" spans="2:11" x14ac:dyDescent="0.25">
      <c r="B51" t="s">
        <v>16</v>
      </c>
      <c r="C51">
        <v>0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0</v>
      </c>
    </row>
    <row r="54" spans="2:11" x14ac:dyDescent="0.25">
      <c r="B54" t="s">
        <v>58</v>
      </c>
      <c r="C54" t="s">
        <v>10</v>
      </c>
      <c r="D54" t="s">
        <v>7</v>
      </c>
      <c r="E54" t="s">
        <v>8</v>
      </c>
      <c r="F54" t="s">
        <v>9</v>
      </c>
      <c r="G54" t="s">
        <v>26</v>
      </c>
      <c r="H54" t="s">
        <v>17</v>
      </c>
      <c r="I54" t="s">
        <v>27</v>
      </c>
      <c r="J54" t="s">
        <v>11</v>
      </c>
      <c r="K54" t="s">
        <v>18</v>
      </c>
    </row>
    <row r="55" spans="2:11" x14ac:dyDescent="0.25">
      <c r="B55" t="s">
        <v>12</v>
      </c>
      <c r="C55">
        <v>0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0</v>
      </c>
      <c r="H55">
        <v>0</v>
      </c>
      <c r="I55">
        <f>Tabelle6[[#This Row],[Count]]*(3*Tabelle6[[#This Row],[Simple]]+4*Tabelle6[[#This Row],[Average]]+6*Tabelle6[[#This Row],[Complex]])</f>
        <v>0</v>
      </c>
      <c r="K55">
        <f>SUM(Tabelle6[Points])*0.65</f>
        <v>13.65</v>
      </c>
    </row>
    <row r="56" spans="2:11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0</v>
      </c>
      <c r="H56">
        <v>2</v>
      </c>
      <c r="I56">
        <f>Tabelle6[[#This Row],[Count]]*(Tabelle6[[#This Row],[Simple]]*4+Tabelle6[[#This Row],[Average]]*5+Tabelle6[[#This Row],[Complex]]*7)</f>
        <v>4</v>
      </c>
    </row>
    <row r="57" spans="2:11" x14ac:dyDescent="0.25">
      <c r="B57" t="s">
        <v>14</v>
      </c>
      <c r="C57">
        <v>1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0</v>
      </c>
      <c r="H57">
        <v>1</v>
      </c>
      <c r="I57">
        <f>Tabelle6[[#This Row],[Count]]*(3*Tabelle6[[#This Row],[Simple]]+4*Tabelle6[[#This Row],[Average]]+6*Tabelle6[[#This Row],[Complex]])</f>
        <v>3</v>
      </c>
    </row>
    <row r="58" spans="2:11" x14ac:dyDescent="0.25">
      <c r="B58" t="s">
        <v>15</v>
      </c>
      <c r="C58">
        <v>2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0</v>
      </c>
      <c r="H58">
        <v>2</v>
      </c>
      <c r="I58">
        <f>Tabelle6[[#This Row],[Count]]*(7*Tabelle6[[#This Row],[Simple]]+10*Tabelle6[[#This Row],[Average]]+15*Tabelle6[[#This Row],[Complex]])</f>
        <v>14</v>
      </c>
      <c r="J58" t="s">
        <v>28</v>
      </c>
    </row>
    <row r="59" spans="2:11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1" x14ac:dyDescent="0.25">
      <c r="B62" t="s">
        <v>58</v>
      </c>
      <c r="C62" t="s">
        <v>10</v>
      </c>
      <c r="D62" t="s">
        <v>7</v>
      </c>
      <c r="E62" t="s">
        <v>8</v>
      </c>
      <c r="F62" t="s">
        <v>9</v>
      </c>
      <c r="G62" t="s">
        <v>26</v>
      </c>
      <c r="H62" t="s">
        <v>17</v>
      </c>
      <c r="I62" t="s">
        <v>27</v>
      </c>
      <c r="J62" t="s">
        <v>11</v>
      </c>
      <c r="K62" t="s">
        <v>18</v>
      </c>
    </row>
    <row r="63" spans="2:11" x14ac:dyDescent="0.25">
      <c r="B63" t="s">
        <v>12</v>
      </c>
      <c r="C63">
        <v>0</v>
      </c>
      <c r="D63">
        <f>IF(OR(AND(Tabelle7[[#This Row],[FTR/RET]]&lt;=1, Tabelle7[[#This Row],[DET]] &lt;= 15), AND(Tabelle7[[#This Row],[FTR/RET]]&lt;= 3, Tabelle7[[#This Row],[DET]] &lt;= 4)), 1, 0)</f>
        <v>1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0</v>
      </c>
      <c r="G63">
        <v>0</v>
      </c>
      <c r="H63">
        <v>0</v>
      </c>
      <c r="I63">
        <f>Tabelle7[[#This Row],[Count]]*(3*Tabelle7[[#This Row],[Simple]]+4*Tabelle7[[#This Row],[Average]]+6*Tabelle7[[#This Row],[Complex]])</f>
        <v>0</v>
      </c>
      <c r="K63">
        <f>SUM(Tabelle7[Points])*0.65</f>
        <v>18.2</v>
      </c>
    </row>
    <row r="64" spans="2:11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0</v>
      </c>
      <c r="H64">
        <v>5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1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2</v>
      </c>
      <c r="H65">
        <v>0</v>
      </c>
      <c r="I65">
        <f>Tabelle7[[#This Row],[Count]]*(3*Tabelle7[[#This Row],[Simple]]+4*Tabelle7[[#This Row],[Average]]+6*Tabelle7[[#This Row],[Complex]])</f>
        <v>3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0</v>
      </c>
      <c r="H66">
        <v>0</v>
      </c>
      <c r="I66">
        <f>Tabelle7[[#This Row],[Count]]*(7*Tabelle7[[#This Row],[Simple]]+10*Tabelle7[[#This Row],[Average]]+15*Tabelle7[[#This Row],[Complex]])</f>
        <v>21</v>
      </c>
      <c r="J66" t="s">
        <v>21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58</v>
      </c>
      <c r="C70" t="s">
        <v>10</v>
      </c>
      <c r="D70" t="s">
        <v>7</v>
      </c>
      <c r="E70" t="s">
        <v>8</v>
      </c>
      <c r="F70" t="s">
        <v>9</v>
      </c>
      <c r="G70" t="s">
        <v>26</v>
      </c>
      <c r="H70" t="s">
        <v>17</v>
      </c>
      <c r="I70" t="s">
        <v>27</v>
      </c>
      <c r="J70" t="s">
        <v>11</v>
      </c>
      <c r="K70" t="s">
        <v>18</v>
      </c>
    </row>
    <row r="71" spans="2:11" x14ac:dyDescent="0.25">
      <c r="B71" t="s">
        <v>12</v>
      </c>
      <c r="C71">
        <v>1</v>
      </c>
      <c r="D71">
        <f>IF(OR(AND(Tabelle8[[#This Row],[FTR/RET]]&lt;=1, Tabelle8[[#This Row],[DET]] &lt;= 15), AND(Tabelle8[[#This Row],[FTR/RET]]&lt;= 3, Tabelle8[[#This Row],[DET]] &lt;= 4)), 1, 0)</f>
        <v>0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71">
        <f>IF(AND(Tabelle8[[#This Row],[Simple]]=0,Tabelle8[[#This Row],[Average]]=0), 1, 0)</f>
        <v>0</v>
      </c>
      <c r="G71">
        <v>1</v>
      </c>
      <c r="H71">
        <v>25</v>
      </c>
      <c r="I71">
        <f>Tabelle8[[#This Row],[Count]]*(3*Tabelle8[[#This Row],[Simple]]+4*Tabelle8[[#This Row],[Average]]+6*Tabelle8[[#This Row],[Complex]])</f>
        <v>4</v>
      </c>
      <c r="J71" t="s">
        <v>29</v>
      </c>
      <c r="K71">
        <f>SUM(Tabelle8[Points])*(0.65+(5)/100)</f>
        <v>17.5</v>
      </c>
    </row>
    <row r="72" spans="2:11" x14ac:dyDescent="0.25">
      <c r="B72" t="s">
        <v>13</v>
      </c>
      <c r="C72">
        <v>0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0</v>
      </c>
      <c r="H72">
        <v>0</v>
      </c>
      <c r="I72">
        <f>Tabelle8[[#This Row],[Count]]*(Tabelle8[[#This Row],[Simple]]*4+Tabelle8[[#This Row],[Average]]*5+Tabelle8[[#This Row],[Complex]]*7)</f>
        <v>0</v>
      </c>
    </row>
    <row r="73" spans="2:11" x14ac:dyDescent="0.25">
      <c r="B73" t="s">
        <v>14</v>
      </c>
      <c r="C73">
        <v>0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0</v>
      </c>
      <c r="H73">
        <v>0</v>
      </c>
      <c r="I73">
        <f>Tabelle8[[#This Row],[Count]]*(3*Tabelle8[[#This Row],[Simple]]+4*Tabelle8[[#This Row],[Average]]+6*Tabelle8[[#This Row],[Complex]])</f>
        <v>0</v>
      </c>
    </row>
    <row r="74" spans="2:11" x14ac:dyDescent="0.25">
      <c r="B74" t="s">
        <v>15</v>
      </c>
      <c r="C74">
        <v>3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1</v>
      </c>
      <c r="H74">
        <v>11</v>
      </c>
      <c r="I74">
        <f>Tabelle8[[#This Row],[Count]]*(7*Tabelle8[[#This Row],[Simple]]+10*Tabelle8[[#This Row],[Average]]+15*Tabelle8[[#This Row],[Complex]])</f>
        <v>21</v>
      </c>
      <c r="J74" t="s">
        <v>30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58</v>
      </c>
      <c r="C78" t="s">
        <v>10</v>
      </c>
      <c r="D78" t="s">
        <v>7</v>
      </c>
      <c r="E78" t="s">
        <v>8</v>
      </c>
      <c r="F78" t="s">
        <v>9</v>
      </c>
      <c r="G78" t="s">
        <v>26</v>
      </c>
      <c r="H78" t="s">
        <v>17</v>
      </c>
      <c r="I78" t="s">
        <v>27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0</v>
      </c>
      <c r="H79">
        <v>1</v>
      </c>
      <c r="I79">
        <f>Tabelle9[[#This Row],[Count]]*(3*Tabelle9[[#This Row],[Simple]]+4*Tabelle9[[#This Row],[Average]]+6*Tabelle9[[#This Row],[Complex]])</f>
        <v>3</v>
      </c>
      <c r="K79">
        <f>SUM(Tabelle9[Points])*0.65</f>
        <v>11.05</v>
      </c>
    </row>
    <row r="80" spans="2:11" x14ac:dyDescent="0.25">
      <c r="B80" t="s">
        <v>13</v>
      </c>
      <c r="C80">
        <v>0</v>
      </c>
      <c r="D80">
        <f>IF(OR(AND(Tabelle9[[#This Row],[FTR/RET]]&lt;=1, Tabelle9[[#This Row],[DET]] &lt;= 19), AND(Tabelle9[[#This Row],[FTR/RET]]&lt;= 3, Tabelle9[[#This Row],[DET]] &lt;= 5)), 1, 0)</f>
        <v>1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0</v>
      </c>
      <c r="G80">
        <v>0</v>
      </c>
      <c r="H80">
        <v>0</v>
      </c>
      <c r="I80">
        <f>Tabelle9[[#This Row],[Count]]*(Tabelle9[[#This Row],[Simple]]*4+Tabelle9[[#This Row],[Average]]*5+Tabelle9[[#This Row],[Complex]]*7)</f>
        <v>0</v>
      </c>
    </row>
    <row r="81" spans="2:11" x14ac:dyDescent="0.25">
      <c r="B81" t="s">
        <v>14</v>
      </c>
      <c r="C81">
        <v>0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0</v>
      </c>
      <c r="H81">
        <v>0</v>
      </c>
      <c r="I81">
        <f>Tabelle9[[#This Row],[Count]]*(3*Tabelle9[[#This Row],[Simple]]+4*Tabelle9[[#This Row],[Average]]+6*Tabelle9[[#This Row],[Complex]])</f>
        <v>0</v>
      </c>
    </row>
    <row r="82" spans="2:11" x14ac:dyDescent="0.25">
      <c r="B82" t="s">
        <v>15</v>
      </c>
      <c r="C82">
        <v>2</v>
      </c>
      <c r="D82">
        <f>IF(OR(AND(Tabelle9[[#This Row],[FTR/RET]]&lt;2, Tabelle9[[#This Row],[DET]] &lt;= 50), AND(Tabelle9[[#This Row],[FTR/RET]]&lt;=5, Tabelle9[[#This Row],[DET]] &lt; 20)), 1, 0)</f>
        <v>1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2">
        <f>IF(AND(Tabelle9[[#This Row],[Simple]]=0,Tabelle9[[#This Row],[Average]]=0), 1, 0)</f>
        <v>0</v>
      </c>
      <c r="G82">
        <v>0</v>
      </c>
      <c r="H82">
        <v>0</v>
      </c>
      <c r="I82">
        <f>Tabelle9[[#This Row],[Count]]*(7*Tabelle9[[#This Row],[Simple]]+10*Tabelle9[[#This Row],[Average]]+15*Tabelle9[[#This Row],[Complex]])</f>
        <v>14</v>
      </c>
      <c r="J82" t="s">
        <v>31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58</v>
      </c>
      <c r="C86" t="s">
        <v>10</v>
      </c>
      <c r="D86" t="s">
        <v>7</v>
      </c>
      <c r="E86" t="s">
        <v>8</v>
      </c>
      <c r="F86" t="s">
        <v>9</v>
      </c>
      <c r="G86" t="s">
        <v>26</v>
      </c>
      <c r="H86" t="s">
        <v>17</v>
      </c>
      <c r="I86" t="s">
        <v>27</v>
      </c>
      <c r="J86" t="s">
        <v>11</v>
      </c>
      <c r="K86" t="s">
        <v>18</v>
      </c>
    </row>
    <row r="87" spans="2:11" x14ac:dyDescent="0.25">
      <c r="B87" t="s">
        <v>12</v>
      </c>
      <c r="C87">
        <v>10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10</v>
      </c>
      <c r="I87">
        <f>Tabelle10[[#This Row],[Count]]*(3*Tabelle10[[#This Row],[Simple]]+4*Tabelle10[[#This Row],[Average]]+6*Tabelle10[[#This Row],[Complex]])</f>
        <v>30</v>
      </c>
      <c r="K87">
        <f>SUM(Tabelle10[Points])*0.65</f>
        <v>28.6</v>
      </c>
    </row>
    <row r="88" spans="2:11" x14ac:dyDescent="0.25">
      <c r="B88" t="s">
        <v>13</v>
      </c>
      <c r="C88">
        <v>0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0</v>
      </c>
      <c r="H88">
        <v>0</v>
      </c>
      <c r="I88">
        <f>Tabelle10[[#This Row],[Count]]*(Tabelle10[[#This Row],[Simple]]*4+Tabelle10[[#This Row],[Average]]*5+Tabelle10[[#This Row],[Complex]]*7)</f>
        <v>0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0</v>
      </c>
      <c r="H89">
        <v>0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0</v>
      </c>
      <c r="H90">
        <v>0</v>
      </c>
      <c r="I90">
        <f>Tabelle10[[#This Row],[Count]]*(7*Tabelle10[[#This Row],[Simple]]+10*Tabelle10[[#This Row],[Average]]+15*Tabelle10[[#This Row],[Complex]])</f>
        <v>14</v>
      </c>
      <c r="J90" t="s">
        <v>32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58</v>
      </c>
      <c r="C94" t="s">
        <v>10</v>
      </c>
      <c r="D94" t="s">
        <v>7</v>
      </c>
      <c r="E94" t="s">
        <v>8</v>
      </c>
      <c r="F94" t="s">
        <v>9</v>
      </c>
      <c r="G94" t="s">
        <v>26</v>
      </c>
      <c r="H94" t="s">
        <v>17</v>
      </c>
      <c r="I94" t="s">
        <v>27</v>
      </c>
      <c r="J94" t="s">
        <v>11</v>
      </c>
      <c r="K94" t="s">
        <v>18</v>
      </c>
    </row>
    <row r="95" spans="2:11" x14ac:dyDescent="0.25">
      <c r="B95" t="s">
        <v>12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0</v>
      </c>
      <c r="H95">
        <v>0</v>
      </c>
      <c r="I95">
        <f>Tabelle11[[#This Row],[Count]]*(3*Tabelle11[[#This Row],[Simple]]+4*Tabelle11[[#This Row],[Average]]+6*Tabelle11[[#This Row],[Complex]])</f>
        <v>0</v>
      </c>
      <c r="K95">
        <f>SUM(Tabelle11[Points])*0.65</f>
        <v>20.150000000000002</v>
      </c>
    </row>
    <row r="96" spans="2:11" x14ac:dyDescent="0.25">
      <c r="B96" t="s">
        <v>13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0</v>
      </c>
      <c r="H96">
        <v>0</v>
      </c>
      <c r="I96">
        <f>Tabelle11[[#This Row],[Count]]*(Tabelle11[[#This Row],[Simple]]*4+Tabelle11[[#This Row],[Average]]*5+Tabelle11[[#This Row],[Complex]]*7)</f>
        <v>0</v>
      </c>
    </row>
    <row r="97" spans="2:11" x14ac:dyDescent="0.25">
      <c r="B97" t="s">
        <v>14</v>
      </c>
      <c r="C97">
        <v>1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0</v>
      </c>
      <c r="H97">
        <v>0</v>
      </c>
      <c r="I97">
        <f>Tabelle11[[#This Row],[Count]]*(3*Tabelle11[[#This Row],[Simple]]+4*Tabelle11[[#This Row],[Average]]+6*Tabelle11[[#This Row],[Complex]])</f>
        <v>3</v>
      </c>
      <c r="K97">
        <f>SeeMapsFP/Tabelle15[Velocity]</f>
        <v>23.882653061224492</v>
      </c>
    </row>
    <row r="98" spans="2:11" x14ac:dyDescent="0.25">
      <c r="B98" t="s">
        <v>15</v>
      </c>
      <c r="C98">
        <v>3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0</v>
      </c>
      <c r="H98">
        <v>0</v>
      </c>
      <c r="I98">
        <f>Tabelle11[[#This Row],[Count]]*(7*Tabelle11[[#This Row],[Simple]]+10*Tabelle11[[#This Row],[Average]]+15*Tabelle11[[#This Row],[Complex]])</f>
        <v>21</v>
      </c>
      <c r="J98" t="s">
        <v>34</v>
      </c>
    </row>
    <row r="99" spans="2:11" x14ac:dyDescent="0.25">
      <c r="B99" t="s">
        <v>16</v>
      </c>
      <c r="C99">
        <v>1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7</v>
      </c>
      <c r="J99" t="s">
        <v>23</v>
      </c>
    </row>
    <row r="102" spans="2:11" x14ac:dyDescent="0.25">
      <c r="B102" t="s">
        <v>58</v>
      </c>
      <c r="C102" t="s">
        <v>10</v>
      </c>
      <c r="D102" t="s">
        <v>7</v>
      </c>
      <c r="E102" t="s">
        <v>8</v>
      </c>
      <c r="F102" t="s">
        <v>9</v>
      </c>
      <c r="G102" t="s">
        <v>26</v>
      </c>
      <c r="H102" t="s">
        <v>17</v>
      </c>
      <c r="I102" t="s">
        <v>27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0</v>
      </c>
      <c r="H103">
        <v>1</v>
      </c>
      <c r="I103">
        <f>Tabelle12[[#This Row],[Count]]*(3*Tabelle12[[#This Row],[Simple]]+4*Tabelle12[[#This Row],[Average]]+6*Tabelle12[[#This Row],[Complex]])</f>
        <v>3</v>
      </c>
      <c r="J103" t="s">
        <v>24</v>
      </c>
      <c r="K103">
        <f>SUM(Tabelle12[Points])*0.65</f>
        <v>11.05</v>
      </c>
    </row>
    <row r="104" spans="2:11" x14ac:dyDescent="0.25">
      <c r="B104" t="s">
        <v>13</v>
      </c>
      <c r="C104">
        <v>0</v>
      </c>
      <c r="D104">
        <f>IF(OR(AND(Tabelle12[[#This Row],[FTR/RET]]&lt;=1, Tabelle12[[#This Row],[DET]] &lt;= 19), AND(Tabelle12[[#This Row],[FTR/RET]]&lt;= 3, Tabelle12[[#This Row],[DET]] &lt;= 5)), 1, 0)</f>
        <v>1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0</v>
      </c>
      <c r="G104">
        <v>0</v>
      </c>
      <c r="H104">
        <v>0</v>
      </c>
      <c r="I104">
        <f>Tabelle12[[#This Row],[Count]]*(Tabelle12[[#This Row],[Simple]]*4+Tabelle12[[#This Row],[Average]]*5+Tabelle12[[#This Row],[Complex]]*7)</f>
        <v>0</v>
      </c>
    </row>
    <row r="105" spans="2:11" x14ac:dyDescent="0.25">
      <c r="B105" t="s">
        <v>14</v>
      </c>
      <c r="C105">
        <v>0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0</v>
      </c>
      <c r="H105">
        <v>0</v>
      </c>
      <c r="I105">
        <f>Tabelle12[[#This Row],[Count]]*(3*Tabelle12[[#This Row],[Simple]]+4*Tabelle12[[#This Row],[Average]]+6*Tabelle12[[#This Row],[Complex]])</f>
        <v>0</v>
      </c>
      <c r="K105">
        <f>SetTagsFP/Tabelle15[Velocity]</f>
        <v>13.096938775510203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1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6">
        <f>IF(AND(Tabelle12[[#This Row],[Simple]]=0,Tabelle12[[#This Row],[Average]]=0), 1, 0)</f>
        <v>0</v>
      </c>
      <c r="G106">
        <v>0</v>
      </c>
      <c r="H106">
        <v>0</v>
      </c>
      <c r="I106">
        <f>Tabelle12[[#This Row],[Count]]*(7*Tabelle12[[#This Row],[Simple]]+10*Tabelle12[[#This Row],[Average]]+15*Tabelle12[[#This Row],[Complex]])</f>
        <v>14</v>
      </c>
      <c r="J106" t="s">
        <v>35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58</v>
      </c>
      <c r="C110" t="s">
        <v>10</v>
      </c>
      <c r="D110" t="s">
        <v>7</v>
      </c>
      <c r="E110" t="s">
        <v>8</v>
      </c>
      <c r="F110" t="s">
        <v>9</v>
      </c>
      <c r="G110" t="s">
        <v>26</v>
      </c>
      <c r="H110" t="s">
        <v>17</v>
      </c>
      <c r="I110" t="s">
        <v>27</v>
      </c>
      <c r="J110" t="s">
        <v>11</v>
      </c>
      <c r="K110" t="s">
        <v>18</v>
      </c>
    </row>
    <row r="111" spans="2:11" x14ac:dyDescent="0.25">
      <c r="B111" t="s">
        <v>12</v>
      </c>
      <c r="C111">
        <v>4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0</v>
      </c>
      <c r="H111">
        <v>4</v>
      </c>
      <c r="I111">
        <f>Tabelle1214[[#This Row],[Count]]*(3*Tabelle1214[[#This Row],[Simple]]+4*Tabelle1214[[#This Row],[Average]]+6*Tabelle1214[[#This Row],[Complex]])</f>
        <v>12</v>
      </c>
      <c r="J111" t="s">
        <v>25</v>
      </c>
      <c r="K111">
        <f>SUM(Tabelle1214[Points])*0.65</f>
        <v>16.900000000000002</v>
      </c>
    </row>
    <row r="112" spans="2:11" x14ac:dyDescent="0.25">
      <c r="B112" t="s">
        <v>13</v>
      </c>
      <c r="C112">
        <v>0</v>
      </c>
      <c r="D112">
        <f>IF(OR(AND(Tabelle1214[[#This Row],[FTR/RET]]&lt;=1, Tabelle1214[[#This Row],[DET]] &lt;= 19), AND(Tabelle1214[[#This Row],[FTR/RET]]&lt;= 3, Tabelle1214[[#This Row],[DET]] &lt;= 5)), 1, 0)</f>
        <v>1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0</v>
      </c>
      <c r="G112">
        <v>0</v>
      </c>
      <c r="H112">
        <v>0</v>
      </c>
      <c r="I112">
        <f>Tabelle1214[[#This Row],[Count]]*(Tabelle1214[[#This Row],[Simple]]*4+Tabelle1214[[#This Row],[Average]]*5+Tabelle1214[[#This Row],[Complex]]*7)</f>
        <v>0</v>
      </c>
    </row>
    <row r="113" spans="2:11" x14ac:dyDescent="0.25">
      <c r="B113" t="s">
        <v>14</v>
      </c>
      <c r="C113">
        <v>0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0</v>
      </c>
      <c r="H113">
        <v>0</v>
      </c>
      <c r="I113">
        <f>Tabelle1214[[#This Row],[Count]]*(3*Tabelle1214[[#This Row],[Simple]]+4*Tabelle1214[[#This Row],[Average]]+6*Tabelle1214[[#This Row],[Complex]])</f>
        <v>0</v>
      </c>
      <c r="K113">
        <f>AdministrateBarsFP/Tabelle15[Velocity]</f>
        <v>20.030612244897959</v>
      </c>
    </row>
    <row r="114" spans="2:11" x14ac:dyDescent="0.25">
      <c r="B114" t="s">
        <v>15</v>
      </c>
      <c r="C114">
        <v>2</v>
      </c>
      <c r="D114">
        <f>IF(OR(AND(Tabelle1214[[#This Row],[FTR/RET]]&lt;2, Tabelle1214[[#This Row],[DET]] &lt;= 50), AND(Tabelle1214[[#This Row],[FTR/RET]]&lt;=5, Tabelle1214[[#This Row],[DET]] &lt; 20)), 1, 0)</f>
        <v>1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4">
        <f>IF(AND(Tabelle1214[[#This Row],[Simple]]=0,Tabelle1214[[#This Row],[Average]]=0), 1, 0)</f>
        <v>0</v>
      </c>
      <c r="G114">
        <v>0</v>
      </c>
      <c r="H114">
        <v>0</v>
      </c>
      <c r="I114">
        <f>Tabelle1214[[#This Row],[Count]]*(7*Tabelle1214[[#This Row],[Simple]]+10*Tabelle1214[[#This Row],[Average]]+15*Tabelle1214[[#This Row],[Complex]])</f>
        <v>14</v>
      </c>
      <c r="J114" t="s">
        <v>36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19</v>
      </c>
      <c r="C118" t="s">
        <v>10</v>
      </c>
      <c r="D118" t="s">
        <v>7</v>
      </c>
      <c r="E118" t="s">
        <v>8</v>
      </c>
      <c r="F118" t="s">
        <v>9</v>
      </c>
      <c r="G118" t="s">
        <v>26</v>
      </c>
      <c r="H118" t="s">
        <v>17</v>
      </c>
      <c r="I118" t="s">
        <v>27</v>
      </c>
      <c r="J118" t="s">
        <v>11</v>
      </c>
      <c r="K118" t="s">
        <v>18</v>
      </c>
    </row>
    <row r="119" spans="2:11" x14ac:dyDescent="0.25">
      <c r="B119" t="s">
        <v>12</v>
      </c>
      <c r="C119">
        <v>0</v>
      </c>
      <c r="D119">
        <f>IF(OR(AND(Tabelle121415[[#This Row],[FTR/RET]]&lt;=1, Tabelle121415[[#This Row],[DET]] &lt;= 15), AND(Tabelle121415[[#This Row],[FTR/RET]]&lt;= 3, Tabelle121415[[#This Row],[DET]] &lt;= 4)), 1, 0)</f>
        <v>1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9">
        <f>IF(AND(Tabelle121415[[#This Row],[Simple]]=0,Tabelle121415[[#This Row],[Average]]=0), 1, 0)</f>
        <v>0</v>
      </c>
      <c r="G119">
        <v>0</v>
      </c>
      <c r="H119">
        <v>0</v>
      </c>
      <c r="I119">
        <f>Tabelle121415[[#This Row],[Count]]*(3*Tabelle121415[[#This Row],[Simple]]+4*Tabelle121415[[#This Row],[Average]]+6*Tabelle121415[[#This Row],[Complex]])</f>
        <v>0</v>
      </c>
      <c r="K119">
        <f>SUM(Tabelle121415[Points])*0.65</f>
        <v>0</v>
      </c>
    </row>
    <row r="120" spans="2:11" x14ac:dyDescent="0.25">
      <c r="B120" t="s">
        <v>13</v>
      </c>
      <c r="C120">
        <v>0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0</v>
      </c>
      <c r="H120">
        <v>0</v>
      </c>
      <c r="I120">
        <f>Tabelle121415[[#This Row],[Count]]*(Tabelle121415[[#This Row],[Simple]]*4+Tabelle121415[[#This Row],[Average]]*5+Tabelle121415[[#This Row],[Complex]]*7)</f>
        <v>0</v>
      </c>
    </row>
    <row r="121" spans="2:11" x14ac:dyDescent="0.25">
      <c r="B121" t="s">
        <v>14</v>
      </c>
      <c r="C121">
        <v>0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0</v>
      </c>
      <c r="H121">
        <v>0</v>
      </c>
      <c r="I121">
        <f>Tabelle121415[[#This Row],[Count]]*(3*Tabelle121415[[#This Row],[Simple]]+4*Tabelle121415[[#This Row],[Average]]+6*Tabelle121415[[#This Row],[Complex]])</f>
        <v>0</v>
      </c>
    </row>
    <row r="122" spans="2:11" x14ac:dyDescent="0.25">
      <c r="B122" t="s">
        <v>15</v>
      </c>
      <c r="C122">
        <v>0</v>
      </c>
      <c r="D122">
        <f>IF(OR(AND(Tabelle121415[[#This Row],[FTR/RET]]&lt;2, Tabelle121415[[#This Row],[DET]] &lt;= 50), AND(Tabelle121415[[#This Row],[FTR/RET]]&lt;=5, Tabelle121415[[#This Row],[DET]] &lt; 20)), 1, 0)</f>
        <v>1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2">
        <f>IF(AND(Tabelle121415[[#This Row],[Simple]]=0,Tabelle121415[[#This Row],[Average]]=0), 1, 0)</f>
        <v>0</v>
      </c>
      <c r="G122">
        <v>0</v>
      </c>
      <c r="H122">
        <v>0</v>
      </c>
      <c r="I122">
        <f>Tabelle121415[[#This Row],[Count]]*(7*Tabelle121415[[#This Row],[Simple]]+10*Tabelle121415[[#This Row],[Average]]+15*Tabelle121415[[#This Row],[Complex]])</f>
        <v>0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</vt:i4>
      </vt:variant>
    </vt:vector>
  </HeadingPairs>
  <TitlesOfParts>
    <vt:vector size="13" baseType="lpstr">
      <vt:lpstr>Tabelle1</vt:lpstr>
      <vt:lpstr>AdministrateBarsFP</vt:lpstr>
      <vt:lpstr>ChangeInfoFP</vt:lpstr>
      <vt:lpstr>CommentFP</vt:lpstr>
      <vt:lpstr>GetBarInfoFP</vt:lpstr>
      <vt:lpstr>LoginFP</vt:lpstr>
      <vt:lpstr>RateBarFP</vt:lpstr>
      <vt:lpstr>RegisterFp</vt:lpstr>
      <vt:lpstr>SearchBarFP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Gabriel Zachmann</cp:lastModifiedBy>
  <dcterms:created xsi:type="dcterms:W3CDTF">2016-04-06T09:08:04Z</dcterms:created>
  <dcterms:modified xsi:type="dcterms:W3CDTF">2017-04-26T11:06:13Z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