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_1" sheetId="1" r:id="rId4"/>
    <sheet state="visible" name="Excel_2" sheetId="2" r:id="rId5"/>
    <sheet state="visible" name="Excel_3" sheetId="3" r:id="rId6"/>
    <sheet state="visible" name="Excel_4" sheetId="4" r:id="rId7"/>
    <sheet state="visible" name="SQL" sheetId="5" r:id="rId8"/>
    <sheet state="visible" name="Кейс" sheetId="6" r:id="rId9"/>
  </sheets>
  <definedNames>
    <definedName hidden="1" localSheetId="2" name="_xlnm._FilterDatabase">Excel_3!$A$1:$E$26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1">
      <text>
        <t xml:space="preserve">Tyubaeva Alina:
в 2021 году значение сильно отличается из-за изменения цены в 2 раза</t>
      </text>
    </comment>
  </commentList>
</comments>
</file>

<file path=xl/sharedStrings.xml><?xml version="1.0" encoding="utf-8"?>
<sst xmlns="http://schemas.openxmlformats.org/spreadsheetml/2006/main" count="459" uniqueCount="183">
  <si>
    <t>Счет</t>
  </si>
  <si>
    <t>Наименование</t>
  </si>
  <si>
    <t>Строка типового отчёта P&amp;L</t>
  </si>
  <si>
    <t>Вернуть первые четыре знака колонки А</t>
  </si>
  <si>
    <t>Вернуть с 5 по 9 знаки колонки А</t>
  </si>
  <si>
    <t>По колонкам E и F подтянуть колонку В</t>
  </si>
  <si>
    <t>По колонкам E и F подтянуть колонку С</t>
  </si>
  <si>
    <t>Доходы от завершения МН вызова по кодам ABC</t>
  </si>
  <si>
    <t>Interconnection revenue</t>
  </si>
  <si>
    <t>Доходы от завершения МГ вызова по кодам ABC</t>
  </si>
  <si>
    <t>Доходы от транзита МГ телефонного трафика</t>
  </si>
  <si>
    <t>Доходы от транзита зонового и местного телефонного трафика</t>
  </si>
  <si>
    <t>Доходы от предоставления в аренду местных и зоновых каналов связи и сопутствующего сервиса</t>
  </si>
  <si>
    <t>Revenue from rent of channels</t>
  </si>
  <si>
    <t>Агентское вознаграждение</t>
  </si>
  <si>
    <t>Other revenue</t>
  </si>
  <si>
    <t>Доходы от контента_платформы МегаЛабс (фикс)</t>
  </si>
  <si>
    <t>Value-added services</t>
  </si>
  <si>
    <t>Прочие доходы от фиксированной связи</t>
  </si>
  <si>
    <t>Доходы от оказания услуг технического обслуживания и предоставления доступа к тех. ресурсам</t>
  </si>
  <si>
    <t>Доходы от услуг Интернет</t>
  </si>
  <si>
    <t>Data revenue</t>
  </si>
  <si>
    <t xml:space="preserve">Доходы от сдачи АМС в аренду </t>
  </si>
  <si>
    <t>Доходы от сдачи сетевого оборудования и площадок в аренду</t>
  </si>
  <si>
    <t>Доходы от Агентов</t>
  </si>
  <si>
    <t>Доходы от новых подключений абонентов фиксированной телефонной связи</t>
  </si>
  <si>
    <t>Connection fees</t>
  </si>
  <si>
    <t>Доходы от ежемесячной абонентской платы абонентов фиксированной телефонной связи</t>
  </si>
  <si>
    <t>Monthly fees</t>
  </si>
  <si>
    <t>Доходы от предоставления услуг ДС абонентам фиксированной телефонной связи</t>
  </si>
  <si>
    <t>Airtime revenues (own subcribers)</t>
  </si>
  <si>
    <t>Доходы от трафика абонентов фиксированной телефонной связи</t>
  </si>
  <si>
    <t>Доходы от дополнительных услуг абонентам фиксированной телефонной связи</t>
  </si>
  <si>
    <t>Доходы от услуг местного и зонового завершения вызова по кодам ABC МГФ</t>
  </si>
  <si>
    <t>Доходы от транзита МН телефонного трафика</t>
  </si>
  <si>
    <t>Доходы от сдачи в аренду МГ и МН каналов и сопутствующего сервиса</t>
  </si>
  <si>
    <t>Доходы от услуг виртуальной частной сети (VPN)</t>
  </si>
  <si>
    <t>Доходы от организации точек присоединения к сетям фиксированной телефонной связи МегаФон</t>
  </si>
  <si>
    <t>Доходы от организации точек присоединения к телефонной сети МГ/МН связи МегаФон</t>
  </si>
  <si>
    <t>Доходы от услуг хостинга</t>
  </si>
  <si>
    <t>Фамилия</t>
  </si>
  <si>
    <t>Кол-во баллов</t>
  </si>
  <si>
    <t>Категория</t>
  </si>
  <si>
    <t>Если кол-во баллов</t>
  </si>
  <si>
    <t>Белкин</t>
  </si>
  <si>
    <t>&gt;</t>
  </si>
  <si>
    <t>A</t>
  </si>
  <si>
    <t>Иванов</t>
  </si>
  <si>
    <t>B</t>
  </si>
  <si>
    <t>Кулешов</t>
  </si>
  <si>
    <t>C</t>
  </si>
  <si>
    <t>Петров</t>
  </si>
  <si>
    <t>D</t>
  </si>
  <si>
    <t>Сидоров</t>
  </si>
  <si>
    <t>E</t>
  </si>
  <si>
    <t>Токарев</t>
  </si>
  <si>
    <t>Фадеев</t>
  </si>
  <si>
    <t>№ п/п</t>
  </si>
  <si>
    <t>Заказчик</t>
  </si>
  <si>
    <t>Товар</t>
  </si>
  <si>
    <t>Объем 
партии, кг</t>
  </si>
  <si>
    <t>Менеджер</t>
  </si>
  <si>
    <t>Количество продаж киви</t>
  </si>
  <si>
    <t>Рамстор</t>
  </si>
  <si>
    <t>Яблоки</t>
  </si>
  <si>
    <t>Груши</t>
  </si>
  <si>
    <t>Количество продаж киви Петровым</t>
  </si>
  <si>
    <t>Копейка</t>
  </si>
  <si>
    <t>Капуста</t>
  </si>
  <si>
    <t>Григорьев</t>
  </si>
  <si>
    <t>Мандарины</t>
  </si>
  <si>
    <t>Метро</t>
  </si>
  <si>
    <t>Киви</t>
  </si>
  <si>
    <t>Суммарный объем проданных киви</t>
  </si>
  <si>
    <t>Михайлов</t>
  </si>
  <si>
    <t>Ашан</t>
  </si>
  <si>
    <t>Объем проданного киви Петровым</t>
  </si>
  <si>
    <t>Ананас</t>
  </si>
  <si>
    <t>Манго</t>
  </si>
  <si>
    <t>Лапин</t>
  </si>
  <si>
    <t xml:space="preserve">Количество продаж киви с объемом партий превышающих 20 кг. </t>
  </si>
  <si>
    <t>Грейпфрут</t>
  </si>
  <si>
    <t>Банан</t>
  </si>
  <si>
    <t>Объем проданного Ашану киви за исключением партий от Петрова</t>
  </si>
  <si>
    <t>Персик</t>
  </si>
  <si>
    <t>Абрикос</t>
  </si>
  <si>
    <t>Чадов</t>
  </si>
  <si>
    <t>Нектарин</t>
  </si>
  <si>
    <t>Морковь</t>
  </si>
  <si>
    <t>Лук</t>
  </si>
  <si>
    <t>Картофель</t>
  </si>
  <si>
    <t>Огурец</t>
  </si>
  <si>
    <t>Баклажан</t>
  </si>
  <si>
    <t>Цель задания - определить знание функции СУММПРОИЗВ</t>
  </si>
  <si>
    <t>Посчитать совокупный валовую прибыль по всем столбцам:</t>
  </si>
  <si>
    <t>Посчитать совокупный валовую прибыль по филиалу СтФ:</t>
  </si>
  <si>
    <t>Посчитать совокупный валовую прибыль за август:</t>
  </si>
  <si>
    <t>Филиал</t>
  </si>
  <si>
    <t>Период</t>
  </si>
  <si>
    <t xml:space="preserve">Выручка </t>
  </si>
  <si>
    <t>Маржинальность</t>
  </si>
  <si>
    <t>СтФ</t>
  </si>
  <si>
    <t>КФ</t>
  </si>
  <si>
    <t>СЗФ</t>
  </si>
  <si>
    <t>СибФ</t>
  </si>
  <si>
    <t>ДВФ</t>
  </si>
  <si>
    <t>II. Тест на знание основных операторов SQL</t>
  </si>
  <si>
    <t>Таблица TRANSACT содержит подневный факт продаж товара.</t>
  </si>
  <si>
    <t>дата продажи</t>
  </si>
  <si>
    <t>канал продажи</t>
  </si>
  <si>
    <t>точка продажи</t>
  </si>
  <si>
    <t>логин сотрудника</t>
  </si>
  <si>
    <t>серийный номер товара</t>
  </si>
  <si>
    <t>сумма продажи с НДС</t>
  </si>
  <si>
    <t>snap_date</t>
  </si>
  <si>
    <t>channel_name</t>
  </si>
  <si>
    <t>point_id</t>
  </si>
  <si>
    <t>login</t>
  </si>
  <si>
    <t>serial</t>
  </si>
  <si>
    <t>price</t>
  </si>
  <si>
    <t xml:space="preserve">retail </t>
  </si>
  <si>
    <t>A456</t>
  </si>
  <si>
    <t>A1_IVANOV</t>
  </si>
  <si>
    <t>074648576857</t>
  </si>
  <si>
    <t>054654645646</t>
  </si>
  <si>
    <t>wholesale</t>
  </si>
  <si>
    <t>C987</t>
  </si>
  <si>
    <t>B2_MATVEEV</t>
  </si>
  <si>
    <t>056734574745</t>
  </si>
  <si>
    <t>…</t>
  </si>
  <si>
    <t>Таблица WAREHOUSE содержит данные по себестоимости товара.</t>
  </si>
  <si>
    <t>Начало действия</t>
  </si>
  <si>
    <t>Окончание действия</t>
  </si>
  <si>
    <t>себестоимость</t>
  </si>
  <si>
    <t>start_date</t>
  </si>
  <si>
    <t>end_date</t>
  </si>
  <si>
    <t>1. Напишите SQL-запрос возвращающий Количество проданного товара и Общую сумму выручки в разрезе Точки продаж за 31 декабря 2018 года. Отсортируйте результат в порядке убывания выручки.</t>
  </si>
  <si>
    <t>2. Напишите SQL-запрос возвращающий список состоящий из Количества продаж и Сотрудников , которые совершили более 2х продаж за период с 1 по 31 декабря 2018 года и имеют в наименовании логина приставку "A1_".</t>
  </si>
  <si>
    <t>3. Напишите SQL-запрос возвращающий расчет Мотивации в разрезе каждого Сотрудника в каналах продаж ограниченных Розницей и Оптом, где под Мотивационной ставкой подразумевается % от продажи каждой единицы товара: 10% за сумму продажи до 15тыс. и 20% за сумму от 15тыс.</t>
  </si>
  <si>
    <t>1.
select 
    point_id,
    count(price),
    sum(price)
from TRANSACT
where snap_date = '2018-12-31'
group by point_id
order by sum(price) desc</t>
  </si>
  <si>
    <t>2.
select
    login,
    count(price)
from TRANSACT
where snap_date between  '2018-12-01' and '2018-12-31'
and login like 'A1_%'
group by login
having count(price) &gt; 2</t>
  </si>
  <si>
    <t>3. Предполагаю, что % считается от первоначальной суммы продажи с НДС. 10% за сумму продажи менее 15тыс., 20% за сумму 15тыс. и более. Считаю полученный процент за каждую продажу, а потом для каждого сотрудника считаю общую полученную сумму премии, отдельно для 2 каналов продаж (розница и опт).
with motivation as(
    select
        login,
        channel_name,
        case when price &lt; 15000 then price * 0.1
            when price &gt;= 15000 then price * 0.2
        end as proc
    from TRANSACT
    where channel_name in ('retail', 'wholesale')
)
select
    login,
    channel_name,
    sum(proc) as sum_motivation
from motivation
group by
    login,
    channel_name</t>
  </si>
  <si>
    <t>ДАНО:</t>
  </si>
  <si>
    <t>Продажи, штуки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</si>
  <si>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</si>
  <si>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</si>
  <si>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</si>
  <si>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</si>
  <si>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</si>
  <si>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</si>
  <si>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</si>
  <si>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</si>
  <si>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</si>
  <si>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</si>
  <si>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</si>
  <si>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</si>
  <si>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Товар 1</t>
  </si>
  <si>
    <t>Значение тренда</t>
  </si>
  <si>
    <t>Отклонение фактических продаж от значений тренда</t>
  </si>
  <si>
    <t>Средние продажи за год</t>
  </si>
  <si>
    <t>Индекс сезонности по месяцам</t>
  </si>
  <si>
    <t>Усредненный индекс сезонности по месяцам</t>
  </si>
  <si>
    <t>Товар 2</t>
  </si>
  <si>
    <t>Товар 3</t>
  </si>
  <si>
    <t>y=bx+a</t>
  </si>
  <si>
    <t>b</t>
  </si>
  <si>
    <t>a</t>
  </si>
  <si>
    <t>Остатки штуки</t>
  </si>
  <si>
    <t>Розничная цена, рубли</t>
  </si>
  <si>
    <t>Закупочная цена, рубли</t>
  </si>
  <si>
    <t>ЗАДАНИЕ:</t>
  </si>
  <si>
    <t>1. Спланировать товарооборот  (руб.) по месяцам на 2022 год (прогнозируем по умолчанию, что всплесков (падение/взлет) вызванных отсутствием товара, акциями, внешними факторами не будет).</t>
  </si>
  <si>
    <t>Товарооборот</t>
  </si>
  <si>
    <t xml:space="preserve">2. Спланировать товарооборот товара1 на август 2022 года если розничная цена будет 350 рублей </t>
  </si>
  <si>
    <t>Цена (X)</t>
  </si>
  <si>
    <t>y = a+b*X</t>
  </si>
  <si>
    <t>Прогнозное значение продаж июля 21 года при розничной цене 500 руб</t>
  </si>
  <si>
    <t>Реальное значение продаж июля 21 года при розничной цене 250 руб</t>
  </si>
  <si>
    <t>при цене 350 руб спрос будет в 1,55 р больше, чем при цене 500 руб.</t>
  </si>
  <si>
    <t>Товарооборот товара 1 на август 2022 года при цене 350 руб.</t>
  </si>
  <si>
    <t>3. Написать наблюдения по каждому товару (выводы на основе данных выше)</t>
  </si>
  <si>
    <t>* просьба сохранить формулы и этапы вычисления</t>
  </si>
  <si>
    <t xml:space="preserve">Товар 1 в 2020 году больше покупали к праздникам (Новый год, 8 марта, 1 сентября). Спрос на товар сильно зависит от цены (в июле 2021 года спрос на него вырос почти в 2 раза, когда цена была меньше в 2 раза).
Товар 2 в 2020 году больше покупали в холодное время года, в 2021 году спрос на данный товар заметно снизился и стал меньше подвержен сезонности.
Продажи 3 товара мало зависят от цены (скидка почти 50% в августе 2021 года не дала заметного роста продаж). Спрос на данный товар также снижается, но не сильно.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</si>
</sst>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_ ;\-0\ "/>
    <numFmt numFmtId="165" formatCode="_-* #,##0_р_._-;\-* #,##0_р_._-;_-* &quot;-&quot;??_р_._-;_-@"/>
    <numFmt numFmtId="166" formatCode="[$-407]mmm\.\ yy"/>
    <numFmt numFmtId="167" formatCode="#,##0.0"/>
    <numFmt numFmtId="168" formatCode="0.000000"/>
  </numFmts>
  <fonts count="11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Arimo"/>
    </font>
    <font/>
    <font>
      <sz val="10.0"/>
      <color theme="1"/>
      <name val="Times New Roman"/>
    </font>
    <font>
      <color theme="1"/>
      <name val="Calibri"/>
      <scheme val="minor"/>
    </font>
    <font>
      <b/>
      <i/>
      <u/>
      <sz val="14.0"/>
      <color theme="1"/>
      <name val="Calibri"/>
    </font>
    <font>
      <b/>
      <i/>
      <sz val="11.0"/>
      <color rgb="FFA5A5A5"/>
      <name val="Calibri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34">
    <border/>
    <border>
      <left/>
      <right/>
      <top style="thin">
        <color rgb="FF9CC2E5"/>
      </top>
      <bottom/>
    </border>
    <border>
      <left style="thin">
        <color rgb="FF9CC2E5"/>
      </left>
      <right/>
      <top style="thin">
        <color rgb="FF9CC2E5"/>
      </top>
      <bottom/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/>
      <top style="thin">
        <color rgb="FF9CC2E5"/>
      </top>
      <bottom style="thin">
        <color rgb="FF000000"/>
      </bottom>
    </border>
    <border>
      <right/>
      <top style="thin">
        <color rgb="FF9CC2E5"/>
      </top>
      <bottom style="thin">
        <color rgb="FF000000"/>
      </bottom>
    </border>
    <border>
      <left/>
      <right/>
      <top style="thin">
        <color rgb="FF9CC2E5"/>
      </top>
      <bottom style="thin">
        <color rgb="FF000000"/>
      </bottom>
    </border>
    <border>
      <left style="thin">
        <color rgb="FF00B0F0"/>
      </left>
      <right style="thin">
        <color rgb="FF9CC2E5"/>
      </right>
      <top style="thin">
        <color rgb="FF9CC2E5"/>
      </top>
      <bottom style="thin">
        <color rgb="FF9CC2E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/>
      <top/>
    </border>
    <border>
      <right/>
      <top/>
    </border>
    <border>
      <left/>
    </border>
    <border>
      <right/>
    </border>
    <border>
      <left/>
      <bottom/>
    </border>
    <border>
      <right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vertical="center"/>
    </xf>
    <xf borderId="0" fillId="0" fontId="2" numFmtId="164" xfId="0" applyAlignment="1" applyFont="1" applyNumberFormat="1">
      <alignment shrinkToFit="0" vertical="center" wrapText="1"/>
    </xf>
    <xf borderId="3" fillId="4" fontId="2" numFmtId="0" xfId="0" applyAlignment="1" applyBorder="1" applyFill="1" applyFont="1">
      <alignment vertical="center"/>
    </xf>
    <xf borderId="3" fillId="4" fontId="2" numFmtId="165" xfId="0" applyAlignment="1" applyBorder="1" applyFont="1" applyNumberFormat="1">
      <alignment vertical="center"/>
    </xf>
    <xf borderId="0" fillId="0" fontId="2" numFmtId="49" xfId="0" applyAlignment="1" applyFont="1" applyNumberFormat="1">
      <alignment shrinkToFit="0" vertical="center" wrapText="1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0" fillId="0" fontId="4" numFmtId="0" xfId="0" applyFont="1"/>
    <xf borderId="4" fillId="2" fontId="1" numFmtId="0" xfId="0" applyAlignment="1" applyBorder="1" applyFont="1">
      <alignment horizontal="center"/>
    </xf>
    <xf borderId="5" fillId="0" fontId="5" numFmtId="0" xfId="0" applyBorder="1" applyFont="1"/>
    <xf borderId="6" fillId="2" fontId="1" numFmtId="0" xfId="0" applyAlignment="1" applyBorder="1" applyFont="1">
      <alignment horizontal="center"/>
    </xf>
    <xf borderId="2" fillId="3" fontId="2" numFmtId="0" xfId="0" applyAlignment="1" applyBorder="1" applyFont="1">
      <alignment horizontal="left"/>
    </xf>
    <xf borderId="2" fillId="3" fontId="2" numFmtId="0" xfId="0" applyAlignment="1" applyBorder="1" applyFont="1">
      <alignment horizontal="center"/>
    </xf>
    <xf borderId="3" fillId="4" fontId="2" numFmtId="165" xfId="0" applyAlignment="1" applyBorder="1" applyFont="1" applyNumberFormat="1">
      <alignment horizontal="center"/>
    </xf>
    <xf borderId="2" fillId="3" fontId="2" numFmtId="165" xfId="0" applyBorder="1" applyFont="1" applyNumberFormat="1"/>
    <xf borderId="3" fillId="4" fontId="2" numFmtId="165" xfId="0" applyBorder="1" applyFont="1" applyNumberFormat="1"/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2" numFmtId="0" xfId="0" applyFont="1"/>
    <xf borderId="0" fillId="0" fontId="7" numFmtId="0" xfId="0" applyFont="1"/>
    <xf borderId="7" fillId="4" fontId="2" numFmtId="165" xfId="0" applyBorder="1" applyFont="1" applyNumberFormat="1"/>
    <xf borderId="8" fillId="0" fontId="3" numFmtId="166" xfId="0" applyAlignment="1" applyBorder="1" applyFont="1" applyNumberFormat="1">
      <alignment horizontal="center" shrinkToFit="0" vertical="center" wrapText="1"/>
    </xf>
    <xf borderId="9" fillId="0" fontId="2" numFmtId="0" xfId="0" applyAlignment="1" applyBorder="1" applyFont="1">
      <alignment horizontal="center"/>
    </xf>
    <xf borderId="9" fillId="0" fontId="2" numFmtId="14" xfId="0" applyAlignment="1" applyBorder="1" applyFont="1" applyNumberFormat="1">
      <alignment horizontal="center"/>
    </xf>
    <xf borderId="9" fillId="0" fontId="2" numFmtId="3" xfId="0" applyAlignment="1" applyBorder="1" applyFont="1" applyNumberFormat="1">
      <alignment horizontal="center"/>
    </xf>
    <xf borderId="9" fillId="0" fontId="2" numFmtId="9" xfId="0" applyAlignment="1" applyBorder="1" applyFont="1" applyNumberFormat="1">
      <alignment horizontal="center"/>
    </xf>
    <xf borderId="0" fillId="0" fontId="2" numFmtId="167" xfId="0" applyFont="1" applyNumberFormat="1"/>
    <xf borderId="0" fillId="0" fontId="8" numFmtId="0" xfId="0" applyFont="1"/>
    <xf borderId="0" fillId="0" fontId="9" numFmtId="0" xfId="0" applyFont="1"/>
    <xf borderId="10" fillId="2" fontId="1" numFmtId="0" xfId="0" applyAlignment="1" applyBorder="1" applyFont="1">
      <alignment horizontal="left"/>
    </xf>
    <xf borderId="10" fillId="3" fontId="2" numFmtId="14" xfId="0" applyAlignment="1" applyBorder="1" applyFont="1" applyNumberFormat="1">
      <alignment horizontal="left"/>
    </xf>
    <xf borderId="10" fillId="3" fontId="2" numFmtId="0" xfId="0" applyAlignment="1" applyBorder="1" applyFont="1">
      <alignment horizontal="left"/>
    </xf>
    <xf borderId="10" fillId="0" fontId="2" numFmtId="14" xfId="0" applyAlignment="1" applyBorder="1" applyFont="1" applyNumberFormat="1">
      <alignment horizontal="left"/>
    </xf>
    <xf borderId="10" fillId="5" fontId="2" numFmtId="0" xfId="0" applyAlignment="1" applyBorder="1" applyFill="1" applyFont="1">
      <alignment horizontal="left"/>
    </xf>
    <xf borderId="10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11" fillId="4" fontId="2" numFmtId="165" xfId="0" applyAlignment="1" applyBorder="1" applyFont="1" applyNumberFormat="1">
      <alignment horizontal="left" shrinkToFit="0" vertical="top" wrapText="1"/>
    </xf>
    <xf borderId="12" fillId="0" fontId="5" numFmtId="0" xfId="0" applyBorder="1" applyFont="1"/>
    <xf borderId="11" fillId="4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6" fontId="10" numFmtId="0" xfId="0" applyBorder="1" applyFill="1" applyFont="1"/>
    <xf borderId="17" fillId="6" fontId="2" numFmtId="0" xfId="0" applyBorder="1" applyFont="1"/>
    <xf borderId="9" fillId="0" fontId="2" numFmtId="0" xfId="0" applyBorder="1" applyFont="1"/>
    <xf borderId="18" fillId="0" fontId="2" numFmtId="0" xfId="0" applyAlignment="1" applyBorder="1" applyFont="1">
      <alignment horizontal="center"/>
    </xf>
    <xf borderId="19" fillId="0" fontId="5" numFmtId="0" xfId="0" applyBorder="1" applyFont="1"/>
    <xf borderId="8" fillId="0" fontId="5" numFmtId="0" xfId="0" applyBorder="1" applyFont="1"/>
    <xf borderId="18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9" fillId="4" fontId="2" numFmtId="0" xfId="0" applyBorder="1" applyFont="1"/>
    <xf borderId="20" fillId="0" fontId="2" numFmtId="0" xfId="0" applyBorder="1" applyFont="1"/>
    <xf borderId="21" fillId="0" fontId="2" numFmtId="3" xfId="0" applyBorder="1" applyFont="1" applyNumberFormat="1"/>
    <xf borderId="22" fillId="0" fontId="2" numFmtId="3" xfId="0" applyBorder="1" applyFont="1" applyNumberFormat="1"/>
    <xf borderId="23" fillId="4" fontId="2" numFmtId="1" xfId="0" applyBorder="1" applyFont="1" applyNumberFormat="1"/>
    <xf borderId="24" fillId="4" fontId="2" numFmtId="1" xfId="0" applyBorder="1" applyFont="1" applyNumberFormat="1"/>
    <xf borderId="25" fillId="4" fontId="2" numFmtId="1" xfId="0" applyBorder="1" applyFont="1" applyNumberFormat="1"/>
    <xf borderId="26" fillId="4" fontId="2" numFmtId="0" xfId="0" applyBorder="1" applyFont="1"/>
    <xf borderId="17" fillId="4" fontId="2" numFmtId="3" xfId="0" applyBorder="1" applyFont="1" applyNumberFormat="1"/>
    <xf borderId="27" fillId="4" fontId="2" numFmtId="3" xfId="0" applyBorder="1" applyFont="1" applyNumberFormat="1"/>
    <xf borderId="28" fillId="4" fontId="2" numFmtId="3" xfId="0" applyBorder="1" applyFont="1" applyNumberFormat="1"/>
    <xf borderId="29" fillId="4" fontId="2" numFmtId="3" xfId="0" applyBorder="1" applyFont="1" applyNumberFormat="1"/>
    <xf borderId="30" fillId="4" fontId="2" numFmtId="3" xfId="0" applyBorder="1" applyFont="1" applyNumberFormat="1"/>
    <xf borderId="26" fillId="4" fontId="2" numFmtId="0" xfId="0" applyAlignment="1" applyBorder="1" applyFont="1">
      <alignment shrinkToFit="0" wrapText="1"/>
    </xf>
    <xf borderId="17" fillId="4" fontId="2" numFmtId="4" xfId="0" applyBorder="1" applyFont="1" applyNumberFormat="1"/>
    <xf borderId="27" fillId="4" fontId="2" numFmtId="4" xfId="0" applyBorder="1" applyFont="1" applyNumberFormat="1"/>
    <xf borderId="0" fillId="0" fontId="2" numFmtId="1" xfId="0" applyFont="1" applyNumberFormat="1"/>
    <xf borderId="28" fillId="4" fontId="2" numFmtId="0" xfId="0" applyAlignment="1" applyBorder="1" applyFont="1">
      <alignment shrinkToFit="0" wrapText="1"/>
    </xf>
    <xf borderId="29" fillId="4" fontId="2" numFmtId="4" xfId="0" applyBorder="1" applyFont="1" applyNumberFormat="1"/>
    <xf borderId="30" fillId="4" fontId="2" numFmtId="4" xfId="0" applyBorder="1" applyFont="1" applyNumberFormat="1"/>
    <xf borderId="0" fillId="0" fontId="2" numFmtId="4" xfId="0" applyFont="1" applyNumberFormat="1"/>
    <xf borderId="9" fillId="4" fontId="3" numFmtId="0" xfId="0" applyBorder="1" applyFont="1"/>
    <xf borderId="0" fillId="0" fontId="2" numFmtId="3" xfId="0" applyFont="1" applyNumberFormat="1"/>
    <xf borderId="17" fillId="4" fontId="2" numFmtId="0" xfId="0" applyBorder="1" applyFont="1"/>
    <xf borderId="17" fillId="4" fontId="2" numFmtId="0" xfId="0" applyAlignment="1" applyBorder="1" applyFont="1">
      <alignment shrinkToFit="0" wrapText="1"/>
    </xf>
    <xf borderId="17" fillId="4" fontId="2" numFmtId="1" xfId="0" applyBorder="1" applyFont="1" applyNumberFormat="1"/>
    <xf borderId="9" fillId="4" fontId="2" numFmtId="1" xfId="0" applyBorder="1" applyFont="1" applyNumberFormat="1"/>
    <xf borderId="0" fillId="0" fontId="2" numFmtId="168" xfId="0" applyFont="1" applyNumberFormat="1"/>
    <xf borderId="0" fillId="0" fontId="2" numFmtId="2" xfId="0" applyFont="1" applyNumberFormat="1"/>
    <xf borderId="17" fillId="4" fontId="2" numFmtId="2" xfId="0" applyBorder="1" applyFont="1" applyNumberFormat="1"/>
    <xf borderId="0" fillId="0" fontId="3" numFmtId="0" xfId="0" applyFont="1"/>
    <xf borderId="17" fillId="4" fontId="3" numFmtId="3" xfId="0" applyBorder="1" applyFont="1" applyNumberFormat="1"/>
    <xf borderId="31" fillId="4" fontId="2" numFmtId="0" xfId="0" applyAlignment="1" applyBorder="1" applyFont="1">
      <alignment horizontal="left" shrinkToFit="0" vertical="top" wrapText="1"/>
    </xf>
    <xf borderId="32" fillId="0" fontId="5" numFmtId="0" xfId="0" applyBorder="1" applyFont="1"/>
    <xf borderId="3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Продажи 2020-2021</a:t>
            </a:r>
          </a:p>
        </c:rich>
      </c:tx>
      <c:overlay val="0"/>
    </c:title>
    <c:plotArea>
      <c:layout/>
      <c:lineChart>
        <c:ser>
          <c:idx val="0"/>
          <c:order val="0"/>
          <c:tx>
            <c:v>Товар 1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trendline>
            <c:name>Linear (Товар 1)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'Кейс'!$B$6:$Y$6</c:f>
              <c:numCache/>
            </c:numRef>
          </c:val>
          <c:smooth val="0"/>
        </c:ser>
        <c:ser>
          <c:idx val="1"/>
          <c:order val="1"/>
          <c:tx>
            <c:v>Товар 2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trendline>
            <c:name>Linear (Товар 2)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'Кейс'!$B$12:$Y$12</c:f>
              <c:numCache/>
            </c:numRef>
          </c:val>
          <c:smooth val="0"/>
        </c:ser>
        <c:ser>
          <c:idx val="2"/>
          <c:order val="2"/>
          <c:tx>
            <c:v>Товар 3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trendline>
            <c:name>Linear (Товар 3)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'Кейс'!$B$18:$Y$18</c:f>
              <c:numCache/>
            </c:numRef>
          </c:val>
          <c:smooth val="0"/>
        </c:ser>
        <c:axId val="1104759089"/>
        <c:axId val="868143291"/>
      </c:lineChart>
      <c:catAx>
        <c:axId val="1104759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8143291"/>
      </c:catAx>
      <c:valAx>
        <c:axId val="868143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0475908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37</xdr:col>
      <xdr:colOff>180975</xdr:colOff>
      <xdr:row>1</xdr:row>
      <xdr:rowOff>28575</xdr:rowOff>
    </xdr:from>
    <xdr:ext cx="4067175" cy="26670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0"/>
    <col customWidth="1" min="2" max="2" width="93.57"/>
    <col customWidth="1" min="3" max="3" width="32.43"/>
    <col customWidth="1" min="4" max="4" width="17.43"/>
    <col customWidth="1" min="5" max="6" width="25.57"/>
    <col customWidth="1" min="7" max="7" width="65.86"/>
    <col customWidth="1" min="8" max="8" width="29.0"/>
    <col customWidth="1" min="9" max="26" width="21.0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>
        <v>4.11100015E8</v>
      </c>
      <c r="B2" s="4" t="s">
        <v>7</v>
      </c>
      <c r="C2" s="4" t="s">
        <v>8</v>
      </c>
      <c r="D2" s="5"/>
      <c r="E2" s="6" t="str">
        <f t="shared" ref="E2:E26" si="1">LEFT(A2,4)</f>
        <v>4111</v>
      </c>
      <c r="F2" s="6" t="str">
        <f t="shared" ref="F2:F26" si="2">MID(A2,5,5)</f>
        <v>00015</v>
      </c>
      <c r="G2" s="7" t="str">
        <f t="shared" ref="G2:G26" si="3">VLOOKUP(E2*100000+F2,$A$2:$C$26,2,0)</f>
        <v>Доходы от завершения МН вызова по кодам ABC</v>
      </c>
      <c r="H2" s="7" t="str">
        <f t="shared" ref="H2:H26" si="4">VLOOKUP(E2*100000+F2,$A$2:$C$26,3,0)</f>
        <v>Interconnection revenue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>
        <v>4.11100096E8</v>
      </c>
      <c r="B3" s="4" t="s">
        <v>9</v>
      </c>
      <c r="C3" s="4" t="s">
        <v>8</v>
      </c>
      <c r="D3" s="5"/>
      <c r="E3" s="6" t="str">
        <f t="shared" si="1"/>
        <v>4111</v>
      </c>
      <c r="F3" s="6" t="str">
        <f t="shared" si="2"/>
        <v>00096</v>
      </c>
      <c r="G3" s="7" t="str">
        <f t="shared" si="3"/>
        <v>Доходы от завершения МГ вызова по кодам ABC</v>
      </c>
      <c r="H3" s="7" t="str">
        <f t="shared" si="4"/>
        <v>Interconnection revenue</v>
      </c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>
        <v>4.11100097E8</v>
      </c>
      <c r="B4" s="4" t="s">
        <v>10</v>
      </c>
      <c r="C4" s="4" t="s">
        <v>8</v>
      </c>
      <c r="D4" s="5"/>
      <c r="E4" s="6" t="str">
        <f t="shared" si="1"/>
        <v>4111</v>
      </c>
      <c r="F4" s="6" t="str">
        <f t="shared" si="2"/>
        <v>00097</v>
      </c>
      <c r="G4" s="7" t="str">
        <f t="shared" si="3"/>
        <v>Доходы от транзита МГ телефонного трафика</v>
      </c>
      <c r="H4" s="7" t="str">
        <f t="shared" si="4"/>
        <v>Interconnection revenue</v>
      </c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>
        <v>4.11100098E8</v>
      </c>
      <c r="B5" s="4" t="s">
        <v>11</v>
      </c>
      <c r="C5" s="4" t="s">
        <v>8</v>
      </c>
      <c r="D5" s="5"/>
      <c r="E5" s="6" t="str">
        <f t="shared" si="1"/>
        <v>4111</v>
      </c>
      <c r="F5" s="6" t="str">
        <f t="shared" si="2"/>
        <v>00098</v>
      </c>
      <c r="G5" s="7" t="str">
        <f t="shared" si="3"/>
        <v>Доходы от транзита зонового и местного телефонного трафика</v>
      </c>
      <c r="H5" s="7" t="str">
        <f t="shared" si="4"/>
        <v>Interconnection revenue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>
        <v>4.11100009E8</v>
      </c>
      <c r="B6" s="4" t="s">
        <v>12</v>
      </c>
      <c r="C6" s="4" t="s">
        <v>13</v>
      </c>
      <c r="D6" s="5"/>
      <c r="E6" s="6" t="str">
        <f t="shared" si="1"/>
        <v>4111</v>
      </c>
      <c r="F6" s="6" t="str">
        <f t="shared" si="2"/>
        <v>00009</v>
      </c>
      <c r="G6" s="7" t="str">
        <f t="shared" si="3"/>
        <v>Доходы от предоставления в аренду местных и зоновых каналов связи и сопутствующего сервиса</v>
      </c>
      <c r="H6" s="7" t="str">
        <f t="shared" si="4"/>
        <v>Revenue from rent of channels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>
        <v>4.11100023E8</v>
      </c>
      <c r="B7" s="4" t="s">
        <v>14</v>
      </c>
      <c r="C7" s="4" t="s">
        <v>15</v>
      </c>
      <c r="D7" s="2"/>
      <c r="E7" s="6" t="str">
        <f t="shared" si="1"/>
        <v>4111</v>
      </c>
      <c r="F7" s="6" t="str">
        <f t="shared" si="2"/>
        <v>00023</v>
      </c>
      <c r="G7" s="7" t="str">
        <f t="shared" si="3"/>
        <v>Агентское вознаграждение</v>
      </c>
      <c r="H7" s="7" t="str">
        <f t="shared" si="4"/>
        <v>Other revenue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4">
        <v>4.11100128E8</v>
      </c>
      <c r="B8" s="4" t="s">
        <v>16</v>
      </c>
      <c r="C8" s="4" t="s">
        <v>17</v>
      </c>
      <c r="D8" s="2"/>
      <c r="E8" s="6" t="str">
        <f t="shared" si="1"/>
        <v>4111</v>
      </c>
      <c r="F8" s="6" t="str">
        <f t="shared" si="2"/>
        <v>00128</v>
      </c>
      <c r="G8" s="7" t="str">
        <f t="shared" si="3"/>
        <v>Доходы от контента_платформы МегаЛабс (фикс)</v>
      </c>
      <c r="H8" s="7" t="str">
        <f t="shared" si="4"/>
        <v>Value-added services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>
        <v>4.11100034E8</v>
      </c>
      <c r="B9" s="4" t="s">
        <v>18</v>
      </c>
      <c r="C9" s="4" t="s">
        <v>15</v>
      </c>
      <c r="D9" s="2"/>
      <c r="E9" s="6" t="str">
        <f t="shared" si="1"/>
        <v>4111</v>
      </c>
      <c r="F9" s="6" t="str">
        <f t="shared" si="2"/>
        <v>00034</v>
      </c>
      <c r="G9" s="7" t="str">
        <f t="shared" si="3"/>
        <v>Прочие доходы от фиксированной связи</v>
      </c>
      <c r="H9" s="7" t="str">
        <f t="shared" si="4"/>
        <v>Other revenue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">
        <v>4.11100011E8</v>
      </c>
      <c r="B10" s="4" t="s">
        <v>19</v>
      </c>
      <c r="C10" s="4" t="s">
        <v>15</v>
      </c>
      <c r="D10" s="2"/>
      <c r="E10" s="6" t="str">
        <f t="shared" si="1"/>
        <v>4111</v>
      </c>
      <c r="F10" s="6" t="str">
        <f t="shared" si="2"/>
        <v>00011</v>
      </c>
      <c r="G10" s="7" t="str">
        <f t="shared" si="3"/>
        <v>Доходы от оказания услуг технического обслуживания и предоставления доступа к тех. ресурсам</v>
      </c>
      <c r="H10" s="7" t="str">
        <f t="shared" si="4"/>
        <v>Other revenue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">
        <v>4.11100039E8</v>
      </c>
      <c r="B11" s="4" t="s">
        <v>20</v>
      </c>
      <c r="C11" s="4" t="s">
        <v>21</v>
      </c>
      <c r="D11" s="2"/>
      <c r="E11" s="6" t="str">
        <f t="shared" si="1"/>
        <v>4111</v>
      </c>
      <c r="F11" s="6" t="str">
        <f t="shared" si="2"/>
        <v>00039</v>
      </c>
      <c r="G11" s="7" t="str">
        <f t="shared" si="3"/>
        <v>Доходы от услуг Интернет</v>
      </c>
      <c r="H11" s="7" t="str">
        <f t="shared" si="4"/>
        <v>Data revenue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>
        <v>4.11100037E8</v>
      </c>
      <c r="B12" s="4" t="s">
        <v>22</v>
      </c>
      <c r="C12" s="4" t="s">
        <v>15</v>
      </c>
      <c r="D12" s="2"/>
      <c r="E12" s="6" t="str">
        <f t="shared" si="1"/>
        <v>4111</v>
      </c>
      <c r="F12" s="6" t="str">
        <f t="shared" si="2"/>
        <v>00037</v>
      </c>
      <c r="G12" s="7" t="str">
        <f t="shared" si="3"/>
        <v>Доходы от сдачи АМС в аренду </v>
      </c>
      <c r="H12" s="7" t="str">
        <f t="shared" si="4"/>
        <v>Other revenue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4">
        <v>4.11100017E8</v>
      </c>
      <c r="B13" s="4" t="s">
        <v>23</v>
      </c>
      <c r="C13" s="4" t="s">
        <v>15</v>
      </c>
      <c r="D13" s="2"/>
      <c r="E13" s="6" t="str">
        <f t="shared" si="1"/>
        <v>4111</v>
      </c>
      <c r="F13" s="6" t="str">
        <f t="shared" si="2"/>
        <v>00017</v>
      </c>
      <c r="G13" s="7" t="str">
        <f t="shared" si="3"/>
        <v>Доходы от сдачи сетевого оборудования и площадок в аренду</v>
      </c>
      <c r="H13" s="7" t="str">
        <f t="shared" si="4"/>
        <v>Other revenue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4">
        <v>4.11100123E8</v>
      </c>
      <c r="B14" s="4" t="s">
        <v>24</v>
      </c>
      <c r="C14" s="4" t="s">
        <v>15</v>
      </c>
      <c r="D14" s="2"/>
      <c r="E14" s="6" t="str">
        <f t="shared" si="1"/>
        <v>4111</v>
      </c>
      <c r="F14" s="6" t="str">
        <f t="shared" si="2"/>
        <v>00123</v>
      </c>
      <c r="G14" s="7" t="str">
        <f t="shared" si="3"/>
        <v>Доходы от Агентов</v>
      </c>
      <c r="H14" s="7" t="str">
        <f t="shared" si="4"/>
        <v>Other revenue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>
        <v>4.1110005E8</v>
      </c>
      <c r="B15" s="4" t="s">
        <v>25</v>
      </c>
      <c r="C15" s="4" t="s">
        <v>26</v>
      </c>
      <c r="D15" s="2"/>
      <c r="E15" s="6" t="str">
        <f t="shared" si="1"/>
        <v>4111</v>
      </c>
      <c r="F15" s="6" t="str">
        <f t="shared" si="2"/>
        <v>00050</v>
      </c>
      <c r="G15" s="7" t="str">
        <f t="shared" si="3"/>
        <v>Доходы от новых подключений абонентов фиксированной телефонной связи</v>
      </c>
      <c r="H15" s="7" t="str">
        <f t="shared" si="4"/>
        <v>Connection fees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>
        <v>4.11100051E8</v>
      </c>
      <c r="B16" s="4" t="s">
        <v>27</v>
      </c>
      <c r="C16" s="4" t="s">
        <v>28</v>
      </c>
      <c r="D16" s="2"/>
      <c r="E16" s="6" t="str">
        <f t="shared" si="1"/>
        <v>4111</v>
      </c>
      <c r="F16" s="6" t="str">
        <f t="shared" si="2"/>
        <v>00051</v>
      </c>
      <c r="G16" s="7" t="str">
        <f t="shared" si="3"/>
        <v>Доходы от ежемесячной абонентской платы абонентов фиксированной телефонной связи</v>
      </c>
      <c r="H16" s="7" t="str">
        <f t="shared" si="4"/>
        <v>Monthly fees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4">
        <v>4.11100045E8</v>
      </c>
      <c r="B17" s="4" t="s">
        <v>29</v>
      </c>
      <c r="C17" s="4" t="s">
        <v>30</v>
      </c>
      <c r="D17" s="2"/>
      <c r="E17" s="6" t="str">
        <f t="shared" si="1"/>
        <v>4111</v>
      </c>
      <c r="F17" s="6" t="str">
        <f t="shared" si="2"/>
        <v>00045</v>
      </c>
      <c r="G17" s="7" t="str">
        <f t="shared" si="3"/>
        <v>Доходы от предоставления услуг ДС абонентам фиксированной телефонной связи</v>
      </c>
      <c r="H17" s="7" t="str">
        <f t="shared" si="4"/>
        <v>Airtime revenues (own subcribers)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">
        <v>4.11100052E8</v>
      </c>
      <c r="B18" s="4" t="s">
        <v>31</v>
      </c>
      <c r="C18" s="4" t="s">
        <v>30</v>
      </c>
      <c r="D18" s="2"/>
      <c r="E18" s="6" t="str">
        <f t="shared" si="1"/>
        <v>4111</v>
      </c>
      <c r="F18" s="6" t="str">
        <f t="shared" si="2"/>
        <v>00052</v>
      </c>
      <c r="G18" s="7" t="str">
        <f t="shared" si="3"/>
        <v>Доходы от трафика абонентов фиксированной телефонной связи</v>
      </c>
      <c r="H18" s="7" t="str">
        <f t="shared" si="4"/>
        <v>Airtime revenues (own subcribers)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">
        <v>4.11100053E8</v>
      </c>
      <c r="B19" s="4" t="s">
        <v>32</v>
      </c>
      <c r="C19" s="4" t="s">
        <v>17</v>
      </c>
      <c r="D19" s="2"/>
      <c r="E19" s="6" t="str">
        <f t="shared" si="1"/>
        <v>4111</v>
      </c>
      <c r="F19" s="6" t="str">
        <f t="shared" si="2"/>
        <v>00053</v>
      </c>
      <c r="G19" s="7" t="str">
        <f t="shared" si="3"/>
        <v>Доходы от дополнительных услуг абонентам фиксированной телефонной связи</v>
      </c>
      <c r="H19" s="7" t="str">
        <f t="shared" si="4"/>
        <v>Value-added services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4">
        <v>4.11100008E8</v>
      </c>
      <c r="B20" s="4" t="s">
        <v>33</v>
      </c>
      <c r="C20" s="4" t="s">
        <v>8</v>
      </c>
      <c r="D20" s="2"/>
      <c r="E20" s="6" t="str">
        <f t="shared" si="1"/>
        <v>4111</v>
      </c>
      <c r="F20" s="6" t="str">
        <f t="shared" si="2"/>
        <v>00008</v>
      </c>
      <c r="G20" s="7" t="str">
        <f t="shared" si="3"/>
        <v>Доходы от услуг местного и зонового завершения вызова по кодам ABC МГФ</v>
      </c>
      <c r="H20" s="7" t="str">
        <f t="shared" si="4"/>
        <v>Interconnection revenue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4">
        <v>4.11100046E8</v>
      </c>
      <c r="B21" s="4" t="s">
        <v>34</v>
      </c>
      <c r="C21" s="4" t="s">
        <v>8</v>
      </c>
      <c r="D21" s="2"/>
      <c r="E21" s="6" t="str">
        <f t="shared" si="1"/>
        <v>4111</v>
      </c>
      <c r="F21" s="6" t="str">
        <f t="shared" si="2"/>
        <v>00046</v>
      </c>
      <c r="G21" s="7" t="str">
        <f t="shared" si="3"/>
        <v>Доходы от транзита МН телефонного трафика</v>
      </c>
      <c r="H21" s="7" t="str">
        <f t="shared" si="4"/>
        <v>Interconnection revenue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4">
        <v>4.11100049E8</v>
      </c>
      <c r="B22" s="4" t="s">
        <v>35</v>
      </c>
      <c r="C22" s="4" t="s">
        <v>13</v>
      </c>
      <c r="D22" s="2"/>
      <c r="E22" s="6" t="str">
        <f t="shared" si="1"/>
        <v>4111</v>
      </c>
      <c r="F22" s="6" t="str">
        <f t="shared" si="2"/>
        <v>00049</v>
      </c>
      <c r="G22" s="7" t="str">
        <f t="shared" si="3"/>
        <v>Доходы от сдачи в аренду МГ и МН каналов и сопутствующего сервиса</v>
      </c>
      <c r="H22" s="7" t="str">
        <f t="shared" si="4"/>
        <v>Revenue from rent of channels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4">
        <v>4.11100033E8</v>
      </c>
      <c r="B23" s="4" t="s">
        <v>36</v>
      </c>
      <c r="C23" s="4" t="s">
        <v>21</v>
      </c>
      <c r="D23" s="2"/>
      <c r="E23" s="6" t="str">
        <f t="shared" si="1"/>
        <v>4111</v>
      </c>
      <c r="F23" s="6" t="str">
        <f t="shared" si="2"/>
        <v>00033</v>
      </c>
      <c r="G23" s="7" t="str">
        <f t="shared" si="3"/>
        <v>Доходы от услуг виртуальной частной сети (VPN)</v>
      </c>
      <c r="H23" s="7" t="str">
        <f t="shared" si="4"/>
        <v>Data revenue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>
        <v>4.11100013E8</v>
      </c>
      <c r="B24" s="4" t="s">
        <v>37</v>
      </c>
      <c r="C24" s="4" t="s">
        <v>8</v>
      </c>
      <c r="D24" s="2"/>
      <c r="E24" s="6" t="str">
        <f t="shared" si="1"/>
        <v>4111</v>
      </c>
      <c r="F24" s="6" t="str">
        <f t="shared" si="2"/>
        <v>00013</v>
      </c>
      <c r="G24" s="7" t="str">
        <f t="shared" si="3"/>
        <v>Доходы от организации точек присоединения к сетям фиксированной телефонной связи МегаФон</v>
      </c>
      <c r="H24" s="7" t="str">
        <f t="shared" si="4"/>
        <v>Interconnection revenue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">
        <v>4.11100047E8</v>
      </c>
      <c r="B25" s="4" t="s">
        <v>38</v>
      </c>
      <c r="C25" s="4" t="s">
        <v>8</v>
      </c>
      <c r="D25" s="2"/>
      <c r="E25" s="6" t="str">
        <f t="shared" si="1"/>
        <v>4111</v>
      </c>
      <c r="F25" s="6" t="str">
        <f t="shared" si="2"/>
        <v>00047</v>
      </c>
      <c r="G25" s="7" t="str">
        <f t="shared" si="3"/>
        <v>Доходы от организации точек присоединения к телефонной сети МГ/МН связи МегаФон</v>
      </c>
      <c r="H25" s="7" t="str">
        <f t="shared" si="4"/>
        <v>Interconnection revenue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>
        <v>4.11100099E8</v>
      </c>
      <c r="B26" s="4" t="s">
        <v>39</v>
      </c>
      <c r="C26" s="4" t="s">
        <v>15</v>
      </c>
      <c r="D26" s="2"/>
      <c r="E26" s="6" t="str">
        <f t="shared" si="1"/>
        <v>4111</v>
      </c>
      <c r="F26" s="6" t="str">
        <f t="shared" si="2"/>
        <v>00099</v>
      </c>
      <c r="G26" s="7" t="str">
        <f t="shared" si="3"/>
        <v>Доходы от услуг хостинга</v>
      </c>
      <c r="H26" s="7" t="str">
        <f t="shared" si="4"/>
        <v>Other revenue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16.86"/>
    <col customWidth="1" min="3" max="3" width="14.71"/>
    <col customWidth="1" min="4" max="4" width="8.71"/>
    <col customWidth="1" min="5" max="7" width="18.71"/>
    <col customWidth="1" min="8" max="26" width="8.71"/>
  </cols>
  <sheetData>
    <row r="1" ht="14.25" customHeight="1">
      <c r="A1" s="9" t="s">
        <v>40</v>
      </c>
      <c r="B1" s="9" t="s">
        <v>41</v>
      </c>
      <c r="C1" s="10" t="s">
        <v>42</v>
      </c>
      <c r="D1" s="11"/>
      <c r="E1" s="12" t="s">
        <v>43</v>
      </c>
      <c r="F1" s="13"/>
      <c r="G1" s="14" t="s">
        <v>42</v>
      </c>
    </row>
    <row r="2" ht="14.25" customHeight="1">
      <c r="A2" s="15" t="s">
        <v>44</v>
      </c>
      <c r="B2" s="16">
        <v>20.0</v>
      </c>
      <c r="C2" s="17" t="str">
        <f t="shared" ref="C2:C8" si="1">IF(B2&gt;F$2,G$2,IF(B2&gt;F$3,G$3,IF(B2&gt;F$4,G$4,IF(B2&gt;F$5,G$5,IF(B2&gt;F$6,G$6,"Проверьте кол-во баллов")))))</f>
        <v>E</v>
      </c>
      <c r="D2" s="11"/>
      <c r="E2" s="16" t="s">
        <v>45</v>
      </c>
      <c r="F2" s="16">
        <v>90.0</v>
      </c>
      <c r="G2" s="16" t="s">
        <v>46</v>
      </c>
    </row>
    <row r="3" ht="14.25" customHeight="1">
      <c r="A3" s="15" t="s">
        <v>47</v>
      </c>
      <c r="B3" s="16">
        <v>45.0</v>
      </c>
      <c r="C3" s="17" t="str">
        <f t="shared" si="1"/>
        <v>E</v>
      </c>
      <c r="D3" s="11"/>
      <c r="E3" s="16" t="s">
        <v>45</v>
      </c>
      <c r="F3" s="16">
        <v>80.0</v>
      </c>
      <c r="G3" s="16" t="s">
        <v>48</v>
      </c>
    </row>
    <row r="4" ht="14.25" customHeight="1">
      <c r="A4" s="15" t="s">
        <v>49</v>
      </c>
      <c r="B4" s="16">
        <v>65.0</v>
      </c>
      <c r="C4" s="17" t="str">
        <f t="shared" si="1"/>
        <v>D</v>
      </c>
      <c r="D4" s="11"/>
      <c r="E4" s="16" t="s">
        <v>45</v>
      </c>
      <c r="F4" s="16">
        <v>70.0</v>
      </c>
      <c r="G4" s="16" t="s">
        <v>50</v>
      </c>
    </row>
    <row r="5" ht="14.25" customHeight="1">
      <c r="A5" s="15" t="s">
        <v>51</v>
      </c>
      <c r="B5" s="16">
        <v>75.0</v>
      </c>
      <c r="C5" s="17" t="str">
        <f t="shared" si="1"/>
        <v>C</v>
      </c>
      <c r="D5" s="11"/>
      <c r="E5" s="16" t="s">
        <v>45</v>
      </c>
      <c r="F5" s="16">
        <v>60.0</v>
      </c>
      <c r="G5" s="16" t="s">
        <v>52</v>
      </c>
    </row>
    <row r="6" ht="14.25" customHeight="1">
      <c r="A6" s="15" t="s">
        <v>53</v>
      </c>
      <c r="B6" s="16">
        <v>85.0</v>
      </c>
      <c r="C6" s="17" t="str">
        <f t="shared" si="1"/>
        <v>B</v>
      </c>
      <c r="D6" s="11"/>
      <c r="E6" s="16" t="s">
        <v>45</v>
      </c>
      <c r="F6" s="16">
        <v>0.0</v>
      </c>
      <c r="G6" s="16" t="s">
        <v>54</v>
      </c>
    </row>
    <row r="7" ht="14.25" customHeight="1">
      <c r="A7" s="15" t="s">
        <v>55</v>
      </c>
      <c r="B7" s="16">
        <v>90.0</v>
      </c>
      <c r="C7" s="17" t="str">
        <f t="shared" si="1"/>
        <v>B</v>
      </c>
      <c r="D7" s="11"/>
      <c r="E7" s="11"/>
      <c r="F7" s="11"/>
      <c r="G7" s="11"/>
    </row>
    <row r="8" ht="14.25" customHeight="1">
      <c r="A8" s="15" t="s">
        <v>56</v>
      </c>
      <c r="B8" s="16">
        <v>100.0</v>
      </c>
      <c r="C8" s="17" t="str">
        <f t="shared" si="1"/>
        <v>A</v>
      </c>
      <c r="D8" s="11"/>
      <c r="E8" s="11"/>
      <c r="F8" s="11"/>
      <c r="G8" s="11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E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10.14"/>
    <col customWidth="1" min="3" max="3" width="13.43"/>
    <col customWidth="1" min="4" max="4" width="20.43"/>
    <col customWidth="1" min="5" max="5" width="11.71"/>
    <col customWidth="1" min="6" max="6" width="8.71"/>
    <col customWidth="1" min="7" max="7" width="64.29"/>
    <col customWidth="1" min="8" max="8" width="12.14"/>
    <col customWidth="1" min="9" max="26" width="8.71"/>
  </cols>
  <sheetData>
    <row r="1" ht="14.25" customHeight="1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11"/>
      <c r="G1" s="18" t="s">
        <v>62</v>
      </c>
      <c r="H1" s="19">
        <f>COUNTIF(C:C, "Киви")</f>
        <v>5</v>
      </c>
    </row>
    <row r="2" ht="14.25" customHeight="1">
      <c r="A2" s="18">
        <v>1.0</v>
      </c>
      <c r="B2" s="18" t="s">
        <v>63</v>
      </c>
      <c r="C2" s="18" t="s">
        <v>64</v>
      </c>
      <c r="D2" s="18">
        <v>60.0</v>
      </c>
      <c r="E2" s="18" t="s">
        <v>51</v>
      </c>
      <c r="F2" s="11"/>
      <c r="G2" s="20"/>
      <c r="H2" s="21"/>
    </row>
    <row r="3" ht="14.25" customHeight="1">
      <c r="A3" s="18">
        <v>2.0</v>
      </c>
      <c r="B3" s="18" t="s">
        <v>63</v>
      </c>
      <c r="C3" s="18" t="s">
        <v>65</v>
      </c>
      <c r="D3" s="18">
        <v>40.0</v>
      </c>
      <c r="E3" s="18" t="s">
        <v>51</v>
      </c>
      <c r="F3" s="11"/>
      <c r="G3" s="18" t="s">
        <v>66</v>
      </c>
      <c r="H3" s="19">
        <f>COUNTIFS(C:C,"Киви",E:E,"Петров")</f>
        <v>2</v>
      </c>
    </row>
    <row r="4" ht="14.25" customHeight="1">
      <c r="A4" s="18">
        <v>3.0</v>
      </c>
      <c r="B4" s="18" t="s">
        <v>67</v>
      </c>
      <c r="C4" s="18" t="s">
        <v>68</v>
      </c>
      <c r="D4" s="18">
        <v>35.0</v>
      </c>
      <c r="E4" s="18" t="s">
        <v>69</v>
      </c>
      <c r="F4" s="11"/>
      <c r="G4" s="20"/>
      <c r="H4" s="21"/>
    </row>
    <row r="5" ht="14.25" customHeight="1">
      <c r="A5" s="18">
        <v>4.0</v>
      </c>
      <c r="B5" s="18" t="s">
        <v>67</v>
      </c>
      <c r="C5" s="18" t="s">
        <v>70</v>
      </c>
      <c r="D5" s="18">
        <v>45.0</v>
      </c>
      <c r="E5" s="18" t="s">
        <v>69</v>
      </c>
      <c r="F5" s="11"/>
      <c r="G5" s="20"/>
      <c r="H5" s="21"/>
    </row>
    <row r="6" ht="14.25" customHeight="1">
      <c r="A6" s="18">
        <v>5.0</v>
      </c>
      <c r="B6" s="18" t="s">
        <v>71</v>
      </c>
      <c r="C6" s="18" t="s">
        <v>72</v>
      </c>
      <c r="D6" s="18">
        <v>23.0</v>
      </c>
      <c r="E6" s="18" t="s">
        <v>69</v>
      </c>
      <c r="F6" s="11"/>
      <c r="G6" s="18" t="s">
        <v>73</v>
      </c>
      <c r="H6" s="19">
        <f>SUMIF(C:C, "Киви",D:D)</f>
        <v>156</v>
      </c>
    </row>
    <row r="7" ht="14.25" customHeight="1">
      <c r="A7" s="18">
        <v>6.0</v>
      </c>
      <c r="B7" s="18" t="s">
        <v>63</v>
      </c>
      <c r="C7" s="18" t="s">
        <v>68</v>
      </c>
      <c r="D7" s="18">
        <v>36.0</v>
      </c>
      <c r="E7" s="18" t="s">
        <v>74</v>
      </c>
      <c r="F7" s="11"/>
      <c r="G7" s="20"/>
      <c r="H7" s="21"/>
    </row>
    <row r="8" ht="14.25" customHeight="1">
      <c r="A8" s="18">
        <v>7.0</v>
      </c>
      <c r="B8" s="18" t="s">
        <v>75</v>
      </c>
      <c r="C8" s="18" t="s">
        <v>72</v>
      </c>
      <c r="D8" s="18">
        <v>60.0</v>
      </c>
      <c r="E8" s="18" t="s">
        <v>51</v>
      </c>
      <c r="F8" s="11"/>
      <c r="G8" s="18" t="s">
        <v>76</v>
      </c>
      <c r="H8" s="19">
        <f>SUMIFS(D:D,C:C,"Киви",E:E,"Петров")</f>
        <v>73</v>
      </c>
    </row>
    <row r="9" ht="14.25" customHeight="1">
      <c r="A9" s="18">
        <v>8.0</v>
      </c>
      <c r="B9" s="18" t="s">
        <v>63</v>
      </c>
      <c r="C9" s="18" t="s">
        <v>77</v>
      </c>
      <c r="D9" s="18">
        <v>10.0</v>
      </c>
      <c r="E9" s="18" t="s">
        <v>51</v>
      </c>
      <c r="F9" s="11"/>
      <c r="G9" s="20"/>
      <c r="H9" s="21"/>
    </row>
    <row r="10" ht="14.25" customHeight="1">
      <c r="A10" s="18">
        <v>9.0</v>
      </c>
      <c r="B10" s="18" t="s">
        <v>75</v>
      </c>
      <c r="C10" s="18" t="s">
        <v>68</v>
      </c>
      <c r="D10" s="18">
        <v>5.0</v>
      </c>
      <c r="E10" s="18" t="s">
        <v>74</v>
      </c>
      <c r="F10" s="11"/>
    </row>
    <row r="11" ht="14.25" customHeight="1">
      <c r="A11" s="18">
        <v>10.0</v>
      </c>
      <c r="B11" s="18" t="s">
        <v>71</v>
      </c>
      <c r="C11" s="18" t="s">
        <v>78</v>
      </c>
      <c r="D11" s="18">
        <v>15.0</v>
      </c>
      <c r="E11" s="18" t="s">
        <v>79</v>
      </c>
      <c r="F11" s="11"/>
      <c r="G11" s="18" t="s">
        <v>80</v>
      </c>
      <c r="H11" s="19">
        <f>COUNTIFS(C:C,"Киви",D:D,"&gt;20")</f>
        <v>3</v>
      </c>
    </row>
    <row r="12" ht="14.25" customHeight="1">
      <c r="A12" s="18">
        <v>11.0</v>
      </c>
      <c r="B12" s="18" t="s">
        <v>67</v>
      </c>
      <c r="C12" s="18" t="s">
        <v>81</v>
      </c>
      <c r="D12" s="18">
        <v>14.0</v>
      </c>
      <c r="E12" s="18" t="s">
        <v>79</v>
      </c>
      <c r="F12" s="11"/>
      <c r="G12" s="11"/>
      <c r="H12" s="21"/>
    </row>
    <row r="13" ht="14.25" customHeight="1">
      <c r="A13" s="18">
        <v>12.0</v>
      </c>
      <c r="B13" s="18" t="s">
        <v>71</v>
      </c>
      <c r="C13" s="18" t="s">
        <v>82</v>
      </c>
      <c r="D13" s="18">
        <v>48.0</v>
      </c>
      <c r="E13" s="18" t="s">
        <v>79</v>
      </c>
      <c r="F13" s="11"/>
      <c r="G13" s="18" t="s">
        <v>83</v>
      </c>
      <c r="H13" s="19">
        <f>SUMIFS(D:D,C:C,"Киви",B:B,"Ашан")-SUMIFS(D:D,C:C,"Киви",E:E,"Петров",B:B,"Ашан")</f>
        <v>0</v>
      </c>
    </row>
    <row r="14" ht="14.25" customHeight="1">
      <c r="A14" s="18">
        <v>13.0</v>
      </c>
      <c r="B14" s="18" t="s">
        <v>67</v>
      </c>
      <c r="C14" s="18" t="s">
        <v>72</v>
      </c>
      <c r="D14" s="18">
        <v>15.0</v>
      </c>
      <c r="E14" s="18" t="s">
        <v>69</v>
      </c>
      <c r="F14" s="11"/>
    </row>
    <row r="15" ht="14.25" customHeight="1">
      <c r="A15" s="18">
        <v>14.0</v>
      </c>
      <c r="B15" s="18" t="s">
        <v>63</v>
      </c>
      <c r="C15" s="18" t="s">
        <v>72</v>
      </c>
      <c r="D15" s="18">
        <v>13.0</v>
      </c>
      <c r="E15" s="18" t="s">
        <v>51</v>
      </c>
      <c r="F15" s="11"/>
    </row>
    <row r="16" ht="14.25" customHeight="1">
      <c r="A16" s="18">
        <v>15.0</v>
      </c>
      <c r="B16" s="18" t="s">
        <v>63</v>
      </c>
      <c r="C16" s="18" t="s">
        <v>84</v>
      </c>
      <c r="D16" s="18">
        <v>42.0</v>
      </c>
      <c r="E16" s="18" t="s">
        <v>51</v>
      </c>
      <c r="F16" s="11"/>
    </row>
    <row r="17" ht="14.25" customHeight="1">
      <c r="A17" s="18">
        <v>16.0</v>
      </c>
      <c r="B17" s="18" t="s">
        <v>75</v>
      </c>
      <c r="C17" s="18" t="s">
        <v>85</v>
      </c>
      <c r="D17" s="18">
        <v>26.0</v>
      </c>
      <c r="E17" s="18" t="s">
        <v>86</v>
      </c>
      <c r="F17" s="11"/>
      <c r="G17" s="11"/>
      <c r="H17" s="11"/>
    </row>
    <row r="18" ht="14.25" customHeight="1">
      <c r="A18" s="18">
        <v>17.0</v>
      </c>
      <c r="B18" s="18" t="s">
        <v>67</v>
      </c>
      <c r="C18" s="18" t="s">
        <v>87</v>
      </c>
      <c r="D18" s="18">
        <v>14.0</v>
      </c>
      <c r="E18" s="18" t="s">
        <v>69</v>
      </c>
      <c r="F18" s="11"/>
      <c r="G18" s="11"/>
    </row>
    <row r="19" ht="14.25" customHeight="1">
      <c r="A19" s="18">
        <v>18.0</v>
      </c>
      <c r="B19" s="18" t="s">
        <v>75</v>
      </c>
      <c r="C19" s="18" t="s">
        <v>68</v>
      </c>
      <c r="D19" s="18">
        <v>80.0</v>
      </c>
      <c r="E19" s="18" t="s">
        <v>51</v>
      </c>
      <c r="F19" s="11"/>
      <c r="G19" s="11"/>
    </row>
    <row r="20" ht="14.25" customHeight="1">
      <c r="A20" s="18">
        <v>19.0</v>
      </c>
      <c r="B20" s="18" t="s">
        <v>63</v>
      </c>
      <c r="C20" s="18" t="s">
        <v>88</v>
      </c>
      <c r="D20" s="18">
        <v>25.0</v>
      </c>
      <c r="E20" s="18" t="s">
        <v>47</v>
      </c>
      <c r="F20" s="11"/>
      <c r="G20" s="11"/>
    </row>
    <row r="21" ht="14.25" customHeight="1">
      <c r="A21" s="18">
        <v>20.0</v>
      </c>
      <c r="B21" s="18" t="s">
        <v>71</v>
      </c>
      <c r="C21" s="18" t="s">
        <v>89</v>
      </c>
      <c r="D21" s="18">
        <v>20.0</v>
      </c>
      <c r="E21" s="18" t="s">
        <v>69</v>
      </c>
      <c r="F21" s="11"/>
      <c r="G21" s="11"/>
    </row>
    <row r="22" ht="14.25" customHeight="1">
      <c r="A22" s="18">
        <v>21.0</v>
      </c>
      <c r="B22" s="18" t="s">
        <v>71</v>
      </c>
      <c r="C22" s="18" t="s">
        <v>90</v>
      </c>
      <c r="D22" s="18">
        <v>100.0</v>
      </c>
      <c r="E22" s="18" t="s">
        <v>69</v>
      </c>
      <c r="F22" s="11"/>
      <c r="G22" s="11"/>
    </row>
    <row r="23" ht="14.25" customHeight="1">
      <c r="A23" s="18">
        <v>22.0</v>
      </c>
      <c r="B23" s="18" t="s">
        <v>71</v>
      </c>
      <c r="C23" s="18" t="s">
        <v>91</v>
      </c>
      <c r="D23" s="18">
        <v>50.0</v>
      </c>
      <c r="E23" s="18" t="s">
        <v>69</v>
      </c>
      <c r="F23" s="11"/>
    </row>
    <row r="24" ht="14.25" customHeight="1">
      <c r="A24" s="18">
        <v>23.0</v>
      </c>
      <c r="B24" s="18" t="s">
        <v>63</v>
      </c>
      <c r="C24" s="18" t="s">
        <v>68</v>
      </c>
      <c r="D24" s="18">
        <v>60.0</v>
      </c>
      <c r="E24" s="18" t="s">
        <v>51</v>
      </c>
      <c r="F24" s="11"/>
    </row>
    <row r="25" ht="14.25" customHeight="1">
      <c r="A25" s="18">
        <v>24.0</v>
      </c>
      <c r="B25" s="18" t="s">
        <v>75</v>
      </c>
      <c r="C25" s="18" t="s">
        <v>92</v>
      </c>
      <c r="D25" s="18">
        <v>40.0</v>
      </c>
      <c r="E25" s="18" t="s">
        <v>86</v>
      </c>
      <c r="F25" s="11"/>
    </row>
    <row r="26" ht="14.25" customHeight="1">
      <c r="A26" s="18">
        <v>25.0</v>
      </c>
      <c r="B26" s="18" t="s">
        <v>67</v>
      </c>
      <c r="C26" s="18" t="s">
        <v>72</v>
      </c>
      <c r="D26" s="18">
        <v>45.0</v>
      </c>
      <c r="E26" s="18" t="s">
        <v>69</v>
      </c>
      <c r="F26" s="1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2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13.57"/>
    <col customWidth="1" min="4" max="4" width="18.86"/>
    <col customWidth="1" min="5" max="5" width="11.29"/>
    <col customWidth="1" min="6" max="6" width="19.43"/>
    <col customWidth="1" min="7" max="26" width="8.71"/>
  </cols>
  <sheetData>
    <row r="1" ht="14.25" customHeight="1">
      <c r="A1" s="22" t="s">
        <v>93</v>
      </c>
    </row>
    <row r="2" ht="14.25" customHeight="1">
      <c r="A2" s="22"/>
    </row>
    <row r="3" ht="14.25" customHeight="1">
      <c r="A3" s="23" t="s">
        <v>94</v>
      </c>
      <c r="F3" s="24">
        <f>SUMPRODUCT(C9:C23,D9:D23)</f>
        <v>937410795</v>
      </c>
    </row>
    <row r="4" ht="14.25" customHeight="1">
      <c r="A4" s="23" t="s">
        <v>95</v>
      </c>
      <c r="F4" s="24">
        <f>SUMPRODUCT((A9:A23="СтФ")*C9:C23*D9:D23)</f>
        <v>262746276.9</v>
      </c>
    </row>
    <row r="5" ht="14.25" customHeight="1">
      <c r="A5" s="23" t="s">
        <v>96</v>
      </c>
      <c r="F5" s="24">
        <f>SUMPRODUCT((MONTH(B9:B23)=8)*C9:C23*D9:D23)</f>
        <v>311480848.3</v>
      </c>
    </row>
    <row r="6" ht="14.25" customHeight="1"/>
    <row r="7" ht="14.25" customHeight="1"/>
    <row r="8" ht="14.25" customHeight="1">
      <c r="A8" s="25" t="s">
        <v>97</v>
      </c>
      <c r="B8" s="25" t="s">
        <v>98</v>
      </c>
      <c r="C8" s="25" t="s">
        <v>99</v>
      </c>
      <c r="D8" s="25" t="s">
        <v>100</v>
      </c>
    </row>
    <row r="9" ht="14.25" customHeight="1">
      <c r="A9" s="26" t="s">
        <v>101</v>
      </c>
      <c r="B9" s="27">
        <v>41456.0</v>
      </c>
      <c r="C9" s="28">
        <v>7.918799938974E8</v>
      </c>
      <c r="D9" s="29">
        <v>0.1</v>
      </c>
      <c r="F9" s="30"/>
    </row>
    <row r="10" ht="14.25" customHeight="1">
      <c r="A10" s="26" t="s">
        <v>102</v>
      </c>
      <c r="B10" s="27">
        <v>41456.0</v>
      </c>
      <c r="C10" s="28">
        <v>3.0236791536480004E8</v>
      </c>
      <c r="D10" s="29">
        <v>0.07</v>
      </c>
      <c r="F10" s="30"/>
    </row>
    <row r="11" ht="14.25" customHeight="1">
      <c r="A11" s="26" t="s">
        <v>103</v>
      </c>
      <c r="B11" s="27">
        <v>41456.0</v>
      </c>
      <c r="C11" s="28">
        <v>4.5106257788589996E8</v>
      </c>
      <c r="D11" s="29">
        <v>0.08</v>
      </c>
      <c r="F11" s="30"/>
    </row>
    <row r="12" ht="14.25" customHeight="1">
      <c r="A12" s="26" t="s">
        <v>104</v>
      </c>
      <c r="B12" s="27">
        <v>41456.0</v>
      </c>
      <c r="C12" s="28">
        <v>4.0983621190419996E8</v>
      </c>
      <c r="D12" s="29">
        <v>0.11</v>
      </c>
      <c r="F12" s="30"/>
    </row>
    <row r="13" ht="14.25" customHeight="1">
      <c r="A13" s="26" t="s">
        <v>105</v>
      </c>
      <c r="B13" s="27">
        <v>41456.0</v>
      </c>
      <c r="C13" s="28">
        <v>8.416797367345E8</v>
      </c>
      <c r="D13" s="29">
        <v>0.12</v>
      </c>
      <c r="F13" s="30"/>
    </row>
    <row r="14" ht="14.25" customHeight="1">
      <c r="A14" s="26" t="s">
        <v>101</v>
      </c>
      <c r="B14" s="27">
        <v>41487.0</v>
      </c>
      <c r="C14" s="28">
        <f t="shared" ref="C14:D14" si="1">C9*1.05</f>
        <v>831473993.6</v>
      </c>
      <c r="D14" s="29">
        <f t="shared" si="1"/>
        <v>0.105</v>
      </c>
      <c r="F14" s="30"/>
    </row>
    <row r="15" ht="14.25" customHeight="1">
      <c r="A15" s="26" t="s">
        <v>102</v>
      </c>
      <c r="B15" s="27">
        <v>41487.0</v>
      </c>
      <c r="C15" s="28">
        <f t="shared" ref="C15:D15" si="2">C10*1.05</f>
        <v>317486311.1</v>
      </c>
      <c r="D15" s="29">
        <f t="shared" si="2"/>
        <v>0.0735</v>
      </c>
      <c r="F15" s="30"/>
    </row>
    <row r="16" ht="14.25" customHeight="1">
      <c r="A16" s="26" t="s">
        <v>103</v>
      </c>
      <c r="B16" s="27">
        <v>41487.0</v>
      </c>
      <c r="C16" s="28">
        <f t="shared" ref="C16:D16" si="3">C11*1.05</f>
        <v>473615706.8</v>
      </c>
      <c r="D16" s="29">
        <f t="shared" si="3"/>
        <v>0.084</v>
      </c>
      <c r="F16" s="30"/>
    </row>
    <row r="17" ht="14.25" customHeight="1">
      <c r="A17" s="26" t="s">
        <v>104</v>
      </c>
      <c r="B17" s="27">
        <v>41487.0</v>
      </c>
      <c r="C17" s="28">
        <f t="shared" ref="C17:D17" si="4">C12*1.05</f>
        <v>430328022.5</v>
      </c>
      <c r="D17" s="29">
        <f t="shared" si="4"/>
        <v>0.1155</v>
      </c>
      <c r="F17" s="30"/>
    </row>
    <row r="18" ht="14.25" customHeight="1">
      <c r="A18" s="26" t="s">
        <v>105</v>
      </c>
      <c r="B18" s="27">
        <v>41487.0</v>
      </c>
      <c r="C18" s="28">
        <f t="shared" ref="C18:D18" si="5">C13*1.05</f>
        <v>883763723.6</v>
      </c>
      <c r="D18" s="29">
        <f t="shared" si="5"/>
        <v>0.126</v>
      </c>
      <c r="F18" s="30"/>
    </row>
    <row r="19" ht="14.25" customHeight="1">
      <c r="A19" s="26" t="s">
        <v>101</v>
      </c>
      <c r="B19" s="27">
        <v>41518.0</v>
      </c>
      <c r="C19" s="28">
        <f t="shared" ref="C19:D19" si="6">C14*1.05</f>
        <v>873047693.3</v>
      </c>
      <c r="D19" s="29">
        <f t="shared" si="6"/>
        <v>0.11025</v>
      </c>
      <c r="F19" s="30"/>
    </row>
    <row r="20" ht="14.25" customHeight="1">
      <c r="A20" s="26" t="s">
        <v>102</v>
      </c>
      <c r="B20" s="27">
        <v>41518.0</v>
      </c>
      <c r="C20" s="28">
        <f t="shared" ref="C20:D20" si="7">C15*1.05</f>
        <v>333360626.7</v>
      </c>
      <c r="D20" s="29">
        <f t="shared" si="7"/>
        <v>0.077175</v>
      </c>
      <c r="F20" s="30"/>
    </row>
    <row r="21" ht="14.25" customHeight="1">
      <c r="A21" s="26" t="s">
        <v>103</v>
      </c>
      <c r="B21" s="27">
        <v>41518.0</v>
      </c>
      <c r="C21" s="28">
        <f t="shared" ref="C21:D21" si="8">C16*1.05</f>
        <v>497296492.1</v>
      </c>
      <c r="D21" s="29">
        <f t="shared" si="8"/>
        <v>0.0882</v>
      </c>
      <c r="F21" s="30"/>
    </row>
    <row r="22" ht="14.25" customHeight="1">
      <c r="A22" s="26" t="s">
        <v>104</v>
      </c>
      <c r="B22" s="27">
        <v>41518.0</v>
      </c>
      <c r="C22" s="28">
        <f t="shared" ref="C22:D22" si="9">C17*1.05</f>
        <v>451844423.6</v>
      </c>
      <c r="D22" s="29">
        <f t="shared" si="9"/>
        <v>0.121275</v>
      </c>
      <c r="F22" s="30"/>
    </row>
    <row r="23" ht="14.25" customHeight="1">
      <c r="A23" s="26" t="s">
        <v>105</v>
      </c>
      <c r="B23" s="27">
        <v>41518.0</v>
      </c>
      <c r="C23" s="28">
        <f t="shared" ref="C23:D23" si="10">C18*1.05</f>
        <v>927951909.7</v>
      </c>
      <c r="D23" s="29">
        <f t="shared" si="10"/>
        <v>0.1323</v>
      </c>
      <c r="F23" s="3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4.14"/>
    <col customWidth="1" min="3" max="3" width="16.71"/>
    <col customWidth="1" min="4" max="5" width="24.14"/>
    <col customWidth="1" min="6" max="6" width="17.14"/>
    <col customWidth="1" min="7" max="8" width="24.14"/>
    <col customWidth="1" min="9" max="9" width="17.29"/>
    <col customWidth="1" min="10" max="11" width="24.14"/>
    <col customWidth="1" min="12" max="26" width="8.71"/>
  </cols>
  <sheetData>
    <row r="1" ht="16.5" customHeight="1">
      <c r="A1" s="31" t="s">
        <v>106</v>
      </c>
    </row>
    <row r="2" ht="13.5" customHeight="1"/>
    <row r="3" ht="13.5" customHeight="1">
      <c r="A3" s="23" t="s">
        <v>107</v>
      </c>
    </row>
    <row r="4" ht="13.5" customHeight="1">
      <c r="A4" s="32" t="s">
        <v>108</v>
      </c>
      <c r="B4" s="32" t="s">
        <v>109</v>
      </c>
      <c r="C4" s="32" t="s">
        <v>110</v>
      </c>
      <c r="D4" s="32" t="s">
        <v>111</v>
      </c>
      <c r="E4" s="32" t="s">
        <v>112</v>
      </c>
      <c r="F4" s="32" t="s">
        <v>113</v>
      </c>
    </row>
    <row r="5" ht="13.5" customHeight="1">
      <c r="A5" s="33" t="s">
        <v>114</v>
      </c>
      <c r="B5" s="33" t="s">
        <v>115</v>
      </c>
      <c r="C5" s="33" t="s">
        <v>116</v>
      </c>
      <c r="D5" s="33" t="s">
        <v>117</v>
      </c>
      <c r="E5" s="33" t="s">
        <v>118</v>
      </c>
      <c r="F5" s="33" t="s">
        <v>119</v>
      </c>
    </row>
    <row r="6" ht="13.5" customHeight="1">
      <c r="A6" s="34">
        <v>43101.0</v>
      </c>
      <c r="B6" s="35" t="s">
        <v>120</v>
      </c>
      <c r="C6" s="35" t="s">
        <v>121</v>
      </c>
      <c r="D6" s="35" t="s">
        <v>122</v>
      </c>
      <c r="E6" s="35" t="s">
        <v>123</v>
      </c>
      <c r="F6" s="35">
        <v>15490.0</v>
      </c>
    </row>
    <row r="7" ht="13.5" customHeight="1">
      <c r="A7" s="36">
        <v>43102.0</v>
      </c>
      <c r="B7" s="37" t="s">
        <v>120</v>
      </c>
      <c r="C7" s="37" t="s">
        <v>121</v>
      </c>
      <c r="D7" s="37" t="s">
        <v>122</v>
      </c>
      <c r="E7" s="38" t="s">
        <v>124</v>
      </c>
      <c r="F7" s="38">
        <v>21990.0</v>
      </c>
    </row>
    <row r="8" ht="13.5" customHeight="1">
      <c r="A8" s="34">
        <v>43103.0</v>
      </c>
      <c r="B8" s="35" t="s">
        <v>125</v>
      </c>
      <c r="C8" s="35" t="s">
        <v>126</v>
      </c>
      <c r="D8" s="35" t="s">
        <v>127</v>
      </c>
      <c r="E8" s="35" t="s">
        <v>128</v>
      </c>
      <c r="F8" s="35">
        <v>2090.0</v>
      </c>
    </row>
    <row r="9" ht="13.5" customHeight="1">
      <c r="A9" s="38" t="s">
        <v>129</v>
      </c>
      <c r="B9" s="38" t="s">
        <v>129</v>
      </c>
      <c r="C9" s="38" t="s">
        <v>129</v>
      </c>
      <c r="D9" s="38" t="s">
        <v>129</v>
      </c>
      <c r="E9" s="38" t="s">
        <v>129</v>
      </c>
      <c r="F9" s="38" t="s">
        <v>129</v>
      </c>
    </row>
    <row r="10" ht="13.5" customHeight="1">
      <c r="A10" s="39"/>
      <c r="B10" s="39"/>
      <c r="C10" s="39"/>
      <c r="D10" s="39"/>
      <c r="E10" s="39"/>
      <c r="F10" s="39"/>
    </row>
    <row r="11" ht="13.5" customHeight="1">
      <c r="A11" s="23" t="s">
        <v>130</v>
      </c>
    </row>
    <row r="12" ht="13.5" customHeight="1">
      <c r="A12" s="32" t="s">
        <v>112</v>
      </c>
      <c r="B12" s="32" t="s">
        <v>131</v>
      </c>
      <c r="C12" s="32" t="s">
        <v>132</v>
      </c>
      <c r="D12" s="32" t="s">
        <v>133</v>
      </c>
    </row>
    <row r="13" ht="13.5" customHeight="1">
      <c r="A13" s="33" t="s">
        <v>118</v>
      </c>
      <c r="B13" s="33" t="s">
        <v>134</v>
      </c>
      <c r="C13" s="33" t="s">
        <v>135</v>
      </c>
      <c r="D13" s="33" t="s">
        <v>119</v>
      </c>
    </row>
    <row r="14" ht="13.5" customHeight="1">
      <c r="A14" s="35" t="s">
        <v>123</v>
      </c>
      <c r="B14" s="34">
        <v>1.0</v>
      </c>
      <c r="C14" s="34">
        <v>73415.0</v>
      </c>
      <c r="D14" s="35">
        <v>12300.0</v>
      </c>
    </row>
    <row r="15" ht="13.5" customHeight="1">
      <c r="A15" s="38" t="s">
        <v>124</v>
      </c>
      <c r="B15" s="36">
        <v>1.0</v>
      </c>
      <c r="C15" s="36">
        <v>43281.0</v>
      </c>
      <c r="D15" s="38">
        <v>19000.0</v>
      </c>
    </row>
    <row r="16" ht="13.5" customHeight="1">
      <c r="A16" s="35" t="s">
        <v>124</v>
      </c>
      <c r="B16" s="34">
        <v>43282.0</v>
      </c>
      <c r="C16" s="34">
        <v>73415.0</v>
      </c>
      <c r="D16" s="35">
        <v>20000.0</v>
      </c>
    </row>
    <row r="17" ht="13.5" customHeight="1">
      <c r="A17" s="38" t="s">
        <v>128</v>
      </c>
      <c r="B17" s="36">
        <v>1.0</v>
      </c>
      <c r="C17" s="36">
        <v>43281.0</v>
      </c>
      <c r="D17" s="38">
        <v>1500.0</v>
      </c>
    </row>
    <row r="18" ht="13.5" customHeight="1">
      <c r="A18" s="35" t="s">
        <v>128</v>
      </c>
      <c r="B18" s="34">
        <v>43282.0</v>
      </c>
      <c r="C18" s="34">
        <v>73415.0</v>
      </c>
      <c r="D18" s="35">
        <v>1700.0</v>
      </c>
    </row>
    <row r="19" ht="13.5" customHeight="1">
      <c r="A19" s="38" t="s">
        <v>129</v>
      </c>
      <c r="B19" s="36"/>
      <c r="C19" s="36"/>
      <c r="D19" s="38" t="s">
        <v>129</v>
      </c>
    </row>
    <row r="20" ht="13.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ht="13.5" customHeight="1">
      <c r="A21" s="40" t="s">
        <v>136</v>
      </c>
      <c r="B21" s="40"/>
      <c r="C21" s="40"/>
      <c r="D21" s="40"/>
      <c r="H21" s="40"/>
      <c r="I21" s="40"/>
      <c r="J21" s="40"/>
      <c r="K21" s="40"/>
    </row>
    <row r="22" ht="13.5" customHeight="1">
      <c r="A22" s="40" t="s">
        <v>137</v>
      </c>
      <c r="B22" s="40"/>
      <c r="C22" s="40"/>
      <c r="D22" s="40"/>
      <c r="H22" s="40"/>
      <c r="I22" s="41"/>
      <c r="J22" s="41"/>
      <c r="K22" s="41"/>
    </row>
    <row r="23" ht="13.5" customHeight="1">
      <c r="A23" s="40" t="s">
        <v>138</v>
      </c>
      <c r="B23" s="40"/>
      <c r="C23" s="40"/>
      <c r="D23" s="40"/>
      <c r="H23" s="40"/>
      <c r="I23" s="41"/>
      <c r="J23" s="41"/>
      <c r="K23" s="41"/>
    </row>
    <row r="24" ht="13.5" customHeight="1">
      <c r="A24" s="40"/>
    </row>
    <row r="25" ht="13.5" customHeight="1">
      <c r="A25" s="40"/>
    </row>
    <row r="26" ht="13.5" customHeight="1">
      <c r="A26" s="42" t="s">
        <v>139</v>
      </c>
      <c r="B26" s="43"/>
      <c r="D26" s="42" t="s">
        <v>140</v>
      </c>
      <c r="E26" s="43"/>
      <c r="G26" s="44" t="s">
        <v>141</v>
      </c>
      <c r="H26" s="43"/>
      <c r="J26" s="45"/>
      <c r="K26" s="45"/>
    </row>
    <row r="27" ht="13.5" customHeight="1">
      <c r="A27" s="46"/>
      <c r="B27" s="47"/>
      <c r="D27" s="46"/>
      <c r="E27" s="47"/>
      <c r="G27" s="46"/>
      <c r="H27" s="47"/>
      <c r="J27" s="45"/>
      <c r="K27" s="45"/>
    </row>
    <row r="28" ht="13.5" customHeight="1">
      <c r="A28" s="46"/>
      <c r="B28" s="47"/>
      <c r="D28" s="46"/>
      <c r="E28" s="47"/>
      <c r="G28" s="46"/>
      <c r="H28" s="47"/>
      <c r="J28" s="45"/>
      <c r="K28" s="45"/>
    </row>
    <row r="29" ht="13.5" customHeight="1">
      <c r="A29" s="46"/>
      <c r="B29" s="47"/>
      <c r="D29" s="46"/>
      <c r="E29" s="47"/>
      <c r="G29" s="46"/>
      <c r="H29" s="47"/>
      <c r="J29" s="45"/>
      <c r="K29" s="45"/>
    </row>
    <row r="30" ht="13.5" customHeight="1">
      <c r="A30" s="46"/>
      <c r="B30" s="47"/>
      <c r="D30" s="46"/>
      <c r="E30" s="47"/>
      <c r="G30" s="46"/>
      <c r="H30" s="47"/>
      <c r="J30" s="45"/>
      <c r="K30" s="45"/>
    </row>
    <row r="31" ht="13.5" customHeight="1">
      <c r="A31" s="46"/>
      <c r="B31" s="47"/>
      <c r="D31" s="46"/>
      <c r="E31" s="47"/>
      <c r="G31" s="46"/>
      <c r="H31" s="47"/>
      <c r="J31" s="45"/>
      <c r="K31" s="45"/>
    </row>
    <row r="32" ht="13.5" customHeight="1">
      <c r="A32" s="46"/>
      <c r="B32" s="47"/>
      <c r="D32" s="46"/>
      <c r="E32" s="47"/>
      <c r="G32" s="46"/>
      <c r="H32" s="47"/>
      <c r="J32" s="45"/>
      <c r="K32" s="45"/>
    </row>
    <row r="33" ht="13.5" customHeight="1">
      <c r="A33" s="46"/>
      <c r="B33" s="47"/>
      <c r="D33" s="46"/>
      <c r="E33" s="47"/>
      <c r="G33" s="46"/>
      <c r="H33" s="47"/>
      <c r="J33" s="45"/>
      <c r="K33" s="45"/>
    </row>
    <row r="34" ht="13.5" customHeight="1">
      <c r="A34" s="46"/>
      <c r="B34" s="47"/>
      <c r="D34" s="46"/>
      <c r="E34" s="47"/>
      <c r="G34" s="46"/>
      <c r="H34" s="47"/>
      <c r="J34" s="45"/>
      <c r="K34" s="45"/>
    </row>
    <row r="35" ht="13.5" customHeight="1">
      <c r="A35" s="46"/>
      <c r="B35" s="47"/>
      <c r="D35" s="46"/>
      <c r="E35" s="47"/>
      <c r="G35" s="46"/>
      <c r="H35" s="47"/>
      <c r="J35" s="45"/>
      <c r="K35" s="45"/>
    </row>
    <row r="36" ht="13.5" customHeight="1">
      <c r="A36" s="46"/>
      <c r="B36" s="47"/>
      <c r="D36" s="46"/>
      <c r="E36" s="47"/>
      <c r="G36" s="46"/>
      <c r="H36" s="47"/>
      <c r="J36" s="45"/>
      <c r="K36" s="45"/>
    </row>
    <row r="37" ht="13.5" customHeight="1">
      <c r="A37" s="46"/>
      <c r="B37" s="47"/>
      <c r="D37" s="46"/>
      <c r="E37" s="47"/>
      <c r="G37" s="46"/>
      <c r="H37" s="47"/>
      <c r="J37" s="45"/>
      <c r="K37" s="45"/>
    </row>
    <row r="38" ht="13.5" customHeight="1">
      <c r="A38" s="46"/>
      <c r="B38" s="47"/>
      <c r="D38" s="46"/>
      <c r="E38" s="47"/>
      <c r="G38" s="46"/>
      <c r="H38" s="47"/>
      <c r="J38" s="45"/>
      <c r="K38" s="45"/>
    </row>
    <row r="39" ht="13.5" customHeight="1">
      <c r="A39" s="46"/>
      <c r="B39" s="47"/>
      <c r="D39" s="46"/>
      <c r="E39" s="47"/>
      <c r="G39" s="46"/>
      <c r="H39" s="47"/>
      <c r="J39" s="45"/>
      <c r="K39" s="45"/>
    </row>
    <row r="40" ht="13.5" customHeight="1">
      <c r="A40" s="46"/>
      <c r="B40" s="47"/>
      <c r="D40" s="46"/>
      <c r="E40" s="47"/>
      <c r="G40" s="46"/>
      <c r="H40" s="47"/>
      <c r="J40" s="45"/>
      <c r="K40" s="45"/>
    </row>
    <row r="41" ht="13.5" customHeight="1">
      <c r="A41" s="46"/>
      <c r="B41" s="47"/>
      <c r="D41" s="46"/>
      <c r="E41" s="47"/>
      <c r="G41" s="46"/>
      <c r="H41" s="47"/>
      <c r="J41" s="45"/>
      <c r="K41" s="45"/>
    </row>
    <row r="42" ht="13.5" customHeight="1">
      <c r="A42" s="46"/>
      <c r="B42" s="47"/>
      <c r="D42" s="46"/>
      <c r="E42" s="47"/>
      <c r="G42" s="46"/>
      <c r="H42" s="47"/>
      <c r="J42" s="45"/>
      <c r="K42" s="45"/>
    </row>
    <row r="43" ht="13.5" customHeight="1">
      <c r="A43" s="46"/>
      <c r="B43" s="47"/>
      <c r="D43" s="46"/>
      <c r="E43" s="47"/>
      <c r="G43" s="46"/>
      <c r="H43" s="47"/>
      <c r="J43" s="45"/>
      <c r="K43" s="45"/>
    </row>
    <row r="44" ht="13.5" customHeight="1">
      <c r="A44" s="46"/>
      <c r="B44" s="47"/>
      <c r="D44" s="46"/>
      <c r="E44" s="47"/>
      <c r="G44" s="46"/>
      <c r="H44" s="47"/>
      <c r="J44" s="45"/>
      <c r="K44" s="45"/>
    </row>
    <row r="45" ht="13.5" customHeight="1">
      <c r="A45" s="48"/>
      <c r="B45" s="49"/>
      <c r="D45" s="48"/>
      <c r="E45" s="49"/>
      <c r="G45" s="46"/>
      <c r="H45" s="47"/>
      <c r="J45" s="45"/>
      <c r="K45" s="45"/>
    </row>
    <row r="46" ht="13.5" customHeight="1">
      <c r="G46" s="46"/>
      <c r="H46" s="47"/>
      <c r="J46" s="45"/>
      <c r="K46" s="45"/>
    </row>
    <row r="47" ht="13.5" customHeight="1">
      <c r="G47" s="46"/>
      <c r="H47" s="47"/>
      <c r="J47" s="45"/>
      <c r="K47" s="45"/>
    </row>
    <row r="48" ht="13.5" customHeight="1">
      <c r="G48" s="46"/>
      <c r="H48" s="47"/>
      <c r="J48" s="45"/>
      <c r="K48" s="45"/>
    </row>
    <row r="49" ht="13.5" customHeight="1">
      <c r="G49" s="46"/>
      <c r="H49" s="47"/>
      <c r="J49" s="45"/>
      <c r="K49" s="45"/>
    </row>
    <row r="50" ht="13.5" customHeight="1">
      <c r="G50" s="46"/>
      <c r="H50" s="47"/>
      <c r="J50" s="45"/>
      <c r="K50" s="45"/>
    </row>
    <row r="51" ht="13.5" customHeight="1">
      <c r="G51" s="46"/>
      <c r="H51" s="47"/>
      <c r="J51" s="45"/>
      <c r="K51" s="45"/>
    </row>
    <row r="52" ht="13.5" customHeight="1">
      <c r="G52" s="46"/>
      <c r="H52" s="47"/>
      <c r="J52" s="45"/>
      <c r="K52" s="45"/>
    </row>
    <row r="53" ht="13.5" customHeight="1">
      <c r="G53" s="46"/>
      <c r="H53" s="47"/>
    </row>
    <row r="54" ht="13.5" customHeight="1">
      <c r="G54" s="48"/>
      <c r="H54" s="49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26:B45"/>
    <mergeCell ref="D26:E45"/>
    <mergeCell ref="G26:H5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7.14"/>
    <col customWidth="1" min="2" max="25" width="10.57"/>
    <col customWidth="1" min="26" max="29" width="8.71"/>
    <col customWidth="1" min="30" max="30" width="9.14"/>
    <col customWidth="1" min="31" max="45" width="8.71"/>
  </cols>
  <sheetData>
    <row r="1" ht="14.25" customHeight="1">
      <c r="A1" s="50" t="s">
        <v>142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ht="14.25" customHeight="1"/>
    <row r="3" ht="14.25" customHeight="1">
      <c r="A3" s="52" t="s">
        <v>143</v>
      </c>
      <c r="B3" s="53">
        <v>2020.0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53">
        <v>2021.0</v>
      </c>
      <c r="O3" s="54"/>
      <c r="P3" s="54"/>
      <c r="Q3" s="54"/>
      <c r="R3" s="54"/>
      <c r="S3" s="54"/>
      <c r="T3" s="54"/>
      <c r="U3" s="54"/>
      <c r="V3" s="54"/>
      <c r="W3" s="54"/>
      <c r="X3" s="54"/>
      <c r="Y3" s="55"/>
      <c r="Z3" s="56">
        <v>2022.0</v>
      </c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/>
    </row>
    <row r="4" ht="14.25" customHeight="1">
      <c r="A4" s="52"/>
      <c r="B4" s="57">
        <v>1.0</v>
      </c>
      <c r="C4" s="57">
        <v>2.0</v>
      </c>
      <c r="D4" s="57">
        <v>3.0</v>
      </c>
      <c r="E4" s="57">
        <v>4.0</v>
      </c>
      <c r="F4" s="57">
        <v>5.0</v>
      </c>
      <c r="G4" s="57">
        <v>6.0</v>
      </c>
      <c r="H4" s="57">
        <v>7.0</v>
      </c>
      <c r="I4" s="57">
        <v>8.0</v>
      </c>
      <c r="J4" s="57">
        <v>9.0</v>
      </c>
      <c r="K4" s="57">
        <v>10.0</v>
      </c>
      <c r="L4" s="57">
        <v>11.0</v>
      </c>
      <c r="M4" s="57">
        <v>12.0</v>
      </c>
      <c r="N4" s="57">
        <v>13.0</v>
      </c>
      <c r="O4" s="57">
        <v>14.0</v>
      </c>
      <c r="P4" s="57">
        <v>15.0</v>
      </c>
      <c r="Q4" s="57">
        <v>16.0</v>
      </c>
      <c r="R4" s="57">
        <v>17.0</v>
      </c>
      <c r="S4" s="57">
        <v>18.0</v>
      </c>
      <c r="T4" s="57">
        <v>19.0</v>
      </c>
      <c r="U4" s="57">
        <v>20.0</v>
      </c>
      <c r="V4" s="57">
        <v>21.0</v>
      </c>
      <c r="W4" s="57">
        <v>22.0</v>
      </c>
      <c r="X4" s="57">
        <v>23.0</v>
      </c>
      <c r="Y4" s="57">
        <v>24.0</v>
      </c>
      <c r="Z4" s="57">
        <v>25.0</v>
      </c>
      <c r="AA4" s="57">
        <v>26.0</v>
      </c>
      <c r="AB4" s="57">
        <v>27.0</v>
      </c>
      <c r="AC4" s="57">
        <v>28.0</v>
      </c>
      <c r="AD4" s="57">
        <v>29.0</v>
      </c>
      <c r="AE4" s="57">
        <v>30.0</v>
      </c>
      <c r="AF4" s="57">
        <v>31.0</v>
      </c>
      <c r="AG4" s="57">
        <v>32.0</v>
      </c>
      <c r="AH4" s="57">
        <v>33.0</v>
      </c>
      <c r="AI4" s="57">
        <v>34.0</v>
      </c>
      <c r="AJ4" s="57">
        <v>35.0</v>
      </c>
      <c r="AK4" s="57">
        <v>36.0</v>
      </c>
    </row>
    <row r="5" ht="14.25" customHeight="1">
      <c r="A5" s="52" t="s">
        <v>59</v>
      </c>
      <c r="B5" s="52" t="s">
        <v>144</v>
      </c>
      <c r="C5" s="52" t="s">
        <v>145</v>
      </c>
      <c r="D5" s="52" t="s">
        <v>146</v>
      </c>
      <c r="E5" s="52" t="s">
        <v>147</v>
      </c>
      <c r="F5" s="52" t="s">
        <v>148</v>
      </c>
      <c r="G5" s="52" t="s">
        <v>149</v>
      </c>
      <c r="H5" s="52" t="s">
        <v>150</v>
      </c>
      <c r="I5" s="52" t="s">
        <v>151</v>
      </c>
      <c r="J5" s="52" t="s">
        <v>152</v>
      </c>
      <c r="K5" s="52" t="s">
        <v>153</v>
      </c>
      <c r="L5" s="52" t="s">
        <v>154</v>
      </c>
      <c r="M5" s="52" t="s">
        <v>155</v>
      </c>
      <c r="N5" s="52" t="s">
        <v>144</v>
      </c>
      <c r="O5" s="52" t="s">
        <v>145</v>
      </c>
      <c r="P5" s="52" t="s">
        <v>146</v>
      </c>
      <c r="Q5" s="52" t="s">
        <v>147</v>
      </c>
      <c r="R5" s="52" t="s">
        <v>148</v>
      </c>
      <c r="S5" s="52" t="s">
        <v>149</v>
      </c>
      <c r="T5" s="52" t="s">
        <v>150</v>
      </c>
      <c r="U5" s="52" t="s">
        <v>151</v>
      </c>
      <c r="V5" s="52" t="s">
        <v>152</v>
      </c>
      <c r="W5" s="52" t="s">
        <v>153</v>
      </c>
      <c r="X5" s="52" t="s">
        <v>154</v>
      </c>
      <c r="Y5" s="52" t="s">
        <v>155</v>
      </c>
      <c r="Z5" s="58" t="s">
        <v>144</v>
      </c>
      <c r="AA5" s="58" t="s">
        <v>145</v>
      </c>
      <c r="AB5" s="58" t="s">
        <v>146</v>
      </c>
      <c r="AC5" s="58" t="s">
        <v>147</v>
      </c>
      <c r="AD5" s="58" t="s">
        <v>148</v>
      </c>
      <c r="AE5" s="58" t="s">
        <v>149</v>
      </c>
      <c r="AF5" s="58" t="s">
        <v>150</v>
      </c>
      <c r="AG5" s="58" t="s">
        <v>151</v>
      </c>
      <c r="AH5" s="58" t="s">
        <v>152</v>
      </c>
      <c r="AI5" s="58" t="s">
        <v>153</v>
      </c>
      <c r="AJ5" s="58" t="s">
        <v>154</v>
      </c>
      <c r="AK5" s="58" t="s">
        <v>155</v>
      </c>
    </row>
    <row r="6" ht="14.25" customHeight="1">
      <c r="A6" s="59" t="s">
        <v>156</v>
      </c>
      <c r="B6" s="60">
        <v>5000.0</v>
      </c>
      <c r="C6" s="60">
        <v>4512.0</v>
      </c>
      <c r="D6" s="60">
        <v>5081.0</v>
      </c>
      <c r="E6" s="60">
        <v>4637.0</v>
      </c>
      <c r="F6" s="60">
        <v>4650.0</v>
      </c>
      <c r="G6" s="60">
        <v>4237.0</v>
      </c>
      <c r="H6" s="60">
        <v>4154.0</v>
      </c>
      <c r="I6" s="60">
        <v>4185.0</v>
      </c>
      <c r="J6" s="60">
        <v>5004.0</v>
      </c>
      <c r="K6" s="60">
        <v>4894.0</v>
      </c>
      <c r="L6" s="60">
        <v>4895.0</v>
      </c>
      <c r="M6" s="60">
        <v>5051.0</v>
      </c>
      <c r="N6" s="60">
        <v>3760.0</v>
      </c>
      <c r="O6" s="60">
        <v>3363.0</v>
      </c>
      <c r="P6" s="60">
        <v>3747.0</v>
      </c>
      <c r="Q6" s="60">
        <v>552.0</v>
      </c>
      <c r="R6" s="60">
        <v>3360.0</v>
      </c>
      <c r="S6" s="60">
        <v>3031.0</v>
      </c>
      <c r="T6" s="60">
        <v>5943.0</v>
      </c>
      <c r="U6" s="60">
        <v>2936.0</v>
      </c>
      <c r="V6" s="60">
        <v>3476.0</v>
      </c>
      <c r="W6" s="60">
        <v>3366.0</v>
      </c>
      <c r="X6" s="60">
        <v>3333.0</v>
      </c>
      <c r="Y6" s="61">
        <v>3404.0</v>
      </c>
      <c r="Z6" s="62">
        <f t="shared" ref="Z6:AK6" si="1">Z7*B11</f>
        <v>3329.644136</v>
      </c>
      <c r="AA6" s="63">
        <f t="shared" si="1"/>
        <v>2914.248647</v>
      </c>
      <c r="AB6" s="63">
        <f t="shared" si="1"/>
        <v>3178.013185</v>
      </c>
      <c r="AC6" s="63">
        <f t="shared" si="1"/>
        <v>1620.609403</v>
      </c>
      <c r="AD6" s="63">
        <f t="shared" si="1"/>
        <v>2722.837941</v>
      </c>
      <c r="AE6" s="63">
        <f t="shared" si="1"/>
        <v>2397.917085</v>
      </c>
      <c r="AF6" s="63">
        <f t="shared" si="1"/>
        <v>2281.578004</v>
      </c>
      <c r="AG6" s="63">
        <f t="shared" si="1"/>
        <v>2207.433406</v>
      </c>
      <c r="AH6" s="63">
        <f t="shared" si="1"/>
        <v>2544.341791</v>
      </c>
      <c r="AI6" s="63">
        <f t="shared" si="1"/>
        <v>2396.283034</v>
      </c>
      <c r="AJ6" s="63">
        <f t="shared" si="1"/>
        <v>2305.377868</v>
      </c>
      <c r="AK6" s="64">
        <f t="shared" si="1"/>
        <v>2285.201753</v>
      </c>
    </row>
    <row r="7" ht="14.25" customHeight="1">
      <c r="A7" s="65" t="s">
        <v>157</v>
      </c>
      <c r="B7" s="66">
        <f t="shared" ref="B7:AK7" si="2">$AB$22*B$4+$AC$22</f>
        <v>4923.216667</v>
      </c>
      <c r="C7" s="66">
        <f t="shared" si="2"/>
        <v>4845.005797</v>
      </c>
      <c r="D7" s="66">
        <f t="shared" si="2"/>
        <v>4766.794928</v>
      </c>
      <c r="E7" s="66">
        <f t="shared" si="2"/>
        <v>4688.584058</v>
      </c>
      <c r="F7" s="66">
        <f t="shared" si="2"/>
        <v>4610.373188</v>
      </c>
      <c r="G7" s="66">
        <f t="shared" si="2"/>
        <v>4532.162319</v>
      </c>
      <c r="H7" s="66">
        <f t="shared" si="2"/>
        <v>4453.951449</v>
      </c>
      <c r="I7" s="66">
        <f t="shared" si="2"/>
        <v>4375.74058</v>
      </c>
      <c r="J7" s="66">
        <f t="shared" si="2"/>
        <v>4297.52971</v>
      </c>
      <c r="K7" s="66">
        <f t="shared" si="2"/>
        <v>4219.318841</v>
      </c>
      <c r="L7" s="66">
        <f t="shared" si="2"/>
        <v>4141.107971</v>
      </c>
      <c r="M7" s="66">
        <f t="shared" si="2"/>
        <v>4062.897101</v>
      </c>
      <c r="N7" s="66">
        <f t="shared" si="2"/>
        <v>3984.686232</v>
      </c>
      <c r="O7" s="66">
        <f t="shared" si="2"/>
        <v>3906.475362</v>
      </c>
      <c r="P7" s="66">
        <f t="shared" si="2"/>
        <v>3828.264493</v>
      </c>
      <c r="Q7" s="66">
        <f t="shared" si="2"/>
        <v>3750.053623</v>
      </c>
      <c r="R7" s="66">
        <f t="shared" si="2"/>
        <v>3671.842754</v>
      </c>
      <c r="S7" s="66">
        <f t="shared" si="2"/>
        <v>3593.631884</v>
      </c>
      <c r="T7" s="66">
        <f t="shared" si="2"/>
        <v>3515.421014</v>
      </c>
      <c r="U7" s="66">
        <f t="shared" si="2"/>
        <v>3437.210145</v>
      </c>
      <c r="V7" s="66">
        <f t="shared" si="2"/>
        <v>3358.999275</v>
      </c>
      <c r="W7" s="66">
        <f t="shared" si="2"/>
        <v>3280.788406</v>
      </c>
      <c r="X7" s="66">
        <f t="shared" si="2"/>
        <v>3202.577536</v>
      </c>
      <c r="Y7" s="67">
        <f t="shared" si="2"/>
        <v>3124.366667</v>
      </c>
      <c r="Z7" s="68">
        <f t="shared" si="2"/>
        <v>3046.155797</v>
      </c>
      <c r="AA7" s="69">
        <f t="shared" si="2"/>
        <v>2967.944928</v>
      </c>
      <c r="AB7" s="69">
        <f t="shared" si="2"/>
        <v>2889.734058</v>
      </c>
      <c r="AC7" s="69">
        <f t="shared" si="2"/>
        <v>2811.523188</v>
      </c>
      <c r="AD7" s="69">
        <f t="shared" si="2"/>
        <v>2733.312319</v>
      </c>
      <c r="AE7" s="69">
        <f t="shared" si="2"/>
        <v>2655.101449</v>
      </c>
      <c r="AF7" s="69">
        <f t="shared" si="2"/>
        <v>2576.89058</v>
      </c>
      <c r="AG7" s="69">
        <f t="shared" si="2"/>
        <v>2498.67971</v>
      </c>
      <c r="AH7" s="69">
        <f t="shared" si="2"/>
        <v>2420.468841</v>
      </c>
      <c r="AI7" s="69">
        <f t="shared" si="2"/>
        <v>2342.257971</v>
      </c>
      <c r="AJ7" s="69">
        <f t="shared" si="2"/>
        <v>2264.047101</v>
      </c>
      <c r="AK7" s="70">
        <f t="shared" si="2"/>
        <v>2185.836232</v>
      </c>
    </row>
    <row r="8" ht="14.25" customHeight="1">
      <c r="A8" s="71" t="s">
        <v>158</v>
      </c>
      <c r="B8" s="72">
        <f t="shared" ref="B8:Y8" si="3">B6/B7</f>
        <v>1.015596172</v>
      </c>
      <c r="C8" s="72">
        <f t="shared" si="3"/>
        <v>0.9312682356</v>
      </c>
      <c r="D8" s="72">
        <f t="shared" si="3"/>
        <v>1.065915374</v>
      </c>
      <c r="E8" s="72">
        <f t="shared" si="3"/>
        <v>0.9889979454</v>
      </c>
      <c r="F8" s="72">
        <f t="shared" si="3"/>
        <v>1.008595142</v>
      </c>
      <c r="G8" s="72">
        <f t="shared" si="3"/>
        <v>0.9348738421</v>
      </c>
      <c r="H8" s="72">
        <f t="shared" si="3"/>
        <v>0.93265498</v>
      </c>
      <c r="I8" s="72">
        <f t="shared" si="3"/>
        <v>0.956409532</v>
      </c>
      <c r="J8" s="72">
        <f t="shared" si="3"/>
        <v>1.164389856</v>
      </c>
      <c r="K8" s="72">
        <f t="shared" si="3"/>
        <v>1.159902862</v>
      </c>
      <c r="L8" s="72">
        <f t="shared" si="3"/>
        <v>1.182050802</v>
      </c>
      <c r="M8" s="72">
        <f t="shared" si="3"/>
        <v>1.243201556</v>
      </c>
      <c r="N8" s="72">
        <f t="shared" si="3"/>
        <v>0.943612566</v>
      </c>
      <c r="O8" s="72">
        <f t="shared" si="3"/>
        <v>0.8608783336</v>
      </c>
      <c r="P8" s="72">
        <f t="shared" si="3"/>
        <v>0.9787724978</v>
      </c>
      <c r="Q8" s="72">
        <f t="shared" si="3"/>
        <v>0.1471978951</v>
      </c>
      <c r="R8" s="72">
        <f t="shared" si="3"/>
        <v>0.9150718659</v>
      </c>
      <c r="S8" s="72">
        <f t="shared" si="3"/>
        <v>0.8434364169</v>
      </c>
      <c r="T8" s="72">
        <f t="shared" si="3"/>
        <v>1.690551423</v>
      </c>
      <c r="U8" s="72">
        <f t="shared" si="3"/>
        <v>0.8541811167</v>
      </c>
      <c r="V8" s="72">
        <f t="shared" si="3"/>
        <v>1.034832018</v>
      </c>
      <c r="W8" s="72">
        <f t="shared" si="3"/>
        <v>1.025972902</v>
      </c>
      <c r="X8" s="72">
        <f t="shared" si="3"/>
        <v>1.040724217</v>
      </c>
      <c r="Y8" s="73">
        <f t="shared" si="3"/>
        <v>1.089500805</v>
      </c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ht="14.25" customHeight="1">
      <c r="A9" s="65" t="s">
        <v>159</v>
      </c>
      <c r="B9" s="66">
        <f>AVERAGE(B6:M6)</f>
        <v>4691.666667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>
        <f>AVERAGE(N6:Y6)</f>
        <v>3355.916667</v>
      </c>
      <c r="O9" s="66"/>
      <c r="P9" s="66"/>
      <c r="Q9" s="66"/>
      <c r="R9" s="66"/>
      <c r="S9" s="66"/>
      <c r="T9" s="66"/>
      <c r="U9" s="66"/>
      <c r="V9" s="66"/>
      <c r="W9" s="66"/>
      <c r="X9" s="66"/>
      <c r="Y9" s="67"/>
      <c r="Z9" s="22"/>
      <c r="AA9" s="22"/>
      <c r="AB9" s="22"/>
      <c r="AC9" s="22"/>
      <c r="AD9" s="74"/>
      <c r="AE9" s="22"/>
      <c r="AF9" s="22"/>
      <c r="AG9" s="22"/>
      <c r="AH9" s="22"/>
      <c r="AI9" s="22"/>
      <c r="AJ9" s="22"/>
      <c r="AK9" s="22"/>
    </row>
    <row r="10" ht="14.25" customHeight="1">
      <c r="A10" s="65" t="s">
        <v>160</v>
      </c>
      <c r="B10" s="72">
        <f t="shared" ref="B10:M10" si="4">B6/$B9</f>
        <v>1.065719361</v>
      </c>
      <c r="C10" s="72">
        <f t="shared" si="4"/>
        <v>0.961705151</v>
      </c>
      <c r="D10" s="72">
        <f t="shared" si="4"/>
        <v>1.082984014</v>
      </c>
      <c r="E10" s="72">
        <f t="shared" si="4"/>
        <v>0.988348135</v>
      </c>
      <c r="F10" s="72">
        <f t="shared" si="4"/>
        <v>0.9911190053</v>
      </c>
      <c r="G10" s="72">
        <f t="shared" si="4"/>
        <v>0.9030905861</v>
      </c>
      <c r="H10" s="72">
        <f t="shared" si="4"/>
        <v>0.8853996448</v>
      </c>
      <c r="I10" s="72">
        <f t="shared" si="4"/>
        <v>0.8920071048</v>
      </c>
      <c r="J10" s="72">
        <f t="shared" si="4"/>
        <v>1.066571936</v>
      </c>
      <c r="K10" s="72">
        <f t="shared" si="4"/>
        <v>1.04312611</v>
      </c>
      <c r="L10" s="72">
        <f t="shared" si="4"/>
        <v>1.043339254</v>
      </c>
      <c r="M10" s="72">
        <f t="shared" si="4"/>
        <v>1.076589698</v>
      </c>
      <c r="N10" s="72">
        <f t="shared" ref="N10:Y10" si="5">N6/$N9</f>
        <v>1.120409227</v>
      </c>
      <c r="O10" s="72">
        <f t="shared" si="5"/>
        <v>1.0021107</v>
      </c>
      <c r="P10" s="72">
        <f t="shared" si="5"/>
        <v>1.116535472</v>
      </c>
      <c r="Q10" s="72">
        <f t="shared" si="5"/>
        <v>0.16448561</v>
      </c>
      <c r="R10" s="72">
        <f t="shared" si="5"/>
        <v>1.001216756</v>
      </c>
      <c r="S10" s="72">
        <f t="shared" si="5"/>
        <v>0.9031809491</v>
      </c>
      <c r="T10" s="72">
        <f t="shared" si="5"/>
        <v>1.770902138</v>
      </c>
      <c r="U10" s="72">
        <f t="shared" si="5"/>
        <v>0.8748727372</v>
      </c>
      <c r="V10" s="72">
        <f t="shared" si="5"/>
        <v>1.035782573</v>
      </c>
      <c r="W10" s="72">
        <f t="shared" si="5"/>
        <v>1.003004644</v>
      </c>
      <c r="X10" s="72">
        <f t="shared" si="5"/>
        <v>0.9931712647</v>
      </c>
      <c r="Y10" s="73">
        <f t="shared" si="5"/>
        <v>1.014327928</v>
      </c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ht="14.25" customHeight="1">
      <c r="A11" s="75" t="s">
        <v>161</v>
      </c>
      <c r="B11" s="76">
        <f t="shared" ref="B11:G11" si="6">AVERAGE(B10,N10)</f>
        <v>1.093064294</v>
      </c>
      <c r="C11" s="76">
        <f t="shared" si="6"/>
        <v>0.9819079255</v>
      </c>
      <c r="D11" s="76">
        <f t="shared" si="6"/>
        <v>1.099759743</v>
      </c>
      <c r="E11" s="76">
        <f t="shared" si="6"/>
        <v>0.5764168725</v>
      </c>
      <c r="F11" s="76">
        <f t="shared" si="6"/>
        <v>0.9961678809</v>
      </c>
      <c r="G11" s="76">
        <f t="shared" si="6"/>
        <v>0.9031357676</v>
      </c>
      <c r="H11" s="72">
        <f>H10</f>
        <v>0.8853996448</v>
      </c>
      <c r="I11" s="76">
        <f t="shared" ref="I11:M11" si="7">AVERAGE(I10,U10)</f>
        <v>0.883439921</v>
      </c>
      <c r="J11" s="76">
        <f t="shared" si="7"/>
        <v>1.051177255</v>
      </c>
      <c r="K11" s="76">
        <f t="shared" si="7"/>
        <v>1.023065377</v>
      </c>
      <c r="L11" s="76">
        <f t="shared" si="7"/>
        <v>1.018255259</v>
      </c>
      <c r="M11" s="76">
        <f t="shared" si="7"/>
        <v>1.045458813</v>
      </c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7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 ht="14.25" customHeight="1">
      <c r="A12" s="59" t="s">
        <v>162</v>
      </c>
      <c r="B12" s="60">
        <v>4500.0</v>
      </c>
      <c r="C12" s="60">
        <v>4269.0</v>
      </c>
      <c r="D12" s="60">
        <v>4494.0</v>
      </c>
      <c r="E12" s="60">
        <v>4305.0</v>
      </c>
      <c r="F12" s="60">
        <v>4565.0</v>
      </c>
      <c r="G12" s="60">
        <v>3987.0</v>
      </c>
      <c r="H12" s="60">
        <v>3732.0</v>
      </c>
      <c r="I12" s="60">
        <v>3458.0</v>
      </c>
      <c r="J12" s="60">
        <v>3433.0</v>
      </c>
      <c r="K12" s="60">
        <v>3839.0</v>
      </c>
      <c r="L12" s="60">
        <v>4126.0</v>
      </c>
      <c r="M12" s="60">
        <v>4221.0</v>
      </c>
      <c r="N12" s="60">
        <v>1920.0</v>
      </c>
      <c r="O12" s="60">
        <v>1809.0</v>
      </c>
      <c r="P12" s="60">
        <v>1886.0</v>
      </c>
      <c r="Q12" s="60">
        <v>1788.0</v>
      </c>
      <c r="R12" s="60">
        <v>1877.0</v>
      </c>
      <c r="S12" s="60">
        <v>1623.0</v>
      </c>
      <c r="T12" s="60">
        <v>1504.0</v>
      </c>
      <c r="U12" s="60">
        <v>1380.0</v>
      </c>
      <c r="V12" s="60">
        <v>1356.0</v>
      </c>
      <c r="W12" s="60">
        <v>1501.0</v>
      </c>
      <c r="X12" s="60">
        <v>1597.0</v>
      </c>
      <c r="Y12" s="61">
        <v>1617.0</v>
      </c>
      <c r="Z12" s="62">
        <f t="shared" ref="Z12:AK12" si="8">Z13*B17</f>
        <v>922.3578931</v>
      </c>
      <c r="AA12" s="63">
        <f t="shared" si="8"/>
        <v>696.3459692</v>
      </c>
      <c r="AB12" s="63">
        <f t="shared" si="8"/>
        <v>545.4933374</v>
      </c>
      <c r="AC12" s="63">
        <f t="shared" si="8"/>
        <v>344.5203842</v>
      </c>
      <c r="AD12" s="63">
        <f t="shared" si="8"/>
        <v>178.5477996</v>
      </c>
      <c r="AE12" s="63">
        <f t="shared" si="8"/>
        <v>0</v>
      </c>
      <c r="AF12" s="63">
        <f t="shared" si="8"/>
        <v>0</v>
      </c>
      <c r="AG12" s="63">
        <f t="shared" si="8"/>
        <v>0</v>
      </c>
      <c r="AH12" s="63">
        <f t="shared" si="8"/>
        <v>0</v>
      </c>
      <c r="AI12" s="63">
        <f t="shared" si="8"/>
        <v>0</v>
      </c>
      <c r="AJ12" s="63">
        <f t="shared" si="8"/>
        <v>0</v>
      </c>
      <c r="AK12" s="64">
        <f t="shared" si="8"/>
        <v>0</v>
      </c>
    </row>
    <row r="13" ht="14.25" customHeight="1">
      <c r="A13" s="65" t="s">
        <v>157</v>
      </c>
      <c r="B13" s="66">
        <f t="shared" ref="B13:Y13" si="9">$AB$23*B$4+$AC$23</f>
        <v>4753.3</v>
      </c>
      <c r="C13" s="66">
        <f t="shared" si="9"/>
        <v>4589.197826</v>
      </c>
      <c r="D13" s="66">
        <f t="shared" si="9"/>
        <v>4425.095652</v>
      </c>
      <c r="E13" s="66">
        <f t="shared" si="9"/>
        <v>4260.993478</v>
      </c>
      <c r="F13" s="66">
        <f t="shared" si="9"/>
        <v>4096.891304</v>
      </c>
      <c r="G13" s="66">
        <f t="shared" si="9"/>
        <v>3932.78913</v>
      </c>
      <c r="H13" s="66">
        <f t="shared" si="9"/>
        <v>3768.686957</v>
      </c>
      <c r="I13" s="66">
        <f t="shared" si="9"/>
        <v>3604.584783</v>
      </c>
      <c r="J13" s="66">
        <f t="shared" si="9"/>
        <v>3440.482609</v>
      </c>
      <c r="K13" s="66">
        <f t="shared" si="9"/>
        <v>3276.380435</v>
      </c>
      <c r="L13" s="66">
        <f t="shared" si="9"/>
        <v>3112.278261</v>
      </c>
      <c r="M13" s="66">
        <f t="shared" si="9"/>
        <v>2948.176087</v>
      </c>
      <c r="N13" s="66">
        <f t="shared" si="9"/>
        <v>2784.073913</v>
      </c>
      <c r="O13" s="66">
        <f t="shared" si="9"/>
        <v>2619.971739</v>
      </c>
      <c r="P13" s="66">
        <f t="shared" si="9"/>
        <v>2455.869565</v>
      </c>
      <c r="Q13" s="66">
        <f t="shared" si="9"/>
        <v>2291.767391</v>
      </c>
      <c r="R13" s="66">
        <f t="shared" si="9"/>
        <v>2127.665217</v>
      </c>
      <c r="S13" s="66">
        <f t="shared" si="9"/>
        <v>1963.563043</v>
      </c>
      <c r="T13" s="66">
        <f t="shared" si="9"/>
        <v>1799.46087</v>
      </c>
      <c r="U13" s="66">
        <f t="shared" si="9"/>
        <v>1635.358696</v>
      </c>
      <c r="V13" s="66">
        <f t="shared" si="9"/>
        <v>1471.256522</v>
      </c>
      <c r="W13" s="66">
        <f t="shared" si="9"/>
        <v>1307.154348</v>
      </c>
      <c r="X13" s="66">
        <f t="shared" si="9"/>
        <v>1143.052174</v>
      </c>
      <c r="Y13" s="67">
        <f t="shared" si="9"/>
        <v>978.95</v>
      </c>
      <c r="Z13" s="68">
        <f t="shared" ref="Z13:AK13" si="10">IF($AB$23*Z$4+$AC$23 &gt; 0, $AB$23*Z$4+$AC$23, 0)</f>
        <v>814.8478261</v>
      </c>
      <c r="AA13" s="69">
        <f t="shared" si="10"/>
        <v>650.7456522</v>
      </c>
      <c r="AB13" s="69">
        <f t="shared" si="10"/>
        <v>486.6434783</v>
      </c>
      <c r="AC13" s="69">
        <f t="shared" si="10"/>
        <v>322.5413043</v>
      </c>
      <c r="AD13" s="69">
        <f t="shared" si="10"/>
        <v>158.4391304</v>
      </c>
      <c r="AE13" s="69">
        <f t="shared" si="10"/>
        <v>0</v>
      </c>
      <c r="AF13" s="69">
        <f t="shared" si="10"/>
        <v>0</v>
      </c>
      <c r="AG13" s="69">
        <f t="shared" si="10"/>
        <v>0</v>
      </c>
      <c r="AH13" s="69">
        <f t="shared" si="10"/>
        <v>0</v>
      </c>
      <c r="AI13" s="69">
        <f t="shared" si="10"/>
        <v>0</v>
      </c>
      <c r="AJ13" s="69">
        <f t="shared" si="10"/>
        <v>0</v>
      </c>
      <c r="AK13" s="70">
        <f t="shared" si="10"/>
        <v>0</v>
      </c>
    </row>
    <row r="14" ht="14.25" customHeight="1">
      <c r="A14" s="71" t="s">
        <v>158</v>
      </c>
      <c r="B14" s="72">
        <f t="shared" ref="B14:Y14" si="11">B12/B13</f>
        <v>0.9467107062</v>
      </c>
      <c r="C14" s="72">
        <f t="shared" si="11"/>
        <v>0.9302279313</v>
      </c>
      <c r="D14" s="72">
        <f t="shared" si="11"/>
        <v>1.015571267</v>
      </c>
      <c r="E14" s="72">
        <f t="shared" si="11"/>
        <v>1.010327761</v>
      </c>
      <c r="F14" s="72">
        <f t="shared" si="11"/>
        <v>1.114259486</v>
      </c>
      <c r="G14" s="72">
        <f t="shared" si="11"/>
        <v>1.013784332</v>
      </c>
      <c r="H14" s="72">
        <f t="shared" si="11"/>
        <v>0.9902653213</v>
      </c>
      <c r="I14" s="72">
        <f t="shared" si="11"/>
        <v>0.9593337953</v>
      </c>
      <c r="J14" s="72">
        <f t="shared" si="11"/>
        <v>0.9978251282</v>
      </c>
      <c r="K14" s="72">
        <f t="shared" si="11"/>
        <v>1.171719853</v>
      </c>
      <c r="L14" s="72">
        <f t="shared" si="11"/>
        <v>1.325716936</v>
      </c>
      <c r="M14" s="72">
        <f t="shared" si="11"/>
        <v>1.431732663</v>
      </c>
      <c r="N14" s="72">
        <f t="shared" si="11"/>
        <v>0.6896368631</v>
      </c>
      <c r="O14" s="72">
        <f t="shared" si="11"/>
        <v>0.690465463</v>
      </c>
      <c r="P14" s="72">
        <f t="shared" si="11"/>
        <v>0.7679560945</v>
      </c>
      <c r="Q14" s="72">
        <f t="shared" si="11"/>
        <v>0.7801838907</v>
      </c>
      <c r="R14" s="72">
        <f t="shared" si="11"/>
        <v>0.8821876603</v>
      </c>
      <c r="S14" s="72">
        <f t="shared" si="11"/>
        <v>0.8265586406</v>
      </c>
      <c r="T14" s="72">
        <f t="shared" si="11"/>
        <v>0.8358058936</v>
      </c>
      <c r="U14" s="72">
        <f t="shared" si="11"/>
        <v>0.8438515683</v>
      </c>
      <c r="V14" s="72">
        <f t="shared" si="11"/>
        <v>0.9216611651</v>
      </c>
      <c r="W14" s="72">
        <f t="shared" si="11"/>
        <v>1.148295917</v>
      </c>
      <c r="X14" s="72">
        <f t="shared" si="11"/>
        <v>1.397136576</v>
      </c>
      <c r="Y14" s="73">
        <f t="shared" si="11"/>
        <v>1.651769753</v>
      </c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 ht="14.25" customHeight="1">
      <c r="A15" s="65" t="s">
        <v>159</v>
      </c>
      <c r="B15" s="66">
        <f>AVERAGE(B12:M12)</f>
        <v>4077.416667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>
        <f>AVERAGE(N12:Y12)</f>
        <v>1654.833333</v>
      </c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7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ht="14.25" customHeight="1">
      <c r="A16" s="65" t="s">
        <v>160</v>
      </c>
      <c r="B16" s="72">
        <f t="shared" ref="B16:M16" si="12">B12/$B15</f>
        <v>1.103639968</v>
      </c>
      <c r="C16" s="72">
        <f t="shared" si="12"/>
        <v>1.04698645</v>
      </c>
      <c r="D16" s="72">
        <f t="shared" si="12"/>
        <v>1.102168448</v>
      </c>
      <c r="E16" s="72">
        <f t="shared" si="12"/>
        <v>1.055815569</v>
      </c>
      <c r="F16" s="72">
        <f t="shared" si="12"/>
        <v>1.119581434</v>
      </c>
      <c r="G16" s="72">
        <f t="shared" si="12"/>
        <v>0.9778250118</v>
      </c>
      <c r="H16" s="72">
        <f t="shared" si="12"/>
        <v>0.9152854136</v>
      </c>
      <c r="I16" s="72">
        <f t="shared" si="12"/>
        <v>0.8480860022</v>
      </c>
      <c r="J16" s="72">
        <f t="shared" si="12"/>
        <v>0.841954669</v>
      </c>
      <c r="K16" s="72">
        <f t="shared" si="12"/>
        <v>0.9415275195</v>
      </c>
      <c r="L16" s="72">
        <f t="shared" si="12"/>
        <v>1.011915224</v>
      </c>
      <c r="M16" s="72">
        <f t="shared" si="12"/>
        <v>1.03521429</v>
      </c>
      <c r="N16" s="72">
        <f t="shared" ref="N16:Y16" si="13">N12/$N15</f>
        <v>1.160237688</v>
      </c>
      <c r="O16" s="72">
        <f t="shared" si="13"/>
        <v>1.093161446</v>
      </c>
      <c r="P16" s="72">
        <f t="shared" si="13"/>
        <v>1.139691812</v>
      </c>
      <c r="Q16" s="72">
        <f t="shared" si="13"/>
        <v>1.080471347</v>
      </c>
      <c r="R16" s="72">
        <f t="shared" si="13"/>
        <v>1.134253198</v>
      </c>
      <c r="S16" s="72">
        <f t="shared" si="13"/>
        <v>0.9807634203</v>
      </c>
      <c r="T16" s="72">
        <f t="shared" si="13"/>
        <v>0.9088528553</v>
      </c>
      <c r="U16" s="72">
        <f t="shared" si="13"/>
        <v>0.8339208379</v>
      </c>
      <c r="V16" s="72">
        <f t="shared" si="13"/>
        <v>0.8194178669</v>
      </c>
      <c r="W16" s="72">
        <f t="shared" si="13"/>
        <v>0.9070399839</v>
      </c>
      <c r="X16" s="72">
        <f t="shared" si="13"/>
        <v>0.9650518683</v>
      </c>
      <c r="Y16" s="73">
        <f t="shared" si="13"/>
        <v>0.9771376775</v>
      </c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ht="14.25" customHeight="1">
      <c r="A17" s="75" t="s">
        <v>161</v>
      </c>
      <c r="B17" s="76">
        <f t="shared" ref="B17:M17" si="14">AVERAGE(B16,N16)</f>
        <v>1.131938828</v>
      </c>
      <c r="C17" s="76">
        <f t="shared" si="14"/>
        <v>1.070073948</v>
      </c>
      <c r="D17" s="76">
        <f t="shared" si="14"/>
        <v>1.12093013</v>
      </c>
      <c r="E17" s="76">
        <f t="shared" si="14"/>
        <v>1.068143458</v>
      </c>
      <c r="F17" s="76">
        <f t="shared" si="14"/>
        <v>1.126917316</v>
      </c>
      <c r="G17" s="76">
        <f t="shared" si="14"/>
        <v>0.979294216</v>
      </c>
      <c r="H17" s="76">
        <f t="shared" si="14"/>
        <v>0.9120691344</v>
      </c>
      <c r="I17" s="76">
        <f t="shared" si="14"/>
        <v>0.8410034201</v>
      </c>
      <c r="J17" s="76">
        <f t="shared" si="14"/>
        <v>0.8306862679</v>
      </c>
      <c r="K17" s="76">
        <f t="shared" si="14"/>
        <v>0.9242837517</v>
      </c>
      <c r="L17" s="76">
        <f t="shared" si="14"/>
        <v>0.9884835462</v>
      </c>
      <c r="M17" s="76">
        <f t="shared" si="14"/>
        <v>1.006175984</v>
      </c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7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ht="14.25" customHeight="1">
      <c r="A18" s="59" t="s">
        <v>163</v>
      </c>
      <c r="B18" s="60">
        <v>1500.0</v>
      </c>
      <c r="C18" s="60">
        <v>1558.0</v>
      </c>
      <c r="D18" s="60">
        <v>1943.0</v>
      </c>
      <c r="E18" s="60">
        <v>1586.0</v>
      </c>
      <c r="F18" s="60">
        <v>1286.0</v>
      </c>
      <c r="G18" s="60">
        <v>960.0</v>
      </c>
      <c r="H18" s="60">
        <v>809.0</v>
      </c>
      <c r="I18" s="60">
        <v>770.0</v>
      </c>
      <c r="J18" s="60">
        <v>906.0</v>
      </c>
      <c r="K18" s="60">
        <v>1074.0</v>
      </c>
      <c r="L18" s="60">
        <v>1254.0</v>
      </c>
      <c r="M18" s="60">
        <v>1384.0</v>
      </c>
      <c r="N18" s="60">
        <v>203.0</v>
      </c>
      <c r="O18" s="60">
        <v>1346.0</v>
      </c>
      <c r="P18" s="60">
        <v>1662.0</v>
      </c>
      <c r="Q18" s="60">
        <v>1343.0</v>
      </c>
      <c r="R18" s="60">
        <v>1078.0</v>
      </c>
      <c r="S18" s="60">
        <v>796.0</v>
      </c>
      <c r="T18" s="60">
        <v>665.0</v>
      </c>
      <c r="U18" s="60">
        <v>1027.0</v>
      </c>
      <c r="V18" s="60">
        <v>730.0</v>
      </c>
      <c r="W18" s="60">
        <v>857.0</v>
      </c>
      <c r="X18" s="60">
        <v>991.0</v>
      </c>
      <c r="Y18" s="61">
        <v>1083.0</v>
      </c>
      <c r="Z18" s="62">
        <f t="shared" ref="Z18:AK18" si="15">Z19*B23</f>
        <v>568.1244939</v>
      </c>
      <c r="AA18" s="63">
        <f t="shared" si="15"/>
        <v>1025.618911</v>
      </c>
      <c r="AB18" s="63">
        <f t="shared" si="15"/>
        <v>1232.449782</v>
      </c>
      <c r="AC18" s="63">
        <f t="shared" si="15"/>
        <v>968.270689</v>
      </c>
      <c r="AD18" s="63">
        <f t="shared" si="15"/>
        <v>754.8305899</v>
      </c>
      <c r="AE18" s="63">
        <f t="shared" si="15"/>
        <v>540.8884388</v>
      </c>
      <c r="AF18" s="63">
        <f t="shared" si="15"/>
        <v>437.4814167</v>
      </c>
      <c r="AG18" s="63">
        <f t="shared" si="15"/>
        <v>528.6262584</v>
      </c>
      <c r="AH18" s="63">
        <f t="shared" si="15"/>
        <v>448.8234062</v>
      </c>
      <c r="AI18" s="63">
        <f t="shared" si="15"/>
        <v>508.1201126</v>
      </c>
      <c r="AJ18" s="63">
        <f t="shared" si="15"/>
        <v>565.6244337</v>
      </c>
      <c r="AK18" s="64">
        <f t="shared" si="15"/>
        <v>593.9771865</v>
      </c>
    </row>
    <row r="19" ht="14.25" customHeight="1">
      <c r="A19" s="65" t="s">
        <v>157</v>
      </c>
      <c r="B19" s="66">
        <f t="shared" ref="B19:AK19" si="16">$AB$24*B$4+$AC$24</f>
        <v>1400.53</v>
      </c>
      <c r="C19" s="66">
        <f t="shared" si="16"/>
        <v>1375.886087</v>
      </c>
      <c r="D19" s="66">
        <f t="shared" si="16"/>
        <v>1351.242174</v>
      </c>
      <c r="E19" s="66">
        <f t="shared" si="16"/>
        <v>1326.598261</v>
      </c>
      <c r="F19" s="66">
        <f t="shared" si="16"/>
        <v>1301.954348</v>
      </c>
      <c r="G19" s="66">
        <f t="shared" si="16"/>
        <v>1277.310435</v>
      </c>
      <c r="H19" s="66">
        <f t="shared" si="16"/>
        <v>1252.666522</v>
      </c>
      <c r="I19" s="66">
        <f t="shared" si="16"/>
        <v>1228.022609</v>
      </c>
      <c r="J19" s="66">
        <f t="shared" si="16"/>
        <v>1203.378696</v>
      </c>
      <c r="K19" s="66">
        <f t="shared" si="16"/>
        <v>1178.734783</v>
      </c>
      <c r="L19" s="66">
        <f t="shared" si="16"/>
        <v>1154.09087</v>
      </c>
      <c r="M19" s="66">
        <f t="shared" si="16"/>
        <v>1129.446957</v>
      </c>
      <c r="N19" s="66">
        <f t="shared" si="16"/>
        <v>1104.803043</v>
      </c>
      <c r="O19" s="66">
        <f t="shared" si="16"/>
        <v>1080.15913</v>
      </c>
      <c r="P19" s="66">
        <f t="shared" si="16"/>
        <v>1055.515217</v>
      </c>
      <c r="Q19" s="66">
        <f t="shared" si="16"/>
        <v>1030.871304</v>
      </c>
      <c r="R19" s="66">
        <f t="shared" si="16"/>
        <v>1006.227391</v>
      </c>
      <c r="S19" s="66">
        <f t="shared" si="16"/>
        <v>981.5834783</v>
      </c>
      <c r="T19" s="66">
        <f t="shared" si="16"/>
        <v>956.9395652</v>
      </c>
      <c r="U19" s="66">
        <f t="shared" si="16"/>
        <v>932.2956522</v>
      </c>
      <c r="V19" s="66">
        <f t="shared" si="16"/>
        <v>907.6517391</v>
      </c>
      <c r="W19" s="66">
        <f t="shared" si="16"/>
        <v>883.0078261</v>
      </c>
      <c r="X19" s="66">
        <f t="shared" si="16"/>
        <v>858.363913</v>
      </c>
      <c r="Y19" s="67">
        <f t="shared" si="16"/>
        <v>833.72</v>
      </c>
      <c r="Z19" s="68">
        <f t="shared" si="16"/>
        <v>809.076087</v>
      </c>
      <c r="AA19" s="69">
        <f t="shared" si="16"/>
        <v>784.4321739</v>
      </c>
      <c r="AB19" s="69">
        <f t="shared" si="16"/>
        <v>759.7882609</v>
      </c>
      <c r="AC19" s="69">
        <f t="shared" si="16"/>
        <v>735.1443478</v>
      </c>
      <c r="AD19" s="69">
        <f t="shared" si="16"/>
        <v>710.5004348</v>
      </c>
      <c r="AE19" s="69">
        <f t="shared" si="16"/>
        <v>685.8565217</v>
      </c>
      <c r="AF19" s="69">
        <f t="shared" si="16"/>
        <v>661.2126087</v>
      </c>
      <c r="AG19" s="69">
        <f t="shared" si="16"/>
        <v>636.5686957</v>
      </c>
      <c r="AH19" s="69">
        <f t="shared" si="16"/>
        <v>611.9247826</v>
      </c>
      <c r="AI19" s="69">
        <f t="shared" si="16"/>
        <v>587.2808696</v>
      </c>
      <c r="AJ19" s="69">
        <f t="shared" si="16"/>
        <v>562.6369565</v>
      </c>
      <c r="AK19" s="70">
        <f t="shared" si="16"/>
        <v>537.9930435</v>
      </c>
    </row>
    <row r="20" ht="14.25" customHeight="1">
      <c r="A20" s="71" t="s">
        <v>158</v>
      </c>
      <c r="B20" s="72">
        <f t="shared" ref="B20:Y20" si="17">B18/B19</f>
        <v>1.071023113</v>
      </c>
      <c r="C20" s="72">
        <f t="shared" si="17"/>
        <v>1.132361185</v>
      </c>
      <c r="D20" s="72">
        <f t="shared" si="17"/>
        <v>1.437936173</v>
      </c>
      <c r="E20" s="72">
        <f t="shared" si="17"/>
        <v>1.195539032</v>
      </c>
      <c r="F20" s="72">
        <f t="shared" si="17"/>
        <v>0.987745847</v>
      </c>
      <c r="G20" s="72">
        <f t="shared" si="17"/>
        <v>0.7515792354</v>
      </c>
      <c r="H20" s="72">
        <f t="shared" si="17"/>
        <v>0.6458223206</v>
      </c>
      <c r="I20" s="72">
        <f t="shared" si="17"/>
        <v>0.6270242865</v>
      </c>
      <c r="J20" s="72">
        <f t="shared" si="17"/>
        <v>0.7528802058</v>
      </c>
      <c r="K20" s="72">
        <f t="shared" si="17"/>
        <v>0.9111464393</v>
      </c>
      <c r="L20" s="72">
        <f t="shared" si="17"/>
        <v>1.086569553</v>
      </c>
      <c r="M20" s="72">
        <f t="shared" si="17"/>
        <v>1.225378485</v>
      </c>
      <c r="N20" s="72">
        <f t="shared" si="17"/>
        <v>0.1837431578</v>
      </c>
      <c r="O20" s="72">
        <f t="shared" si="17"/>
        <v>1.24611269</v>
      </c>
      <c r="P20" s="72">
        <f t="shared" si="17"/>
        <v>1.574586489</v>
      </c>
      <c r="Q20" s="72">
        <f t="shared" si="17"/>
        <v>1.302781438</v>
      </c>
      <c r="R20" s="72">
        <f t="shared" si="17"/>
        <v>1.071328419</v>
      </c>
      <c r="S20" s="72">
        <f t="shared" si="17"/>
        <v>0.8109345946</v>
      </c>
      <c r="T20" s="72">
        <f t="shared" si="17"/>
        <v>0.6949237174</v>
      </c>
      <c r="U20" s="72">
        <f t="shared" si="17"/>
        <v>1.101581883</v>
      </c>
      <c r="V20" s="72">
        <f t="shared" si="17"/>
        <v>0.8042732345</v>
      </c>
      <c r="W20" s="72">
        <f t="shared" si="17"/>
        <v>0.9705463244</v>
      </c>
      <c r="X20" s="72">
        <f t="shared" si="17"/>
        <v>1.154521975</v>
      </c>
      <c r="Y20" s="73">
        <f t="shared" si="17"/>
        <v>1.298997265</v>
      </c>
      <c r="Z20" s="78"/>
      <c r="AD20" s="78"/>
      <c r="AE20" s="78"/>
      <c r="AF20" s="78"/>
      <c r="AG20" s="78"/>
      <c r="AH20" s="78"/>
      <c r="AI20" s="78"/>
      <c r="AJ20" s="78"/>
      <c r="AK20" s="78"/>
    </row>
    <row r="21" ht="14.25" customHeight="1">
      <c r="A21" s="65" t="s">
        <v>159</v>
      </c>
      <c r="B21" s="66">
        <f>AVERAGE(B18:M18)</f>
        <v>1252.5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>
        <f>AVERAGE(N18:Y18)</f>
        <v>981.75</v>
      </c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7"/>
      <c r="Z21" s="22"/>
      <c r="AA21" s="79" t="s">
        <v>164</v>
      </c>
      <c r="AB21" s="79" t="s">
        <v>165</v>
      </c>
      <c r="AC21" s="79" t="s">
        <v>166</v>
      </c>
      <c r="AD21" s="22"/>
      <c r="AE21" s="22"/>
      <c r="AF21" s="22"/>
      <c r="AG21" s="22"/>
      <c r="AH21" s="22"/>
      <c r="AI21" s="22"/>
      <c r="AJ21" s="22"/>
      <c r="AK21" s="22"/>
    </row>
    <row r="22" ht="14.25" customHeight="1">
      <c r="A22" s="65" t="s">
        <v>160</v>
      </c>
      <c r="B22" s="72">
        <f t="shared" ref="B22:M22" si="18">B18/$B21</f>
        <v>1.19760479</v>
      </c>
      <c r="C22" s="72">
        <f t="shared" si="18"/>
        <v>1.243912176</v>
      </c>
      <c r="D22" s="72">
        <f t="shared" si="18"/>
        <v>1.551297405</v>
      </c>
      <c r="E22" s="72">
        <f t="shared" si="18"/>
        <v>1.266267465</v>
      </c>
      <c r="F22" s="72">
        <f t="shared" si="18"/>
        <v>1.026746507</v>
      </c>
      <c r="G22" s="72">
        <f t="shared" si="18"/>
        <v>0.7664670659</v>
      </c>
      <c r="H22" s="72">
        <f t="shared" si="18"/>
        <v>0.6459081836</v>
      </c>
      <c r="I22" s="72">
        <f t="shared" si="18"/>
        <v>0.6147704591</v>
      </c>
      <c r="J22" s="72">
        <f t="shared" si="18"/>
        <v>0.7233532934</v>
      </c>
      <c r="K22" s="72">
        <f t="shared" si="18"/>
        <v>0.8574850299</v>
      </c>
      <c r="L22" s="72">
        <f t="shared" si="18"/>
        <v>1.001197605</v>
      </c>
      <c r="M22" s="72">
        <f t="shared" si="18"/>
        <v>1.10499002</v>
      </c>
      <c r="N22" s="72">
        <f t="shared" ref="N22:Y22" si="19">N18/$N21</f>
        <v>0.2067736185</v>
      </c>
      <c r="O22" s="72">
        <f t="shared" si="19"/>
        <v>1.371021136</v>
      </c>
      <c r="P22" s="72">
        <f t="shared" si="19"/>
        <v>1.69289534</v>
      </c>
      <c r="Q22" s="72">
        <f t="shared" si="19"/>
        <v>1.367965368</v>
      </c>
      <c r="R22" s="72">
        <f t="shared" si="19"/>
        <v>1.098039216</v>
      </c>
      <c r="S22" s="72">
        <f t="shared" si="19"/>
        <v>0.8107970461</v>
      </c>
      <c r="T22" s="72">
        <f t="shared" si="19"/>
        <v>0.6773618538</v>
      </c>
      <c r="U22" s="72">
        <f t="shared" si="19"/>
        <v>1.046091164</v>
      </c>
      <c r="V22" s="72">
        <f t="shared" si="19"/>
        <v>0.7435701553</v>
      </c>
      <c r="W22" s="72">
        <f t="shared" si="19"/>
        <v>0.8729309906</v>
      </c>
      <c r="X22" s="72">
        <f t="shared" si="19"/>
        <v>1.009421951</v>
      </c>
      <c r="Y22" s="73">
        <f t="shared" si="19"/>
        <v>1.103132162</v>
      </c>
      <c r="Z22" s="78"/>
      <c r="AA22" s="58" t="s">
        <v>156</v>
      </c>
      <c r="AB22" s="58">
        <f t="array" ref="AB22:AC22">LINEST(B6:Y6,B4:Y4,1,0)</f>
        <v>-78.21086957</v>
      </c>
      <c r="AC22" s="58">
        <v>5001.427536231886</v>
      </c>
      <c r="AD22" s="78"/>
      <c r="AE22" s="78"/>
      <c r="AF22" s="78"/>
      <c r="AG22" s="78"/>
      <c r="AH22" s="78"/>
      <c r="AI22" s="78"/>
      <c r="AJ22" s="78"/>
      <c r="AK22" s="78"/>
    </row>
    <row r="23" ht="14.25" customHeight="1">
      <c r="A23" s="75" t="s">
        <v>161</v>
      </c>
      <c r="B23" s="76">
        <f t="shared" ref="B23:M23" si="20">AVERAGE(B22,N22)</f>
        <v>0.7021892045</v>
      </c>
      <c r="C23" s="76">
        <f t="shared" si="20"/>
        <v>1.307466656</v>
      </c>
      <c r="D23" s="76">
        <f t="shared" si="20"/>
        <v>1.622096373</v>
      </c>
      <c r="E23" s="76">
        <f t="shared" si="20"/>
        <v>1.317116417</v>
      </c>
      <c r="F23" s="76">
        <f t="shared" si="20"/>
        <v>1.062392861</v>
      </c>
      <c r="G23" s="76">
        <f t="shared" si="20"/>
        <v>0.788632056</v>
      </c>
      <c r="H23" s="76">
        <f t="shared" si="20"/>
        <v>0.6616350187</v>
      </c>
      <c r="I23" s="76">
        <f t="shared" si="20"/>
        <v>0.8304308114</v>
      </c>
      <c r="J23" s="76">
        <f t="shared" si="20"/>
        <v>0.7334617244</v>
      </c>
      <c r="K23" s="76">
        <f t="shared" si="20"/>
        <v>0.8652080103</v>
      </c>
      <c r="L23" s="76">
        <f t="shared" si="20"/>
        <v>1.005309778</v>
      </c>
      <c r="M23" s="76">
        <f t="shared" si="20"/>
        <v>1.104061091</v>
      </c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7"/>
      <c r="Z23" s="78"/>
      <c r="AA23" s="58" t="s">
        <v>162</v>
      </c>
      <c r="AB23" s="58">
        <f t="array" ref="AB23:AC23">LINEST(B12:Y12,B4:Y4,1,0)</f>
        <v>-164.1021739</v>
      </c>
      <c r="AC23" s="58">
        <v>4917.402173913045</v>
      </c>
      <c r="AD23" s="78"/>
      <c r="AE23" s="78"/>
      <c r="AF23" s="78"/>
      <c r="AG23" s="78"/>
      <c r="AH23" s="78"/>
      <c r="AI23" s="78"/>
      <c r="AJ23" s="78"/>
      <c r="AK23" s="78"/>
    </row>
    <row r="24" ht="14.25" customHeight="1">
      <c r="AA24" s="58" t="s">
        <v>163</v>
      </c>
      <c r="AB24" s="58">
        <f t="array" ref="AB24:AC24">LINEST(B18:Y18,B4:Y4,1,0)</f>
        <v>-24.64391304</v>
      </c>
      <c r="AC24" s="58">
        <v>1425.1739130434787</v>
      </c>
    </row>
    <row r="25" ht="14.25" customHeight="1"/>
    <row r="26" ht="14.25" customHeight="1">
      <c r="A26" s="52" t="s">
        <v>167</v>
      </c>
      <c r="B26" s="53">
        <v>2020.0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  <c r="N26" s="53">
        <v>2021.0</v>
      </c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5"/>
    </row>
    <row r="27" ht="14.25" customHeight="1">
      <c r="A27" s="52" t="s">
        <v>59</v>
      </c>
      <c r="B27" s="52" t="s">
        <v>144</v>
      </c>
      <c r="C27" s="52" t="s">
        <v>145</v>
      </c>
      <c r="D27" s="52" t="s">
        <v>146</v>
      </c>
      <c r="E27" s="52" t="s">
        <v>147</v>
      </c>
      <c r="F27" s="52" t="s">
        <v>148</v>
      </c>
      <c r="G27" s="52" t="s">
        <v>149</v>
      </c>
      <c r="H27" s="52" t="s">
        <v>150</v>
      </c>
      <c r="I27" s="52" t="s">
        <v>151</v>
      </c>
      <c r="J27" s="52" t="s">
        <v>152</v>
      </c>
      <c r="K27" s="52" t="s">
        <v>153</v>
      </c>
      <c r="L27" s="52" t="s">
        <v>154</v>
      </c>
      <c r="M27" s="52" t="s">
        <v>155</v>
      </c>
      <c r="N27" s="52" t="s">
        <v>144</v>
      </c>
      <c r="O27" s="52" t="s">
        <v>145</v>
      </c>
      <c r="P27" s="52" t="s">
        <v>146</v>
      </c>
      <c r="Q27" s="52" t="s">
        <v>147</v>
      </c>
      <c r="R27" s="52" t="s">
        <v>148</v>
      </c>
      <c r="S27" s="52" t="s">
        <v>149</v>
      </c>
      <c r="T27" s="52" t="s">
        <v>150</v>
      </c>
      <c r="U27" s="52" t="s">
        <v>151</v>
      </c>
      <c r="V27" s="52" t="s">
        <v>152</v>
      </c>
      <c r="W27" s="52" t="s">
        <v>153</v>
      </c>
      <c r="X27" s="52" t="s">
        <v>154</v>
      </c>
      <c r="Y27" s="52" t="s">
        <v>155</v>
      </c>
    </row>
    <row r="28" ht="14.25" customHeight="1">
      <c r="A28" s="23" t="s">
        <v>156</v>
      </c>
      <c r="B28" s="80">
        <v>16671.0</v>
      </c>
      <c r="C28" s="80">
        <v>16508.0</v>
      </c>
      <c r="D28" s="80">
        <v>19934.0</v>
      </c>
      <c r="E28" s="80">
        <v>16980.0</v>
      </c>
      <c r="F28" s="80">
        <v>15677.0</v>
      </c>
      <c r="G28" s="80">
        <v>16845.0</v>
      </c>
      <c r="H28" s="80">
        <v>17968.0</v>
      </c>
      <c r="I28" s="80">
        <v>19483.0</v>
      </c>
      <c r="J28" s="80">
        <v>16729.0</v>
      </c>
      <c r="K28" s="80">
        <v>19962.0</v>
      </c>
      <c r="L28" s="80">
        <v>16145.0</v>
      </c>
      <c r="M28" s="80">
        <v>16756.0</v>
      </c>
      <c r="N28" s="80">
        <v>15238.0</v>
      </c>
      <c r="O28" s="80">
        <v>15140.0</v>
      </c>
      <c r="P28" s="80">
        <v>19875.0</v>
      </c>
      <c r="Q28" s="80">
        <v>5321.0</v>
      </c>
      <c r="R28" s="80">
        <v>17406.0</v>
      </c>
      <c r="S28" s="80">
        <v>16454.0</v>
      </c>
      <c r="T28" s="80">
        <v>19977.0</v>
      </c>
      <c r="U28" s="80">
        <v>15501.0</v>
      </c>
      <c r="V28" s="80">
        <v>18889.0</v>
      </c>
      <c r="W28" s="80">
        <v>17581.0</v>
      </c>
      <c r="X28" s="80">
        <v>18203.0</v>
      </c>
      <c r="Y28" s="80">
        <v>18615.0</v>
      </c>
    </row>
    <row r="29" ht="14.25" customHeight="1">
      <c r="A29" s="23" t="s">
        <v>162</v>
      </c>
      <c r="B29" s="80">
        <v>13965.0</v>
      </c>
      <c r="C29" s="80">
        <v>12139.0</v>
      </c>
      <c r="D29" s="80">
        <v>14162.0</v>
      </c>
      <c r="E29" s="80">
        <v>14447.0</v>
      </c>
      <c r="F29" s="80">
        <v>13349.0</v>
      </c>
      <c r="G29" s="80">
        <v>11234.0</v>
      </c>
      <c r="H29" s="80">
        <v>14068.0</v>
      </c>
      <c r="I29" s="80">
        <v>12095.0</v>
      </c>
      <c r="J29" s="80">
        <v>11734.0</v>
      </c>
      <c r="K29" s="80">
        <v>10774.0</v>
      </c>
      <c r="L29" s="80">
        <v>11947.0</v>
      </c>
      <c r="M29" s="80">
        <v>13004.0</v>
      </c>
      <c r="N29" s="80">
        <v>11793.0</v>
      </c>
      <c r="O29" s="80">
        <v>14041.0</v>
      </c>
      <c r="P29" s="80">
        <v>13334.0</v>
      </c>
      <c r="Q29" s="80">
        <v>10496.0</v>
      </c>
      <c r="R29" s="80">
        <v>11119.0</v>
      </c>
      <c r="S29" s="80">
        <v>13817.0</v>
      </c>
      <c r="T29" s="80">
        <v>12871.0</v>
      </c>
      <c r="U29" s="80">
        <v>13464.0</v>
      </c>
      <c r="V29" s="80">
        <v>12183.0</v>
      </c>
      <c r="W29" s="80">
        <v>11830.0</v>
      </c>
      <c r="X29" s="80">
        <v>11563.0</v>
      </c>
      <c r="Y29" s="80">
        <v>12598.0</v>
      </c>
    </row>
    <row r="30" ht="14.25" customHeight="1">
      <c r="A30" s="23" t="s">
        <v>163</v>
      </c>
      <c r="B30" s="80">
        <v>2032.0</v>
      </c>
      <c r="C30" s="80">
        <v>2080.0</v>
      </c>
      <c r="D30" s="80">
        <v>2342.0</v>
      </c>
      <c r="E30" s="80">
        <v>2939.0</v>
      </c>
      <c r="F30" s="80">
        <v>2076.0</v>
      </c>
      <c r="G30" s="80">
        <v>2996.0</v>
      </c>
      <c r="H30" s="80">
        <v>2228.0</v>
      </c>
      <c r="I30" s="80">
        <v>2796.0</v>
      </c>
      <c r="J30" s="80">
        <v>2087.0</v>
      </c>
      <c r="K30" s="80">
        <v>2318.0</v>
      </c>
      <c r="L30" s="80">
        <v>2230.0</v>
      </c>
      <c r="M30" s="80">
        <v>2469.0</v>
      </c>
      <c r="N30" s="80">
        <v>654.0</v>
      </c>
      <c r="O30" s="80">
        <v>2619.0</v>
      </c>
      <c r="P30" s="80">
        <v>2264.0</v>
      </c>
      <c r="Q30" s="80">
        <v>2877.0</v>
      </c>
      <c r="R30" s="80">
        <v>2744.0</v>
      </c>
      <c r="S30" s="80">
        <v>2156.0</v>
      </c>
      <c r="T30" s="80">
        <v>2860.0</v>
      </c>
      <c r="U30" s="80">
        <v>2607.0</v>
      </c>
      <c r="V30" s="80">
        <v>2449.0</v>
      </c>
      <c r="W30" s="80">
        <v>2984.0</v>
      </c>
      <c r="X30" s="80">
        <v>2055.0</v>
      </c>
      <c r="Y30" s="80">
        <v>2885.0</v>
      </c>
    </row>
    <row r="31" ht="14.25" customHeight="1"/>
    <row r="32" ht="14.25" customHeight="1"/>
    <row r="33" ht="14.25" customHeight="1">
      <c r="A33" s="52" t="s">
        <v>168</v>
      </c>
      <c r="B33" s="53">
        <v>2020.0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53">
        <v>2021.0</v>
      </c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5"/>
      <c r="Z33" s="56">
        <v>2022.0</v>
      </c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5"/>
    </row>
    <row r="34" ht="14.25" customHeight="1">
      <c r="A34" s="52" t="s">
        <v>59</v>
      </c>
      <c r="B34" s="52" t="s">
        <v>144</v>
      </c>
      <c r="C34" s="52" t="s">
        <v>145</v>
      </c>
      <c r="D34" s="52" t="s">
        <v>146</v>
      </c>
      <c r="E34" s="52" t="s">
        <v>147</v>
      </c>
      <c r="F34" s="52" t="s">
        <v>148</v>
      </c>
      <c r="G34" s="52" t="s">
        <v>149</v>
      </c>
      <c r="H34" s="52" t="s">
        <v>150</v>
      </c>
      <c r="I34" s="52" t="s">
        <v>151</v>
      </c>
      <c r="J34" s="52" t="s">
        <v>152</v>
      </c>
      <c r="K34" s="52" t="s">
        <v>153</v>
      </c>
      <c r="L34" s="52" t="s">
        <v>154</v>
      </c>
      <c r="M34" s="52" t="s">
        <v>155</v>
      </c>
      <c r="N34" s="52" t="s">
        <v>144</v>
      </c>
      <c r="O34" s="52" t="s">
        <v>145</v>
      </c>
      <c r="P34" s="52" t="s">
        <v>146</v>
      </c>
      <c r="Q34" s="52" t="s">
        <v>147</v>
      </c>
      <c r="R34" s="52" t="s">
        <v>148</v>
      </c>
      <c r="S34" s="52" t="s">
        <v>149</v>
      </c>
      <c r="T34" s="52" t="s">
        <v>150</v>
      </c>
      <c r="U34" s="52" t="s">
        <v>151</v>
      </c>
      <c r="V34" s="52" t="s">
        <v>152</v>
      </c>
      <c r="W34" s="52" t="s">
        <v>153</v>
      </c>
      <c r="X34" s="52" t="s">
        <v>154</v>
      </c>
      <c r="Y34" s="52" t="s">
        <v>155</v>
      </c>
      <c r="Z34" s="58" t="s">
        <v>144</v>
      </c>
      <c r="AA34" s="58" t="s">
        <v>145</v>
      </c>
      <c r="AB34" s="58" t="s">
        <v>146</v>
      </c>
      <c r="AC34" s="58" t="s">
        <v>147</v>
      </c>
      <c r="AD34" s="58" t="s">
        <v>148</v>
      </c>
      <c r="AE34" s="58" t="s">
        <v>149</v>
      </c>
      <c r="AF34" s="58" t="s">
        <v>150</v>
      </c>
      <c r="AG34" s="58" t="s">
        <v>151</v>
      </c>
      <c r="AH34" s="58" t="s">
        <v>152</v>
      </c>
      <c r="AI34" s="58" t="s">
        <v>153</v>
      </c>
      <c r="AJ34" s="58" t="s">
        <v>154</v>
      </c>
      <c r="AK34" s="58" t="s">
        <v>155</v>
      </c>
    </row>
    <row r="35" ht="14.25" customHeight="1">
      <c r="A35" s="23" t="s">
        <v>156</v>
      </c>
      <c r="B35" s="80">
        <v>500.0</v>
      </c>
      <c r="C35" s="80">
        <v>500.0</v>
      </c>
      <c r="D35" s="80">
        <v>500.0</v>
      </c>
      <c r="E35" s="80">
        <v>500.0</v>
      </c>
      <c r="F35" s="80">
        <v>500.0</v>
      </c>
      <c r="G35" s="80">
        <v>500.0</v>
      </c>
      <c r="H35" s="80">
        <v>500.0</v>
      </c>
      <c r="I35" s="80">
        <v>500.0</v>
      </c>
      <c r="J35" s="80">
        <v>500.0</v>
      </c>
      <c r="K35" s="80">
        <v>500.0</v>
      </c>
      <c r="L35" s="80">
        <v>500.0</v>
      </c>
      <c r="M35" s="80">
        <v>500.0</v>
      </c>
      <c r="N35" s="80">
        <v>500.0</v>
      </c>
      <c r="O35" s="80">
        <v>500.0</v>
      </c>
      <c r="P35" s="80">
        <v>500.0</v>
      </c>
      <c r="Q35" s="80">
        <v>500.0</v>
      </c>
      <c r="R35" s="80">
        <v>500.0</v>
      </c>
      <c r="S35" s="80">
        <v>500.0</v>
      </c>
      <c r="T35" s="80">
        <v>250.0</v>
      </c>
      <c r="U35" s="80">
        <v>500.0</v>
      </c>
      <c r="V35" s="80">
        <v>500.0</v>
      </c>
      <c r="W35" s="80">
        <v>500.0</v>
      </c>
      <c r="X35" s="80">
        <v>500.0</v>
      </c>
      <c r="Y35" s="80">
        <v>500.0</v>
      </c>
      <c r="Z35" s="81">
        <v>500.0</v>
      </c>
      <c r="AA35" s="81">
        <v>500.0</v>
      </c>
      <c r="AB35" s="81">
        <v>500.0</v>
      </c>
      <c r="AC35" s="81">
        <v>500.0</v>
      </c>
      <c r="AD35" s="81">
        <v>500.0</v>
      </c>
      <c r="AE35" s="81">
        <v>500.0</v>
      </c>
      <c r="AF35" s="81">
        <v>250.0</v>
      </c>
      <c r="AG35" s="81">
        <v>500.0</v>
      </c>
      <c r="AH35" s="81">
        <v>500.0</v>
      </c>
      <c r="AI35" s="81">
        <v>500.0</v>
      </c>
      <c r="AJ35" s="81">
        <v>500.0</v>
      </c>
      <c r="AK35" s="81">
        <v>500.0</v>
      </c>
    </row>
    <row r="36" ht="14.25" customHeight="1">
      <c r="A36" s="23" t="s">
        <v>162</v>
      </c>
      <c r="B36" s="80">
        <v>400.0</v>
      </c>
      <c r="C36" s="80">
        <v>400.0</v>
      </c>
      <c r="D36" s="80">
        <v>400.0</v>
      </c>
      <c r="E36" s="80">
        <v>400.0</v>
      </c>
      <c r="F36" s="80">
        <v>400.0</v>
      </c>
      <c r="G36" s="80">
        <v>400.0</v>
      </c>
      <c r="H36" s="80">
        <v>400.0</v>
      </c>
      <c r="I36" s="80">
        <v>400.0</v>
      </c>
      <c r="J36" s="80">
        <v>400.0</v>
      </c>
      <c r="K36" s="80">
        <v>400.0</v>
      </c>
      <c r="L36" s="80">
        <v>400.0</v>
      </c>
      <c r="M36" s="80">
        <v>400.0</v>
      </c>
      <c r="N36" s="80">
        <v>400.0</v>
      </c>
      <c r="O36" s="80">
        <v>400.0</v>
      </c>
      <c r="P36" s="80">
        <v>400.0</v>
      </c>
      <c r="Q36" s="80">
        <v>400.0</v>
      </c>
      <c r="R36" s="80">
        <v>400.0</v>
      </c>
      <c r="S36" s="80">
        <v>400.0</v>
      </c>
      <c r="T36" s="80">
        <v>400.0</v>
      </c>
      <c r="U36" s="80">
        <v>400.0</v>
      </c>
      <c r="V36" s="80">
        <v>400.0</v>
      </c>
      <c r="W36" s="80">
        <v>400.0</v>
      </c>
      <c r="X36" s="80">
        <v>400.0</v>
      </c>
      <c r="Y36" s="80">
        <v>400.0</v>
      </c>
      <c r="Z36" s="81">
        <v>400.0</v>
      </c>
      <c r="AA36" s="81">
        <v>400.0</v>
      </c>
      <c r="AB36" s="81">
        <v>400.0</v>
      </c>
      <c r="AC36" s="81">
        <v>400.0</v>
      </c>
      <c r="AD36" s="81">
        <v>400.0</v>
      </c>
      <c r="AE36" s="81">
        <v>400.0</v>
      </c>
      <c r="AF36" s="81">
        <v>400.0</v>
      </c>
      <c r="AG36" s="81">
        <v>400.0</v>
      </c>
      <c r="AH36" s="81">
        <v>400.0</v>
      </c>
      <c r="AI36" s="81">
        <v>400.0</v>
      </c>
      <c r="AJ36" s="81">
        <v>400.0</v>
      </c>
      <c r="AK36" s="81">
        <v>400.0</v>
      </c>
    </row>
    <row r="37" ht="14.25" customHeight="1">
      <c r="A37" s="23" t="s">
        <v>163</v>
      </c>
      <c r="B37" s="80">
        <v>300.0</v>
      </c>
      <c r="C37" s="80">
        <v>300.0</v>
      </c>
      <c r="D37" s="80">
        <v>300.0</v>
      </c>
      <c r="E37" s="80">
        <v>300.0</v>
      </c>
      <c r="F37" s="80">
        <v>300.0</v>
      </c>
      <c r="G37" s="80">
        <v>300.0</v>
      </c>
      <c r="H37" s="80">
        <v>300.0</v>
      </c>
      <c r="I37" s="80">
        <v>300.0</v>
      </c>
      <c r="J37" s="80">
        <v>300.0</v>
      </c>
      <c r="K37" s="80">
        <v>300.0</v>
      </c>
      <c r="L37" s="80">
        <v>300.0</v>
      </c>
      <c r="M37" s="80">
        <v>300.0</v>
      </c>
      <c r="N37" s="80">
        <v>300.0</v>
      </c>
      <c r="O37" s="80">
        <v>300.0</v>
      </c>
      <c r="P37" s="80">
        <v>300.0</v>
      </c>
      <c r="Q37" s="80">
        <v>300.0</v>
      </c>
      <c r="R37" s="80">
        <v>300.0</v>
      </c>
      <c r="S37" s="80">
        <v>300.0</v>
      </c>
      <c r="T37" s="80">
        <v>300.0</v>
      </c>
      <c r="U37" s="80">
        <v>155.0</v>
      </c>
      <c r="V37" s="80">
        <v>300.0</v>
      </c>
      <c r="W37" s="80">
        <v>300.0</v>
      </c>
      <c r="X37" s="80">
        <v>300.0</v>
      </c>
      <c r="Y37" s="80">
        <v>300.0</v>
      </c>
      <c r="Z37" s="81">
        <v>300.0</v>
      </c>
      <c r="AA37" s="81">
        <v>300.0</v>
      </c>
      <c r="AB37" s="81">
        <v>300.0</v>
      </c>
      <c r="AC37" s="81">
        <v>300.0</v>
      </c>
      <c r="AD37" s="81">
        <v>300.0</v>
      </c>
      <c r="AE37" s="81">
        <v>300.0</v>
      </c>
      <c r="AF37" s="81">
        <v>300.0</v>
      </c>
      <c r="AG37" s="81">
        <v>300.0</v>
      </c>
      <c r="AH37" s="81">
        <v>300.0</v>
      </c>
      <c r="AI37" s="81">
        <v>300.0</v>
      </c>
      <c r="AJ37" s="81">
        <v>300.0</v>
      </c>
      <c r="AK37" s="81">
        <v>300.0</v>
      </c>
    </row>
    <row r="38" ht="14.25" customHeight="1"/>
    <row r="39" ht="14.25" customHeight="1">
      <c r="A39" s="52" t="s">
        <v>169</v>
      </c>
      <c r="B39" s="53">
        <v>2020.0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5"/>
      <c r="N39" s="53">
        <v>2021.0</v>
      </c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5"/>
    </row>
    <row r="40" ht="14.25" customHeight="1">
      <c r="A40" s="52" t="s">
        <v>59</v>
      </c>
      <c r="B40" s="52" t="s">
        <v>144</v>
      </c>
      <c r="C40" s="52" t="s">
        <v>145</v>
      </c>
      <c r="D40" s="52" t="s">
        <v>146</v>
      </c>
      <c r="E40" s="52" t="s">
        <v>147</v>
      </c>
      <c r="F40" s="52" t="s">
        <v>148</v>
      </c>
      <c r="G40" s="52" t="s">
        <v>149</v>
      </c>
      <c r="H40" s="52" t="s">
        <v>150</v>
      </c>
      <c r="I40" s="52" t="s">
        <v>151</v>
      </c>
      <c r="J40" s="52" t="s">
        <v>152</v>
      </c>
      <c r="K40" s="52" t="s">
        <v>153</v>
      </c>
      <c r="L40" s="52" t="s">
        <v>154</v>
      </c>
      <c r="M40" s="52" t="s">
        <v>155</v>
      </c>
      <c r="N40" s="52" t="s">
        <v>144</v>
      </c>
      <c r="O40" s="52" t="s">
        <v>145</v>
      </c>
      <c r="P40" s="52" t="s">
        <v>146</v>
      </c>
      <c r="Q40" s="52" t="s">
        <v>147</v>
      </c>
      <c r="R40" s="52" t="s">
        <v>148</v>
      </c>
      <c r="S40" s="52" t="s">
        <v>149</v>
      </c>
      <c r="T40" s="52" t="s">
        <v>150</v>
      </c>
      <c r="U40" s="52" t="s">
        <v>151</v>
      </c>
      <c r="V40" s="52" t="s">
        <v>152</v>
      </c>
      <c r="W40" s="52" t="s">
        <v>153</v>
      </c>
      <c r="X40" s="52" t="s">
        <v>154</v>
      </c>
      <c r="Y40" s="52" t="s">
        <v>155</v>
      </c>
    </row>
    <row r="41" ht="14.25" customHeight="1">
      <c r="A41" s="23" t="s">
        <v>156</v>
      </c>
      <c r="B41" s="80">
        <v>223.0</v>
      </c>
      <c r="C41" s="80">
        <v>223.0</v>
      </c>
      <c r="D41" s="80">
        <v>228.0</v>
      </c>
      <c r="E41" s="80">
        <v>229.0</v>
      </c>
      <c r="F41" s="80">
        <v>221.0</v>
      </c>
      <c r="G41" s="80">
        <v>229.0</v>
      </c>
      <c r="H41" s="80">
        <v>228.0</v>
      </c>
      <c r="I41" s="80">
        <v>230.0</v>
      </c>
      <c r="J41" s="80">
        <v>229.0</v>
      </c>
      <c r="K41" s="80">
        <v>228.0</v>
      </c>
      <c r="L41" s="80">
        <v>223.0</v>
      </c>
      <c r="M41" s="80">
        <v>222.0</v>
      </c>
      <c r="N41" s="80">
        <v>222.0</v>
      </c>
      <c r="O41" s="80">
        <v>223.0</v>
      </c>
      <c r="P41" s="80">
        <v>224.0</v>
      </c>
      <c r="Q41" s="80">
        <v>230.0</v>
      </c>
      <c r="R41" s="80">
        <v>224.0</v>
      </c>
      <c r="S41" s="80">
        <v>224.0</v>
      </c>
      <c r="T41" s="80">
        <v>229.0</v>
      </c>
      <c r="U41" s="80">
        <v>220.0</v>
      </c>
      <c r="V41" s="80">
        <v>220.0</v>
      </c>
      <c r="W41" s="80">
        <v>224.0</v>
      </c>
      <c r="X41" s="80">
        <v>226.0</v>
      </c>
      <c r="Y41" s="80">
        <v>220.0</v>
      </c>
    </row>
    <row r="42" ht="14.25" customHeight="1">
      <c r="A42" s="23" t="s">
        <v>162</v>
      </c>
      <c r="B42" s="80">
        <v>130.0</v>
      </c>
      <c r="C42" s="80">
        <v>122.0</v>
      </c>
      <c r="D42" s="80">
        <v>126.0</v>
      </c>
      <c r="E42" s="80">
        <v>130.0</v>
      </c>
      <c r="F42" s="80">
        <v>123.0</v>
      </c>
      <c r="G42" s="80">
        <v>122.0</v>
      </c>
      <c r="H42" s="80">
        <v>122.0</v>
      </c>
      <c r="I42" s="80">
        <v>130.0</v>
      </c>
      <c r="J42" s="80">
        <v>127.0</v>
      </c>
      <c r="K42" s="80">
        <v>122.0</v>
      </c>
      <c r="L42" s="80">
        <v>120.0</v>
      </c>
      <c r="M42" s="80">
        <v>126.0</v>
      </c>
      <c r="N42" s="80">
        <v>122.0</v>
      </c>
      <c r="O42" s="80">
        <v>128.0</v>
      </c>
      <c r="P42" s="80">
        <v>126.0</v>
      </c>
      <c r="Q42" s="80">
        <v>123.0</v>
      </c>
      <c r="R42" s="80">
        <v>120.0</v>
      </c>
      <c r="S42" s="80">
        <v>126.0</v>
      </c>
      <c r="T42" s="80">
        <v>125.0</v>
      </c>
      <c r="U42" s="80">
        <v>129.0</v>
      </c>
      <c r="V42" s="80">
        <v>124.0</v>
      </c>
      <c r="W42" s="80">
        <v>124.0</v>
      </c>
      <c r="X42" s="80">
        <v>123.0</v>
      </c>
      <c r="Y42" s="80">
        <v>126.0</v>
      </c>
    </row>
    <row r="43" ht="14.25" customHeight="1">
      <c r="A43" s="23" t="s">
        <v>163</v>
      </c>
      <c r="B43" s="80">
        <v>55.0</v>
      </c>
      <c r="C43" s="80">
        <v>58.0</v>
      </c>
      <c r="D43" s="80">
        <v>60.0</v>
      </c>
      <c r="E43" s="80">
        <v>59.0</v>
      </c>
      <c r="F43" s="80">
        <v>53.0</v>
      </c>
      <c r="G43" s="80">
        <v>56.0</v>
      </c>
      <c r="H43" s="80">
        <v>52.0</v>
      </c>
      <c r="I43" s="80">
        <v>50.0</v>
      </c>
      <c r="J43" s="80">
        <v>60.0</v>
      </c>
      <c r="K43" s="80">
        <v>53.0</v>
      </c>
      <c r="L43" s="80">
        <v>56.0</v>
      </c>
      <c r="M43" s="80">
        <v>53.0</v>
      </c>
      <c r="N43" s="80">
        <v>59.0</v>
      </c>
      <c r="O43" s="80">
        <v>59.0</v>
      </c>
      <c r="P43" s="80">
        <v>58.0</v>
      </c>
      <c r="Q43" s="80">
        <v>54.0</v>
      </c>
      <c r="R43" s="80">
        <v>60.0</v>
      </c>
      <c r="S43" s="80">
        <v>51.0</v>
      </c>
      <c r="T43" s="80">
        <v>59.0</v>
      </c>
      <c r="U43" s="80">
        <v>57.0</v>
      </c>
      <c r="V43" s="80">
        <v>55.0</v>
      </c>
      <c r="W43" s="80">
        <v>55.0</v>
      </c>
      <c r="X43" s="80">
        <v>51.0</v>
      </c>
      <c r="Y43" s="80">
        <v>51.0</v>
      </c>
    </row>
    <row r="44" ht="14.25" customHeight="1"/>
    <row r="45" ht="14.25" customHeight="1">
      <c r="A45" s="50" t="s">
        <v>170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ht="14.25" customHeight="1"/>
    <row r="47" ht="14.25" customHeight="1">
      <c r="A47" s="23" t="s">
        <v>171</v>
      </c>
    </row>
    <row r="48" ht="14.25" customHeight="1"/>
    <row r="49" ht="14.25" customHeight="1">
      <c r="A49" s="58" t="s">
        <v>172</v>
      </c>
      <c r="B49" s="56">
        <v>2020.0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5"/>
      <c r="N49" s="56">
        <v>2021.0</v>
      </c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5"/>
      <c r="Z49" s="56">
        <v>2022.0</v>
      </c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5"/>
      <c r="AL49" s="22"/>
      <c r="AM49" s="22"/>
      <c r="AN49" s="22"/>
      <c r="AO49" s="22"/>
      <c r="AP49" s="22"/>
      <c r="AQ49" s="22"/>
      <c r="AR49" s="22"/>
      <c r="AS49" s="22"/>
    </row>
    <row r="50" ht="14.25" customHeight="1">
      <c r="A50" s="58" t="s">
        <v>59</v>
      </c>
      <c r="B50" s="58" t="s">
        <v>144</v>
      </c>
      <c r="C50" s="58" t="s">
        <v>145</v>
      </c>
      <c r="D50" s="58" t="s">
        <v>146</v>
      </c>
      <c r="E50" s="58" t="s">
        <v>147</v>
      </c>
      <c r="F50" s="58" t="s">
        <v>148</v>
      </c>
      <c r="G50" s="58" t="s">
        <v>149</v>
      </c>
      <c r="H50" s="58" t="s">
        <v>150</v>
      </c>
      <c r="I50" s="58" t="s">
        <v>151</v>
      </c>
      <c r="J50" s="58" t="s">
        <v>152</v>
      </c>
      <c r="K50" s="58" t="s">
        <v>153</v>
      </c>
      <c r="L50" s="58" t="s">
        <v>154</v>
      </c>
      <c r="M50" s="58" t="s">
        <v>155</v>
      </c>
      <c r="N50" s="58" t="s">
        <v>144</v>
      </c>
      <c r="O50" s="58" t="s">
        <v>145</v>
      </c>
      <c r="P50" s="58" t="s">
        <v>146</v>
      </c>
      <c r="Q50" s="58" t="s">
        <v>147</v>
      </c>
      <c r="R50" s="58" t="s">
        <v>148</v>
      </c>
      <c r="S50" s="58" t="s">
        <v>149</v>
      </c>
      <c r="T50" s="58" t="s">
        <v>150</v>
      </c>
      <c r="U50" s="58" t="s">
        <v>151</v>
      </c>
      <c r="V50" s="58" t="s">
        <v>152</v>
      </c>
      <c r="W50" s="58" t="s">
        <v>153</v>
      </c>
      <c r="X50" s="58" t="s">
        <v>154</v>
      </c>
      <c r="Y50" s="58" t="s">
        <v>155</v>
      </c>
      <c r="Z50" s="58" t="s">
        <v>144</v>
      </c>
      <c r="AA50" s="58" t="s">
        <v>145</v>
      </c>
      <c r="AB50" s="58" t="s">
        <v>146</v>
      </c>
      <c r="AC50" s="58" t="s">
        <v>147</v>
      </c>
      <c r="AD50" s="58" t="s">
        <v>148</v>
      </c>
      <c r="AE50" s="58" t="s">
        <v>149</v>
      </c>
      <c r="AF50" s="58" t="s">
        <v>150</v>
      </c>
      <c r="AG50" s="58" t="s">
        <v>151</v>
      </c>
      <c r="AH50" s="58" t="s">
        <v>152</v>
      </c>
      <c r="AI50" s="58" t="s">
        <v>153</v>
      </c>
      <c r="AJ50" s="58" t="s">
        <v>154</v>
      </c>
      <c r="AK50" s="58" t="s">
        <v>155</v>
      </c>
      <c r="AL50" s="22"/>
      <c r="AM50" s="22"/>
      <c r="AN50" s="22"/>
      <c r="AO50" s="22"/>
      <c r="AP50" s="22"/>
      <c r="AQ50" s="22"/>
      <c r="AR50" s="22"/>
      <c r="AS50" s="22"/>
    </row>
    <row r="51" ht="14.25" customHeight="1">
      <c r="A51" s="81" t="s">
        <v>156</v>
      </c>
      <c r="B51" s="66">
        <f t="shared" ref="B51:AK51" si="21">B6*B35</f>
        <v>2500000</v>
      </c>
      <c r="C51" s="66">
        <f t="shared" si="21"/>
        <v>2256000</v>
      </c>
      <c r="D51" s="66">
        <f t="shared" si="21"/>
        <v>2540500</v>
      </c>
      <c r="E51" s="66">
        <f t="shared" si="21"/>
        <v>2318500</v>
      </c>
      <c r="F51" s="66">
        <f t="shared" si="21"/>
        <v>2325000</v>
      </c>
      <c r="G51" s="66">
        <f t="shared" si="21"/>
        <v>2118500</v>
      </c>
      <c r="H51" s="66">
        <f t="shared" si="21"/>
        <v>2077000</v>
      </c>
      <c r="I51" s="66">
        <f t="shared" si="21"/>
        <v>2092500</v>
      </c>
      <c r="J51" s="66">
        <f t="shared" si="21"/>
        <v>2502000</v>
      </c>
      <c r="K51" s="66">
        <f t="shared" si="21"/>
        <v>2447000</v>
      </c>
      <c r="L51" s="66">
        <f t="shared" si="21"/>
        <v>2447500</v>
      </c>
      <c r="M51" s="66">
        <f t="shared" si="21"/>
        <v>2525500</v>
      </c>
      <c r="N51" s="66">
        <f t="shared" si="21"/>
        <v>1880000</v>
      </c>
      <c r="O51" s="66">
        <f t="shared" si="21"/>
        <v>1681500</v>
      </c>
      <c r="P51" s="66">
        <f t="shared" si="21"/>
        <v>1873500</v>
      </c>
      <c r="Q51" s="66">
        <f t="shared" si="21"/>
        <v>276000</v>
      </c>
      <c r="R51" s="66">
        <f t="shared" si="21"/>
        <v>1680000</v>
      </c>
      <c r="S51" s="66">
        <f t="shared" si="21"/>
        <v>1515500</v>
      </c>
      <c r="T51" s="66">
        <f t="shared" si="21"/>
        <v>1485750</v>
      </c>
      <c r="U51" s="66">
        <f t="shared" si="21"/>
        <v>1468000</v>
      </c>
      <c r="V51" s="66">
        <f t="shared" si="21"/>
        <v>1738000</v>
      </c>
      <c r="W51" s="66">
        <f t="shared" si="21"/>
        <v>1683000</v>
      </c>
      <c r="X51" s="66">
        <f t="shared" si="21"/>
        <v>1666500</v>
      </c>
      <c r="Y51" s="66">
        <f t="shared" si="21"/>
        <v>1702000</v>
      </c>
      <c r="Z51" s="66">
        <f t="shared" si="21"/>
        <v>1664822.068</v>
      </c>
      <c r="AA51" s="66">
        <f t="shared" si="21"/>
        <v>1457124.323</v>
      </c>
      <c r="AB51" s="66">
        <f t="shared" si="21"/>
        <v>1589006.593</v>
      </c>
      <c r="AC51" s="66">
        <f t="shared" si="21"/>
        <v>810304.7016</v>
      </c>
      <c r="AD51" s="66">
        <f t="shared" si="21"/>
        <v>1361418.97</v>
      </c>
      <c r="AE51" s="66">
        <f t="shared" si="21"/>
        <v>1198958.543</v>
      </c>
      <c r="AF51" s="66">
        <f t="shared" si="21"/>
        <v>570394.501</v>
      </c>
      <c r="AG51" s="66">
        <f t="shared" si="21"/>
        <v>1103716.703</v>
      </c>
      <c r="AH51" s="66">
        <f t="shared" si="21"/>
        <v>1272170.895</v>
      </c>
      <c r="AI51" s="66">
        <f t="shared" si="21"/>
        <v>1198141.517</v>
      </c>
      <c r="AJ51" s="66">
        <f t="shared" si="21"/>
        <v>1152688.934</v>
      </c>
      <c r="AK51" s="66">
        <f t="shared" si="21"/>
        <v>1142600.876</v>
      </c>
      <c r="AL51" s="22"/>
      <c r="AM51" s="22"/>
      <c r="AN51" s="22"/>
      <c r="AO51" s="22"/>
      <c r="AP51" s="22"/>
      <c r="AQ51" s="22"/>
      <c r="AR51" s="22"/>
      <c r="AS51" s="22"/>
    </row>
    <row r="52" ht="14.25" customHeight="1">
      <c r="A52" s="81" t="s">
        <v>162</v>
      </c>
      <c r="B52" s="66">
        <f t="shared" ref="B52:AK52" si="22">B12*B36</f>
        <v>1800000</v>
      </c>
      <c r="C52" s="66">
        <f t="shared" si="22"/>
        <v>1707600</v>
      </c>
      <c r="D52" s="66">
        <f t="shared" si="22"/>
        <v>1797600</v>
      </c>
      <c r="E52" s="66">
        <f t="shared" si="22"/>
        <v>1722000</v>
      </c>
      <c r="F52" s="66">
        <f t="shared" si="22"/>
        <v>1826000</v>
      </c>
      <c r="G52" s="66">
        <f t="shared" si="22"/>
        <v>1594800</v>
      </c>
      <c r="H52" s="66">
        <f t="shared" si="22"/>
        <v>1492800</v>
      </c>
      <c r="I52" s="66">
        <f t="shared" si="22"/>
        <v>1383200</v>
      </c>
      <c r="J52" s="66">
        <f t="shared" si="22"/>
        <v>1373200</v>
      </c>
      <c r="K52" s="66">
        <f t="shared" si="22"/>
        <v>1535600</v>
      </c>
      <c r="L52" s="66">
        <f t="shared" si="22"/>
        <v>1650400</v>
      </c>
      <c r="M52" s="66">
        <f t="shared" si="22"/>
        <v>1688400</v>
      </c>
      <c r="N52" s="66">
        <f t="shared" si="22"/>
        <v>768000</v>
      </c>
      <c r="O52" s="66">
        <f t="shared" si="22"/>
        <v>723600</v>
      </c>
      <c r="P52" s="66">
        <f t="shared" si="22"/>
        <v>754400</v>
      </c>
      <c r="Q52" s="66">
        <f t="shared" si="22"/>
        <v>715200</v>
      </c>
      <c r="R52" s="66">
        <f t="shared" si="22"/>
        <v>750800</v>
      </c>
      <c r="S52" s="66">
        <f t="shared" si="22"/>
        <v>649200</v>
      </c>
      <c r="T52" s="66">
        <f t="shared" si="22"/>
        <v>601600</v>
      </c>
      <c r="U52" s="66">
        <f t="shared" si="22"/>
        <v>552000</v>
      </c>
      <c r="V52" s="66">
        <f t="shared" si="22"/>
        <v>542400</v>
      </c>
      <c r="W52" s="66">
        <f t="shared" si="22"/>
        <v>600400</v>
      </c>
      <c r="X52" s="66">
        <f t="shared" si="22"/>
        <v>638800</v>
      </c>
      <c r="Y52" s="66">
        <f t="shared" si="22"/>
        <v>646800</v>
      </c>
      <c r="Z52" s="66">
        <f t="shared" si="22"/>
        <v>368943.1573</v>
      </c>
      <c r="AA52" s="66">
        <f t="shared" si="22"/>
        <v>278538.3877</v>
      </c>
      <c r="AB52" s="66">
        <f t="shared" si="22"/>
        <v>218197.3349</v>
      </c>
      <c r="AC52" s="66">
        <f t="shared" si="22"/>
        <v>137808.1537</v>
      </c>
      <c r="AD52" s="66">
        <f t="shared" si="22"/>
        <v>71419.11985</v>
      </c>
      <c r="AE52" s="66">
        <f t="shared" si="22"/>
        <v>0</v>
      </c>
      <c r="AF52" s="66">
        <f t="shared" si="22"/>
        <v>0</v>
      </c>
      <c r="AG52" s="66">
        <f t="shared" si="22"/>
        <v>0</v>
      </c>
      <c r="AH52" s="66">
        <f t="shared" si="22"/>
        <v>0</v>
      </c>
      <c r="AI52" s="66">
        <f t="shared" si="22"/>
        <v>0</v>
      </c>
      <c r="AJ52" s="66">
        <f t="shared" si="22"/>
        <v>0</v>
      </c>
      <c r="AK52" s="66">
        <f t="shared" si="22"/>
        <v>0</v>
      </c>
      <c r="AL52" s="22"/>
      <c r="AM52" s="22"/>
      <c r="AN52" s="22"/>
      <c r="AO52" s="22"/>
      <c r="AP52" s="22"/>
      <c r="AQ52" s="22"/>
      <c r="AR52" s="22"/>
      <c r="AS52" s="22"/>
    </row>
    <row r="53" ht="14.25" customHeight="1">
      <c r="A53" s="81" t="s">
        <v>163</v>
      </c>
      <c r="B53" s="66">
        <f t="shared" ref="B53:AK53" si="23">B18*B37</f>
        <v>450000</v>
      </c>
      <c r="C53" s="66">
        <f t="shared" si="23"/>
        <v>467400</v>
      </c>
      <c r="D53" s="66">
        <f t="shared" si="23"/>
        <v>582900</v>
      </c>
      <c r="E53" s="66">
        <f t="shared" si="23"/>
        <v>475800</v>
      </c>
      <c r="F53" s="66">
        <f t="shared" si="23"/>
        <v>385800</v>
      </c>
      <c r="G53" s="66">
        <f t="shared" si="23"/>
        <v>288000</v>
      </c>
      <c r="H53" s="66">
        <f t="shared" si="23"/>
        <v>242700</v>
      </c>
      <c r="I53" s="66">
        <f t="shared" si="23"/>
        <v>231000</v>
      </c>
      <c r="J53" s="66">
        <f t="shared" si="23"/>
        <v>271800</v>
      </c>
      <c r="K53" s="66">
        <f t="shared" si="23"/>
        <v>322200</v>
      </c>
      <c r="L53" s="66">
        <f t="shared" si="23"/>
        <v>376200</v>
      </c>
      <c r="M53" s="66">
        <f t="shared" si="23"/>
        <v>415200</v>
      </c>
      <c r="N53" s="66">
        <f t="shared" si="23"/>
        <v>60900</v>
      </c>
      <c r="O53" s="66">
        <f t="shared" si="23"/>
        <v>403800</v>
      </c>
      <c r="P53" s="66">
        <f t="shared" si="23"/>
        <v>498600</v>
      </c>
      <c r="Q53" s="66">
        <f t="shared" si="23"/>
        <v>402900</v>
      </c>
      <c r="R53" s="66">
        <f t="shared" si="23"/>
        <v>323400</v>
      </c>
      <c r="S53" s="66">
        <f t="shared" si="23"/>
        <v>238800</v>
      </c>
      <c r="T53" s="66">
        <f t="shared" si="23"/>
        <v>199500</v>
      </c>
      <c r="U53" s="66">
        <f t="shared" si="23"/>
        <v>159185</v>
      </c>
      <c r="V53" s="66">
        <f t="shared" si="23"/>
        <v>219000</v>
      </c>
      <c r="W53" s="66">
        <f t="shared" si="23"/>
        <v>257100</v>
      </c>
      <c r="X53" s="66">
        <f t="shared" si="23"/>
        <v>297300</v>
      </c>
      <c r="Y53" s="66">
        <f t="shared" si="23"/>
        <v>324900</v>
      </c>
      <c r="Z53" s="66">
        <f t="shared" si="23"/>
        <v>170437.3482</v>
      </c>
      <c r="AA53" s="66">
        <f t="shared" si="23"/>
        <v>307685.6733</v>
      </c>
      <c r="AB53" s="66">
        <f t="shared" si="23"/>
        <v>369734.9346</v>
      </c>
      <c r="AC53" s="66">
        <f t="shared" si="23"/>
        <v>290481.2067</v>
      </c>
      <c r="AD53" s="66">
        <f t="shared" si="23"/>
        <v>226449.177</v>
      </c>
      <c r="AE53" s="66">
        <f t="shared" si="23"/>
        <v>162266.5317</v>
      </c>
      <c r="AF53" s="66">
        <f t="shared" si="23"/>
        <v>131244.425</v>
      </c>
      <c r="AG53" s="66">
        <f t="shared" si="23"/>
        <v>158587.8775</v>
      </c>
      <c r="AH53" s="66">
        <f t="shared" si="23"/>
        <v>134647.0219</v>
      </c>
      <c r="AI53" s="66">
        <f t="shared" si="23"/>
        <v>152436.0338</v>
      </c>
      <c r="AJ53" s="66">
        <f t="shared" si="23"/>
        <v>169687.3301</v>
      </c>
      <c r="AK53" s="66">
        <f t="shared" si="23"/>
        <v>178193.156</v>
      </c>
      <c r="AL53" s="22"/>
      <c r="AM53" s="22"/>
      <c r="AN53" s="22"/>
      <c r="AO53" s="22"/>
      <c r="AP53" s="22"/>
      <c r="AQ53" s="22"/>
      <c r="AR53" s="22"/>
      <c r="AS53" s="22"/>
    </row>
    <row r="54" ht="14.25" customHeight="1">
      <c r="A54" s="22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22"/>
      <c r="AM54" s="22"/>
      <c r="AN54" s="22"/>
      <c r="AO54" s="22"/>
      <c r="AP54" s="22"/>
      <c r="AQ54" s="22"/>
      <c r="AR54" s="22"/>
      <c r="AS54" s="22"/>
    </row>
    <row r="55" ht="14.25" customHeight="1">
      <c r="A55" s="23" t="s">
        <v>173</v>
      </c>
    </row>
    <row r="56" ht="14.25" customHeight="1"/>
    <row r="57" ht="14.25" customHeight="1">
      <c r="D57" s="58" t="s">
        <v>174</v>
      </c>
      <c r="E57" s="58" t="s">
        <v>166</v>
      </c>
      <c r="F57" s="58" t="s">
        <v>165</v>
      </c>
      <c r="G57" s="58" t="s">
        <v>175</v>
      </c>
    </row>
    <row r="58" ht="14.25" customHeight="1">
      <c r="A58" s="82" t="s">
        <v>176</v>
      </c>
      <c r="B58" s="83">
        <f>(T4*AB22+AC22)*H11</f>
        <v>3112.552517</v>
      </c>
      <c r="D58" s="58">
        <v>500.0</v>
      </c>
      <c r="E58" s="84">
        <f>G58-D58*F58</f>
        <v>8773.447483</v>
      </c>
      <c r="F58" s="84">
        <f>(G58-G59)/(D58-D59)</f>
        <v>-11.32178993</v>
      </c>
      <c r="G58" s="84">
        <f t="shared" ref="G58:G59" si="25">B58</f>
        <v>3112.552517</v>
      </c>
      <c r="H58" s="85"/>
    </row>
    <row r="59" ht="14.25" customHeight="1">
      <c r="A59" s="82" t="s">
        <v>177</v>
      </c>
      <c r="B59" s="66">
        <f>T6</f>
        <v>5943</v>
      </c>
      <c r="D59" s="58">
        <v>250.0</v>
      </c>
      <c r="E59" s="84">
        <f t="shared" ref="E59:F59" si="24">E58</f>
        <v>8773.447483</v>
      </c>
      <c r="F59" s="84">
        <f t="shared" si="24"/>
        <v>-11.32178993</v>
      </c>
      <c r="G59" s="84">
        <f t="shared" si="25"/>
        <v>5943</v>
      </c>
    </row>
    <row r="60" ht="14.25" customHeight="1">
      <c r="B60" s="86"/>
      <c r="D60" s="58">
        <v>350.0</v>
      </c>
      <c r="E60" s="84">
        <f t="shared" ref="E60:F60" si="26">E58</f>
        <v>8773.447483</v>
      </c>
      <c r="F60" s="84">
        <f t="shared" si="26"/>
        <v>-11.32178993</v>
      </c>
      <c r="G60" s="84">
        <f>E60+D60*F60</f>
        <v>4810.821007</v>
      </c>
    </row>
    <row r="61" ht="14.25" customHeight="1">
      <c r="G61" s="87">
        <f>G60/G58</f>
        <v>1.545619224</v>
      </c>
      <c r="H61" s="81" t="s">
        <v>178</v>
      </c>
      <c r="I61" s="81"/>
      <c r="J61" s="81"/>
      <c r="K61" s="81"/>
      <c r="L61" s="81"/>
      <c r="M61" s="81"/>
    </row>
    <row r="62" ht="14.25" customHeight="1"/>
    <row r="63" ht="14.25" customHeight="1">
      <c r="A63" s="88" t="s">
        <v>179</v>
      </c>
    </row>
    <row r="64" ht="14.25" customHeight="1">
      <c r="A64" s="89">
        <f>350*AG6*G61</f>
        <v>1194148.028</v>
      </c>
    </row>
    <row r="65" ht="14.25" customHeight="1"/>
    <row r="66" ht="14.25" customHeight="1">
      <c r="A66" s="23" t="s">
        <v>180</v>
      </c>
    </row>
    <row r="67" ht="14.25" customHeight="1"/>
    <row r="68" ht="14.25" customHeight="1">
      <c r="A68" s="23" t="s">
        <v>181</v>
      </c>
    </row>
    <row r="69" ht="78.75" customHeight="1">
      <c r="A69" s="90" t="s">
        <v>182</v>
      </c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2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B33:M33"/>
    <mergeCell ref="B39:M39"/>
    <mergeCell ref="N39:Y39"/>
    <mergeCell ref="B49:M49"/>
    <mergeCell ref="N49:Y49"/>
    <mergeCell ref="Z49:AK49"/>
    <mergeCell ref="A69:M69"/>
    <mergeCell ref="B3:M3"/>
    <mergeCell ref="N3:Y3"/>
    <mergeCell ref="Z3:AK3"/>
    <mergeCell ref="B26:M26"/>
    <mergeCell ref="N26:Y26"/>
    <mergeCell ref="N33:Y33"/>
    <mergeCell ref="Z33:AK33"/>
  </mergeCells>
  <printOptions/>
  <pageMargins bottom="0.75" footer="0.0" header="0.0" left="0.7" right="0.7" top="0.75"/>
  <pageSetup paperSize="9" orientation="portrait"/>
  <drawing r:id="rId2"/>
  <legacyDrawing r:id="rId3"/>
</worksheet>
</file>