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9C06E695-3887-4F85-9EF5-4F3C515481D6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Предпосылки" sheetId="2" r:id="rId1"/>
    <sheet name="Расходы" sheetId="3" r:id="rId2"/>
    <sheet name="Cash-Flow 1" sheetId="4" r:id="rId3"/>
    <sheet name="Cash-Flow 2" sheetId="5" r:id="rId4"/>
    <sheet name="Cash-Flow 3" sheetId="6" r:id="rId5"/>
    <sheet name="Свод Cash-Flow" sheetId="7" r:id="rId6"/>
    <sheet name="Unit-экономика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8" l="1"/>
  <c r="C5" i="8"/>
  <c r="C4" i="8"/>
  <c r="I4" i="8"/>
  <c r="I5" i="8" s="1"/>
  <c r="I6" i="8" s="1"/>
  <c r="AE27" i="6"/>
  <c r="AD27" i="6"/>
  <c r="J27" i="6"/>
  <c r="AD26" i="6"/>
  <c r="V26" i="6"/>
  <c r="J26" i="6"/>
  <c r="X25" i="6"/>
  <c r="AA25" i="6" s="1"/>
  <c r="AD25" i="6" s="1"/>
  <c r="AG25" i="6" s="1"/>
  <c r="AJ25" i="6" s="1"/>
  <c r="D25" i="6"/>
  <c r="G25" i="6" s="1"/>
  <c r="J25" i="6" s="1"/>
  <c r="M25" i="6" s="1"/>
  <c r="P25" i="6" s="1"/>
  <c r="S25" i="6" s="1"/>
  <c r="X24" i="6"/>
  <c r="AA24" i="6" s="1"/>
  <c r="AD24" i="6" s="1"/>
  <c r="AG24" i="6" s="1"/>
  <c r="AJ24" i="6" s="1"/>
  <c r="M24" i="6"/>
  <c r="P24" i="6" s="1"/>
  <c r="S24" i="6" s="1"/>
  <c r="D24" i="6"/>
  <c r="X23" i="6"/>
  <c r="AA23" i="6" s="1"/>
  <c r="AD23" i="6" s="1"/>
  <c r="AG23" i="6" s="1"/>
  <c r="AJ23" i="6" s="1"/>
  <c r="J23" i="6"/>
  <c r="M23" i="6" s="1"/>
  <c r="P23" i="6" s="1"/>
  <c r="S23" i="6" s="1"/>
  <c r="D23" i="6"/>
  <c r="W22" i="6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AH22" i="6" s="1"/>
  <c r="AI22" i="6" s="1"/>
  <c r="AJ22" i="6" s="1"/>
  <c r="AK22" i="6" s="1"/>
  <c r="U22" i="6"/>
  <c r="B22" i="6"/>
  <c r="C22" i="6" s="1"/>
  <c r="D22" i="6" s="1"/>
  <c r="E22" i="6" s="1"/>
  <c r="F22" i="6" s="1"/>
  <c r="G22" i="6" s="1"/>
  <c r="H22" i="6" s="1"/>
  <c r="I22" i="6" s="1"/>
  <c r="J22" i="6" s="1"/>
  <c r="K22" i="6" s="1"/>
  <c r="L22" i="6" s="1"/>
  <c r="M22" i="6" s="1"/>
  <c r="N22" i="6" s="1"/>
  <c r="O22" i="6" s="1"/>
  <c r="P22" i="6" s="1"/>
  <c r="Q22" i="6" s="1"/>
  <c r="R22" i="6" s="1"/>
  <c r="S22" i="6" s="1"/>
  <c r="W21" i="6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U21" i="6"/>
  <c r="B21" i="6"/>
  <c r="C21" i="6" s="1"/>
  <c r="D21" i="6" s="1"/>
  <c r="E21" i="6" s="1"/>
  <c r="F21" i="6" s="1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W20" i="6"/>
  <c r="X20" i="6" s="1"/>
  <c r="U20" i="6"/>
  <c r="B20" i="6"/>
  <c r="C20" i="6" s="1"/>
  <c r="AH19" i="6"/>
  <c r="B18" i="6"/>
  <c r="AL14" i="6"/>
  <c r="AL28" i="6" s="1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K12" i="6" s="1"/>
  <c r="J3" i="6"/>
  <c r="I3" i="6"/>
  <c r="I12" i="6" s="1"/>
  <c r="H3" i="6"/>
  <c r="G3" i="6"/>
  <c r="F3" i="6"/>
  <c r="E3" i="6"/>
  <c r="D3" i="6"/>
  <c r="C3" i="6"/>
  <c r="C12" i="6" s="1"/>
  <c r="B3" i="6"/>
  <c r="AD26" i="5"/>
  <c r="V26" i="5"/>
  <c r="AE26" i="5" s="1"/>
  <c r="J26" i="5"/>
  <c r="AD25" i="5"/>
  <c r="V25" i="5"/>
  <c r="J25" i="5"/>
  <c r="X24" i="5"/>
  <c r="AA24" i="5" s="1"/>
  <c r="AD24" i="5" s="1"/>
  <c r="AG24" i="5" s="1"/>
  <c r="AJ24" i="5" s="1"/>
  <c r="D24" i="5"/>
  <c r="G24" i="5" s="1"/>
  <c r="J24" i="5" s="1"/>
  <c r="M24" i="5" s="1"/>
  <c r="P24" i="5" s="1"/>
  <c r="S24" i="5" s="1"/>
  <c r="X23" i="5"/>
  <c r="AA23" i="5" s="1"/>
  <c r="AD23" i="5" s="1"/>
  <c r="AG23" i="5" s="1"/>
  <c r="AJ23" i="5" s="1"/>
  <c r="D23" i="5"/>
  <c r="G23" i="5" s="1"/>
  <c r="J23" i="5" s="1"/>
  <c r="M23" i="5" s="1"/>
  <c r="P23" i="5" s="1"/>
  <c r="S23" i="5" s="1"/>
  <c r="X22" i="5"/>
  <c r="AA22" i="5" s="1"/>
  <c r="AD22" i="5" s="1"/>
  <c r="AG22" i="5" s="1"/>
  <c r="AJ22" i="5" s="1"/>
  <c r="D22" i="5"/>
  <c r="G22" i="5" s="1"/>
  <c r="J22" i="5" s="1"/>
  <c r="M22" i="5" s="1"/>
  <c r="P22" i="5" s="1"/>
  <c r="S22" i="5" s="1"/>
  <c r="AA21" i="5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W21" i="5"/>
  <c r="X21" i="5" s="1"/>
  <c r="Y21" i="5" s="1"/>
  <c r="Z21" i="5" s="1"/>
  <c r="B21" i="5"/>
  <c r="C21" i="5" s="1"/>
  <c r="D21" i="5" s="1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W20" i="5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B20" i="5"/>
  <c r="C20" i="5" s="1"/>
  <c r="D20" i="5" s="1"/>
  <c r="E20" i="5" s="1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W19" i="5"/>
  <c r="B19" i="5"/>
  <c r="C19" i="5" s="1"/>
  <c r="AH18" i="5"/>
  <c r="B17" i="5"/>
  <c r="AL13" i="5"/>
  <c r="AL28" i="5" s="1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L12" i="5" s="1"/>
  <c r="K3" i="5"/>
  <c r="K11" i="5" s="1"/>
  <c r="J3" i="5"/>
  <c r="I3" i="5"/>
  <c r="H3" i="5"/>
  <c r="H12" i="5" s="1"/>
  <c r="G3" i="5"/>
  <c r="F3" i="5"/>
  <c r="E3" i="5"/>
  <c r="D3" i="5"/>
  <c r="C3" i="5"/>
  <c r="C11" i="5" s="1"/>
  <c r="B3" i="5"/>
  <c r="B10" i="5" s="1"/>
  <c r="AE26" i="4"/>
  <c r="AD26" i="4"/>
  <c r="V26" i="4"/>
  <c r="J26" i="4"/>
  <c r="AD25" i="4"/>
  <c r="V25" i="4"/>
  <c r="AE25" i="4" s="1"/>
  <c r="J25" i="4"/>
  <c r="X24" i="4"/>
  <c r="AA24" i="4" s="1"/>
  <c r="AD24" i="4" s="1"/>
  <c r="AG24" i="4" s="1"/>
  <c r="AJ24" i="4" s="1"/>
  <c r="D24" i="4"/>
  <c r="G24" i="4" s="1"/>
  <c r="J24" i="4" s="1"/>
  <c r="M24" i="4" s="1"/>
  <c r="P24" i="4" s="1"/>
  <c r="S24" i="4" s="1"/>
  <c r="X23" i="4"/>
  <c r="AA23" i="4" s="1"/>
  <c r="AD23" i="4" s="1"/>
  <c r="D23" i="4"/>
  <c r="G23" i="4" s="1"/>
  <c r="J23" i="4" s="1"/>
  <c r="M23" i="4" s="1"/>
  <c r="P23" i="4" s="1"/>
  <c r="S23" i="4" s="1"/>
  <c r="X22" i="4"/>
  <c r="AA22" i="4" s="1"/>
  <c r="AD22" i="4" s="1"/>
  <c r="AG22" i="4" s="1"/>
  <c r="AJ22" i="4" s="1"/>
  <c r="D22" i="4"/>
  <c r="G22" i="4" s="1"/>
  <c r="J22" i="4" s="1"/>
  <c r="M22" i="4" s="1"/>
  <c r="P22" i="4" s="1"/>
  <c r="S22" i="4" s="1"/>
  <c r="X21" i="4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W21" i="4"/>
  <c r="B21" i="4"/>
  <c r="C21" i="4" s="1"/>
  <c r="D21" i="4" s="1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W20" i="4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C20" i="4"/>
  <c r="D20" i="4" s="1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B20" i="4"/>
  <c r="X19" i="4"/>
  <c r="Y19" i="4" s="1"/>
  <c r="W19" i="4"/>
  <c r="B19" i="4"/>
  <c r="C19" i="4" s="1"/>
  <c r="AH18" i="4"/>
  <c r="B17" i="4"/>
  <c r="AL13" i="4"/>
  <c r="AL28" i="4" s="1"/>
  <c r="AK3" i="4"/>
  <c r="AJ3" i="4"/>
  <c r="AI3" i="4"/>
  <c r="AI12" i="4" s="1"/>
  <c r="AH3" i="4"/>
  <c r="AH11" i="4" s="1"/>
  <c r="AG3" i="4"/>
  <c r="AF3" i="4"/>
  <c r="AE3" i="4"/>
  <c r="AD3" i="4"/>
  <c r="AC3" i="4"/>
  <c r="AB3" i="4"/>
  <c r="AB11" i="4" s="1"/>
  <c r="AA3" i="4"/>
  <c r="Z3" i="4"/>
  <c r="Z12" i="4" s="1"/>
  <c r="Y3" i="4"/>
  <c r="X3" i="4"/>
  <c r="W3" i="4"/>
  <c r="V3" i="4"/>
  <c r="U3" i="4"/>
  <c r="T3" i="4"/>
  <c r="T11" i="4" s="1"/>
  <c r="S3" i="4"/>
  <c r="R3" i="4"/>
  <c r="R11" i="4" s="1"/>
  <c r="Q3" i="4"/>
  <c r="P3" i="4"/>
  <c r="O3" i="4"/>
  <c r="N3" i="4"/>
  <c r="M3" i="4"/>
  <c r="L3" i="4"/>
  <c r="L11" i="4" s="1"/>
  <c r="K3" i="4"/>
  <c r="K12" i="4" s="1"/>
  <c r="J3" i="4"/>
  <c r="I3" i="4"/>
  <c r="I12" i="4" s="1"/>
  <c r="H3" i="4"/>
  <c r="H12" i="4" s="1"/>
  <c r="G3" i="4"/>
  <c r="F3" i="4"/>
  <c r="F11" i="4" s="1"/>
  <c r="E3" i="4"/>
  <c r="E11" i="4" s="1"/>
  <c r="D3" i="4"/>
  <c r="C3" i="4"/>
  <c r="C12" i="4" s="1"/>
  <c r="B3" i="4"/>
  <c r="B11" i="4" s="1"/>
  <c r="D11" i="3"/>
  <c r="C11" i="3"/>
  <c r="D7" i="3"/>
  <c r="C7" i="3"/>
  <c r="D3" i="3"/>
  <c r="C3" i="3"/>
  <c r="D174" i="2"/>
  <c r="D173" i="2"/>
  <c r="D172" i="2"/>
  <c r="B150" i="2"/>
  <c r="B151" i="2" s="1"/>
  <c r="V12" i="4" s="1"/>
  <c r="G125" i="2"/>
  <c r="E125" i="2"/>
  <c r="N124" i="2"/>
  <c r="N123" i="2"/>
  <c r="D123" i="2"/>
  <c r="D124" i="2" s="1"/>
  <c r="N122" i="2"/>
  <c r="H122" i="2"/>
  <c r="F122" i="2"/>
  <c r="D59" i="2"/>
  <c r="U11" i="4" l="1"/>
  <c r="AC11" i="4"/>
  <c r="AK11" i="4"/>
  <c r="U7" i="4"/>
  <c r="N11" i="4"/>
  <c r="O7" i="4" s="1"/>
  <c r="Q11" i="5"/>
  <c r="R7" i="5" s="1"/>
  <c r="O11" i="4"/>
  <c r="P7" i="4" s="1"/>
  <c r="W11" i="4"/>
  <c r="R12" i="5"/>
  <c r="Z12" i="5"/>
  <c r="AA8" i="5" s="1"/>
  <c r="AF12" i="4"/>
  <c r="Q12" i="6"/>
  <c r="Q12" i="4"/>
  <c r="R8" i="4" s="1"/>
  <c r="Y12" i="4"/>
  <c r="S7" i="4"/>
  <c r="AA8" i="4"/>
  <c r="U10" i="5"/>
  <c r="AI12" i="6"/>
  <c r="AF12" i="5"/>
  <c r="N10" i="4"/>
  <c r="O6" i="4" s="1"/>
  <c r="N12" i="4"/>
  <c r="O8" i="4" s="1"/>
  <c r="J12" i="4"/>
  <c r="AA12" i="5"/>
  <c r="AB8" i="5" s="1"/>
  <c r="D11" i="4"/>
  <c r="M10" i="5"/>
  <c r="AJ12" i="5"/>
  <c r="S12" i="6"/>
  <c r="T8" i="6" s="1"/>
  <c r="V11" i="4"/>
  <c r="J10" i="5"/>
  <c r="AA12" i="4"/>
  <c r="G11" i="4"/>
  <c r="AE11" i="4"/>
  <c r="P12" i="5"/>
  <c r="Q8" i="5" s="1"/>
  <c r="X10" i="5"/>
  <c r="P12" i="4"/>
  <c r="Q8" i="4" s="1"/>
  <c r="X12" i="4"/>
  <c r="X11" i="5"/>
  <c r="F10" i="4"/>
  <c r="X12" i="5"/>
  <c r="AL27" i="5"/>
  <c r="D12" i="4"/>
  <c r="H10" i="5"/>
  <c r="F12" i="4"/>
  <c r="H11" i="5"/>
  <c r="J12" i="5"/>
  <c r="D10" i="4"/>
  <c r="L12" i="4"/>
  <c r="AA10" i="5"/>
  <c r="L10" i="4"/>
  <c r="T12" i="4"/>
  <c r="U8" i="4" s="1"/>
  <c r="C10" i="5"/>
  <c r="AB12" i="4"/>
  <c r="T10" i="4"/>
  <c r="K10" i="5"/>
  <c r="B12" i="5"/>
  <c r="C8" i="5" s="1"/>
  <c r="AJ10" i="5"/>
  <c r="AB10" i="4"/>
  <c r="AL27" i="4"/>
  <c r="S11" i="5"/>
  <c r="T7" i="5" s="1"/>
  <c r="D19" i="4"/>
  <c r="AD12" i="4"/>
  <c r="AD10" i="4"/>
  <c r="AG23" i="4"/>
  <c r="AJ23" i="4" s="1"/>
  <c r="AJ11" i="4" s="1"/>
  <c r="F124" i="2"/>
  <c r="H124" i="2"/>
  <c r="C7" i="4"/>
  <c r="Z19" i="4"/>
  <c r="AA19" i="4" s="1"/>
  <c r="S12" i="4"/>
  <c r="T8" i="4" s="1"/>
  <c r="V7" i="4"/>
  <c r="W7" i="4" s="1"/>
  <c r="N9" i="4"/>
  <c r="N13" i="4" s="1"/>
  <c r="M11" i="4"/>
  <c r="AD11" i="4"/>
  <c r="H11" i="4"/>
  <c r="P11" i="4"/>
  <c r="Q7" i="4" s="1"/>
  <c r="X11" i="4"/>
  <c r="AF11" i="4"/>
  <c r="R8" i="6"/>
  <c r="K4" i="8"/>
  <c r="N15" i="6"/>
  <c r="K6" i="8"/>
  <c r="E10" i="4"/>
  <c r="M10" i="4"/>
  <c r="U10" i="4"/>
  <c r="AC10" i="4"/>
  <c r="AK10" i="4"/>
  <c r="I11" i="4"/>
  <c r="Q11" i="4"/>
  <c r="R7" i="4" s="1"/>
  <c r="Y11" i="4"/>
  <c r="E12" i="4"/>
  <c r="M12" i="4"/>
  <c r="U12" i="4"/>
  <c r="AC12" i="4"/>
  <c r="AK12" i="4"/>
  <c r="I12" i="5"/>
  <c r="I10" i="5"/>
  <c r="I11" i="5"/>
  <c r="Q10" i="5"/>
  <c r="Q12" i="5"/>
  <c r="R8" i="5" s="1"/>
  <c r="Y11" i="5"/>
  <c r="Y10" i="5"/>
  <c r="Y12" i="5"/>
  <c r="AG10" i="5"/>
  <c r="AG11" i="5"/>
  <c r="AG12" i="5"/>
  <c r="S10" i="5"/>
  <c r="J11" i="5"/>
  <c r="V10" i="4"/>
  <c r="V9" i="4" s="1"/>
  <c r="V13" i="4" s="1"/>
  <c r="F123" i="2"/>
  <c r="G10" i="4"/>
  <c r="O10" i="4"/>
  <c r="W10" i="4"/>
  <c r="AE10" i="4"/>
  <c r="C11" i="4"/>
  <c r="K11" i="4"/>
  <c r="S11" i="4"/>
  <c r="T7" i="4" s="1"/>
  <c r="AA11" i="4"/>
  <c r="AI11" i="4"/>
  <c r="G12" i="4"/>
  <c r="O12" i="4"/>
  <c r="P8" i="4" s="1"/>
  <c r="W12" i="4"/>
  <c r="AE12" i="4"/>
  <c r="S12" i="5"/>
  <c r="T8" i="5" s="1"/>
  <c r="AI11" i="5"/>
  <c r="J11" i="4"/>
  <c r="H123" i="2"/>
  <c r="M125" i="2" s="1"/>
  <c r="H10" i="4"/>
  <c r="P10" i="4"/>
  <c r="X10" i="4"/>
  <c r="AF10" i="4"/>
  <c r="D11" i="5"/>
  <c r="D12" i="5"/>
  <c r="D10" i="5"/>
  <c r="L11" i="5"/>
  <c r="L10" i="5"/>
  <c r="T11" i="5"/>
  <c r="U7" i="5" s="1"/>
  <c r="T10" i="5"/>
  <c r="AB11" i="5"/>
  <c r="T12" i="5"/>
  <c r="U8" i="5" s="1"/>
  <c r="P11" i="5"/>
  <c r="Q7" i="5" s="1"/>
  <c r="P10" i="5"/>
  <c r="Z11" i="4"/>
  <c r="AA7" i="4" s="1"/>
  <c r="K5" i="8"/>
  <c r="I10" i="4"/>
  <c r="Q10" i="4"/>
  <c r="Y10" i="4"/>
  <c r="E12" i="5"/>
  <c r="E11" i="5"/>
  <c r="M12" i="5"/>
  <c r="M11" i="5"/>
  <c r="U12" i="5"/>
  <c r="U11" i="5"/>
  <c r="AC12" i="5"/>
  <c r="AK12" i="5"/>
  <c r="E10" i="5"/>
  <c r="AC10" i="5"/>
  <c r="Z11" i="5"/>
  <c r="AA7" i="5" s="1"/>
  <c r="S8" i="5"/>
  <c r="B10" i="4"/>
  <c r="J10" i="4"/>
  <c r="R10" i="4"/>
  <c r="Z10" i="4"/>
  <c r="AH10" i="4"/>
  <c r="B12" i="4"/>
  <c r="R12" i="4"/>
  <c r="S8" i="4" s="1"/>
  <c r="AH12" i="4"/>
  <c r="F11" i="5"/>
  <c r="F12" i="5"/>
  <c r="F10" i="5"/>
  <c r="N11" i="5"/>
  <c r="O7" i="5" s="1"/>
  <c r="N12" i="5"/>
  <c r="O8" i="5" s="1"/>
  <c r="N10" i="5"/>
  <c r="V11" i="5"/>
  <c r="V10" i="5"/>
  <c r="V12" i="5"/>
  <c r="AD12" i="5"/>
  <c r="AC11" i="5"/>
  <c r="C6" i="5"/>
  <c r="H4" i="8"/>
  <c r="H5" i="8"/>
  <c r="H6" i="8"/>
  <c r="AI10" i="5"/>
  <c r="Z10" i="5"/>
  <c r="R10" i="5"/>
  <c r="AH10" i="5"/>
  <c r="AL12" i="5"/>
  <c r="AF11" i="5"/>
  <c r="AF10" i="5"/>
  <c r="AL11" i="5"/>
  <c r="C10" i="4"/>
  <c r="C9" i="4" s="1"/>
  <c r="C13" i="4" s="1"/>
  <c r="K10" i="4"/>
  <c r="S10" i="4"/>
  <c r="AA10" i="4"/>
  <c r="AI10" i="4"/>
  <c r="G12" i="5"/>
  <c r="G11" i="5"/>
  <c r="G10" i="5"/>
  <c r="O12" i="5"/>
  <c r="P8" i="5" s="1"/>
  <c r="O11" i="5"/>
  <c r="P7" i="5" s="1"/>
  <c r="O10" i="5"/>
  <c r="W12" i="5"/>
  <c r="W11" i="5"/>
  <c r="W10" i="5"/>
  <c r="AL10" i="5"/>
  <c r="AK11" i="5"/>
  <c r="AH12" i="5"/>
  <c r="AB10" i="5"/>
  <c r="AK10" i="5"/>
  <c r="R11" i="5"/>
  <c r="S7" i="5" s="1"/>
  <c r="AA11" i="5"/>
  <c r="K12" i="5"/>
  <c r="AH11" i="5"/>
  <c r="AD10" i="5"/>
  <c r="B11" i="5"/>
  <c r="C7" i="5" s="1"/>
  <c r="D7" i="5" s="1"/>
  <c r="AD11" i="5"/>
  <c r="C12" i="5"/>
  <c r="D8" i="5" s="1"/>
  <c r="AI12" i="5"/>
  <c r="X19" i="5"/>
  <c r="E12" i="6"/>
  <c r="E11" i="6"/>
  <c r="E13" i="6"/>
  <c r="M12" i="6"/>
  <c r="M13" i="6"/>
  <c r="M11" i="6"/>
  <c r="U12" i="6"/>
  <c r="U13" i="6"/>
  <c r="U11" i="6"/>
  <c r="AC12" i="6"/>
  <c r="AC13" i="6"/>
  <c r="AC11" i="6"/>
  <c r="AK12" i="6"/>
  <c r="AJ11" i="5"/>
  <c r="D19" i="5"/>
  <c r="AB12" i="5"/>
  <c r="G12" i="6"/>
  <c r="G13" i="6"/>
  <c r="G11" i="6"/>
  <c r="O12" i="6"/>
  <c r="P8" i="6" s="1"/>
  <c r="O13" i="6"/>
  <c r="P9" i="6" s="1"/>
  <c r="O11" i="6"/>
  <c r="W12" i="6"/>
  <c r="W13" i="6"/>
  <c r="W11" i="6"/>
  <c r="AE13" i="6"/>
  <c r="H13" i="6"/>
  <c r="H11" i="6"/>
  <c r="H12" i="6"/>
  <c r="P13" i="6"/>
  <c r="Q9" i="6" s="1"/>
  <c r="P11" i="6"/>
  <c r="P12" i="6"/>
  <c r="Q8" i="6" s="1"/>
  <c r="X13" i="6"/>
  <c r="X11" i="6"/>
  <c r="X12" i="6"/>
  <c r="AE25" i="5"/>
  <c r="AE10" i="5" s="1"/>
  <c r="F13" i="6"/>
  <c r="F11" i="6"/>
  <c r="F12" i="6"/>
  <c r="N13" i="6"/>
  <c r="O9" i="6" s="1"/>
  <c r="N11" i="6"/>
  <c r="N12" i="6"/>
  <c r="O8" i="6" s="1"/>
  <c r="V13" i="6"/>
  <c r="V11" i="6"/>
  <c r="V12" i="6"/>
  <c r="AD13" i="6"/>
  <c r="AD11" i="6"/>
  <c r="AD12" i="6"/>
  <c r="AK13" i="6"/>
  <c r="AE12" i="6"/>
  <c r="AF13" i="6"/>
  <c r="AF11" i="6"/>
  <c r="AF12" i="6"/>
  <c r="I13" i="6"/>
  <c r="I11" i="6"/>
  <c r="Q13" i="6"/>
  <c r="R9" i="6" s="1"/>
  <c r="Q11" i="6"/>
  <c r="Y13" i="6"/>
  <c r="Y11" i="6"/>
  <c r="AG13" i="6"/>
  <c r="AG11" i="6"/>
  <c r="B12" i="6"/>
  <c r="C8" i="6" s="1"/>
  <c r="D8" i="6" s="1"/>
  <c r="B13" i="6"/>
  <c r="C9" i="6" s="1"/>
  <c r="B11" i="6"/>
  <c r="J12" i="6"/>
  <c r="J13" i="6"/>
  <c r="J11" i="6"/>
  <c r="R12" i="6"/>
  <c r="S8" i="6" s="1"/>
  <c r="R13" i="6"/>
  <c r="S9" i="6" s="1"/>
  <c r="R11" i="6"/>
  <c r="Z12" i="6"/>
  <c r="AA8" i="6" s="1"/>
  <c r="Z13" i="6"/>
  <c r="AA9" i="6" s="1"/>
  <c r="Z11" i="6"/>
  <c r="AH12" i="6"/>
  <c r="AH13" i="6"/>
  <c r="AH11" i="6"/>
  <c r="Y12" i="6"/>
  <c r="D20" i="6"/>
  <c r="C13" i="6"/>
  <c r="C11" i="6"/>
  <c r="K13" i="6"/>
  <c r="K11" i="6"/>
  <c r="S13" i="6"/>
  <c r="T9" i="6" s="1"/>
  <c r="S11" i="6"/>
  <c r="AA13" i="6"/>
  <c r="AA11" i="6"/>
  <c r="AI13" i="6"/>
  <c r="AI11" i="6"/>
  <c r="AE11" i="6"/>
  <c r="AA12" i="6"/>
  <c r="D12" i="6"/>
  <c r="D13" i="6"/>
  <c r="D11" i="6"/>
  <c r="L12" i="6"/>
  <c r="L13" i="6"/>
  <c r="L11" i="6"/>
  <c r="T12" i="6"/>
  <c r="U8" i="6" s="1"/>
  <c r="T13" i="6"/>
  <c r="U9" i="6" s="1"/>
  <c r="T11" i="6"/>
  <c r="AB12" i="6"/>
  <c r="AB13" i="6"/>
  <c r="AB11" i="6"/>
  <c r="AJ12" i="6"/>
  <c r="AJ13" i="6"/>
  <c r="AJ11" i="6"/>
  <c r="AK11" i="6"/>
  <c r="AG12" i="6"/>
  <c r="AL29" i="6"/>
  <c r="Y20" i="6"/>
  <c r="F9" i="4" l="1"/>
  <c r="F13" i="4" s="1"/>
  <c r="AB8" i="4"/>
  <c r="X7" i="4"/>
  <c r="F125" i="2"/>
  <c r="V8" i="6"/>
  <c r="W10" i="6"/>
  <c r="W14" i="6" s="1"/>
  <c r="U10" i="6"/>
  <c r="U14" i="6" s="1"/>
  <c r="H9" i="5"/>
  <c r="H13" i="5" s="1"/>
  <c r="H27" i="5" s="1"/>
  <c r="L9" i="4"/>
  <c r="L13" i="4" s="1"/>
  <c r="L28" i="4" s="1"/>
  <c r="L10" i="6"/>
  <c r="L14" i="6" s="1"/>
  <c r="L29" i="6" s="1"/>
  <c r="AI10" i="6"/>
  <c r="AI14" i="6" s="1"/>
  <c r="C10" i="6"/>
  <c r="C14" i="6" s="1"/>
  <c r="C29" i="6" s="1"/>
  <c r="U9" i="5"/>
  <c r="U13" i="5" s="1"/>
  <c r="X9" i="5"/>
  <c r="X13" i="5" s="1"/>
  <c r="X27" i="5" s="1"/>
  <c r="K9" i="5"/>
  <c r="K13" i="5" s="1"/>
  <c r="K27" i="5" s="1"/>
  <c r="AE11" i="5"/>
  <c r="AF9" i="5"/>
  <c r="AF13" i="5" s="1"/>
  <c r="AF27" i="5" s="1"/>
  <c r="AJ9" i="5"/>
  <c r="AJ13" i="5" s="1"/>
  <c r="AJ27" i="5" s="1"/>
  <c r="AA9" i="5"/>
  <c r="AA13" i="5" s="1"/>
  <c r="AJ10" i="4"/>
  <c r="V8" i="4"/>
  <c r="W8" i="4" s="1"/>
  <c r="X8" i="4" s="1"/>
  <c r="Y8" i="4" s="1"/>
  <c r="Z8" i="4" s="1"/>
  <c r="Z16" i="4" s="1"/>
  <c r="AG12" i="4"/>
  <c r="AG10" i="4"/>
  <c r="X9" i="4"/>
  <c r="X13" i="4" s="1"/>
  <c r="X27" i="4" s="1"/>
  <c r="AG11" i="4"/>
  <c r="AJ12" i="4"/>
  <c r="J9" i="5"/>
  <c r="J13" i="5" s="1"/>
  <c r="J9" i="4"/>
  <c r="J13" i="4" s="1"/>
  <c r="D9" i="4"/>
  <c r="D13" i="4" s="1"/>
  <c r="M9" i="5"/>
  <c r="M13" i="5" s="1"/>
  <c r="AJ10" i="6"/>
  <c r="AJ14" i="6" s="1"/>
  <c r="AJ29" i="6" s="1"/>
  <c r="W8" i="6"/>
  <c r="X8" i="6" s="1"/>
  <c r="Y8" i="6" s="1"/>
  <c r="Z8" i="6" s="1"/>
  <c r="Z16" i="6" s="1"/>
  <c r="AC8" i="5"/>
  <c r="AD8" i="5" s="1"/>
  <c r="AE8" i="5" s="1"/>
  <c r="AE12" i="5"/>
  <c r="AC8" i="4"/>
  <c r="AD8" i="4" s="1"/>
  <c r="AE8" i="4" s="1"/>
  <c r="AF8" i="4" s="1"/>
  <c r="AG8" i="4" s="1"/>
  <c r="H9" i="4"/>
  <c r="H13" i="4" s="1"/>
  <c r="E8" i="5"/>
  <c r="F8" i="5" s="1"/>
  <c r="G8" i="5" s="1"/>
  <c r="H8" i="5" s="1"/>
  <c r="I8" i="5" s="1"/>
  <c r="J8" i="5" s="1"/>
  <c r="K8" i="5" s="1"/>
  <c r="L8" i="5" s="1"/>
  <c r="M8" i="5" s="1"/>
  <c r="N8" i="5" s="1"/>
  <c r="N16" i="5" s="1"/>
  <c r="AB9" i="5"/>
  <c r="AB13" i="5" s="1"/>
  <c r="AB28" i="5" s="1"/>
  <c r="B9" i="5"/>
  <c r="B13" i="5" s="1"/>
  <c r="B27" i="5" s="1"/>
  <c r="Y7" i="4"/>
  <c r="Z7" i="4" s="1"/>
  <c r="Z15" i="4" s="1"/>
  <c r="D6" i="5"/>
  <c r="E6" i="5" s="1"/>
  <c r="F6" i="5" s="1"/>
  <c r="G6" i="5" s="1"/>
  <c r="H6" i="5" s="1"/>
  <c r="I6" i="5" s="1"/>
  <c r="J6" i="5" s="1"/>
  <c r="K6" i="5" s="1"/>
  <c r="L6" i="5" s="1"/>
  <c r="M6" i="5" s="1"/>
  <c r="N6" i="5" s="1"/>
  <c r="N14" i="5" s="1"/>
  <c r="Y10" i="6"/>
  <c r="Y14" i="6" s="1"/>
  <c r="Y29" i="6" s="1"/>
  <c r="G10" i="6"/>
  <c r="G14" i="6" s="1"/>
  <c r="G9" i="4"/>
  <c r="G13" i="4" s="1"/>
  <c r="G28" i="4" s="1"/>
  <c r="AG9" i="5"/>
  <c r="AG13" i="5" s="1"/>
  <c r="AG27" i="5" s="1"/>
  <c r="J10" i="6"/>
  <c r="J14" i="6" s="1"/>
  <c r="J28" i="6" s="1"/>
  <c r="AK10" i="6"/>
  <c r="AK14" i="6" s="1"/>
  <c r="AK28" i="6" s="1"/>
  <c r="V9" i="6"/>
  <c r="W9" i="6" s="1"/>
  <c r="X9" i="6" s="1"/>
  <c r="Y9" i="6" s="1"/>
  <c r="Z9" i="6" s="1"/>
  <c r="Z17" i="6" s="1"/>
  <c r="K10" i="6"/>
  <c r="K14" i="6" s="1"/>
  <c r="K28" i="6" s="1"/>
  <c r="K9" i="4"/>
  <c r="K13" i="4" s="1"/>
  <c r="F9" i="5"/>
  <c r="F13" i="5" s="1"/>
  <c r="AF9" i="4"/>
  <c r="AF13" i="4" s="1"/>
  <c r="AF28" i="4" s="1"/>
  <c r="Y9" i="5"/>
  <c r="Y13" i="5" s="1"/>
  <c r="AB9" i="4"/>
  <c r="AB13" i="4" s="1"/>
  <c r="AJ9" i="4"/>
  <c r="AJ13" i="4" s="1"/>
  <c r="AJ28" i="4" s="1"/>
  <c r="AD9" i="4"/>
  <c r="AD13" i="4" s="1"/>
  <c r="AD28" i="4" s="1"/>
  <c r="E10" i="6"/>
  <c r="E14" i="6" s="1"/>
  <c r="E29" i="6" s="1"/>
  <c r="AE10" i="6"/>
  <c r="AE14" i="6" s="1"/>
  <c r="D9" i="6"/>
  <c r="E9" i="6" s="1"/>
  <c r="F9" i="6" s="1"/>
  <c r="G9" i="6" s="1"/>
  <c r="H9" i="6" s="1"/>
  <c r="I9" i="6" s="1"/>
  <c r="J9" i="6" s="1"/>
  <c r="K9" i="6" s="1"/>
  <c r="L9" i="6" s="1"/>
  <c r="M9" i="6" s="1"/>
  <c r="N9" i="6" s="1"/>
  <c r="N17" i="6" s="1"/>
  <c r="AD10" i="6"/>
  <c r="AD14" i="6" s="1"/>
  <c r="AD28" i="6" s="1"/>
  <c r="V9" i="5"/>
  <c r="V13" i="5" s="1"/>
  <c r="V27" i="5" s="1"/>
  <c r="U9" i="4"/>
  <c r="U13" i="4" s="1"/>
  <c r="U28" i="4" s="1"/>
  <c r="AB7" i="4"/>
  <c r="AC7" i="4" s="1"/>
  <c r="AD7" i="4" s="1"/>
  <c r="AE7" i="4" s="1"/>
  <c r="AF7" i="4" s="1"/>
  <c r="AG7" i="4" s="1"/>
  <c r="D10" i="6"/>
  <c r="D14" i="6" s="1"/>
  <c r="D29" i="6" s="1"/>
  <c r="AI9" i="4"/>
  <c r="AI13" i="4" s="1"/>
  <c r="T9" i="4"/>
  <c r="T13" i="4" s="1"/>
  <c r="U6" i="4"/>
  <c r="V6" i="4" s="1"/>
  <c r="W6" i="4" s="1"/>
  <c r="X6" i="4" s="1"/>
  <c r="Y6" i="4" s="1"/>
  <c r="Z6" i="4" s="1"/>
  <c r="Z14" i="4" s="1"/>
  <c r="AG10" i="6"/>
  <c r="AG14" i="6" s="1"/>
  <c r="AG29" i="6" s="1"/>
  <c r="AH10" i="6"/>
  <c r="AH14" i="6" s="1"/>
  <c r="AH28" i="6" s="1"/>
  <c r="AF10" i="6"/>
  <c r="AF14" i="6" s="1"/>
  <c r="AF28" i="6" s="1"/>
  <c r="V10" i="6"/>
  <c r="V14" i="6" s="1"/>
  <c r="V28" i="6" s="1"/>
  <c r="AC10" i="6"/>
  <c r="AC14" i="6" s="1"/>
  <c r="E7" i="5"/>
  <c r="F7" i="5" s="1"/>
  <c r="G7" i="5" s="1"/>
  <c r="H7" i="5" s="1"/>
  <c r="I7" i="5" s="1"/>
  <c r="J7" i="5" s="1"/>
  <c r="K7" i="5" s="1"/>
  <c r="L7" i="5" s="1"/>
  <c r="M7" i="5" s="1"/>
  <c r="N7" i="5" s="1"/>
  <c r="N15" i="5" s="1"/>
  <c r="AA9" i="4"/>
  <c r="AA13" i="4" s="1"/>
  <c r="AA28" i="4" s="1"/>
  <c r="AA27" i="5"/>
  <c r="AA28" i="5"/>
  <c r="M28" i="5"/>
  <c r="M27" i="5"/>
  <c r="U28" i="5"/>
  <c r="U27" i="5"/>
  <c r="G28" i="6"/>
  <c r="G29" i="6"/>
  <c r="F10" i="6"/>
  <c r="F14" i="6" s="1"/>
  <c r="E19" i="5"/>
  <c r="AA6" i="5"/>
  <c r="AB6" i="5" s="1"/>
  <c r="AC6" i="5" s="1"/>
  <c r="AD6" i="5" s="1"/>
  <c r="AE6" i="5" s="1"/>
  <c r="AF6" i="5" s="1"/>
  <c r="AG6" i="5" s="1"/>
  <c r="AH6" i="5" s="1"/>
  <c r="AI6" i="5" s="1"/>
  <c r="AJ6" i="5" s="1"/>
  <c r="AK6" i="5" s="1"/>
  <c r="AL6" i="5" s="1"/>
  <c r="AL14" i="5" s="1"/>
  <c r="Z9" i="5"/>
  <c r="Z13" i="5" s="1"/>
  <c r="N9" i="5"/>
  <c r="N13" i="5" s="1"/>
  <c r="O6" i="5"/>
  <c r="V7" i="5"/>
  <c r="W7" i="5" s="1"/>
  <c r="X7" i="5" s="1"/>
  <c r="Y7" i="5" s="1"/>
  <c r="Z7" i="5" s="1"/>
  <c r="Z15" i="5" s="1"/>
  <c r="P9" i="4"/>
  <c r="P13" i="4" s="1"/>
  <c r="Q6" i="4"/>
  <c r="G27" i="4"/>
  <c r="L27" i="4"/>
  <c r="AD27" i="4"/>
  <c r="AE28" i="6"/>
  <c r="AE29" i="6"/>
  <c r="W28" i="6"/>
  <c r="W29" i="6"/>
  <c r="AD9" i="5"/>
  <c r="AD13" i="5" s="1"/>
  <c r="AI28" i="4"/>
  <c r="AI27" i="4"/>
  <c r="Z10" i="6"/>
  <c r="Z14" i="6" s="1"/>
  <c r="AA7" i="6"/>
  <c r="AA10" i="6"/>
  <c r="AA14" i="6" s="1"/>
  <c r="AB8" i="6"/>
  <c r="AC8" i="6" s="1"/>
  <c r="AD8" i="6" s="1"/>
  <c r="AE8" i="6" s="1"/>
  <c r="AF8" i="6" s="1"/>
  <c r="AG8" i="6" s="1"/>
  <c r="AH8" i="6" s="1"/>
  <c r="AI8" i="6" s="1"/>
  <c r="AJ8" i="6" s="1"/>
  <c r="AK8" i="6" s="1"/>
  <c r="AL8" i="6" s="1"/>
  <c r="AL16" i="6" s="1"/>
  <c r="O10" i="6"/>
  <c r="O14" i="6" s="1"/>
  <c r="P7" i="6"/>
  <c r="P5" i="6" s="1"/>
  <c r="K28" i="4"/>
  <c r="K27" i="4"/>
  <c r="C8" i="4"/>
  <c r="D8" i="4" s="1"/>
  <c r="E8" i="4" s="1"/>
  <c r="F8" i="4" s="1"/>
  <c r="G8" i="4" s="1"/>
  <c r="H8" i="4" s="1"/>
  <c r="I8" i="4" s="1"/>
  <c r="J8" i="4" s="1"/>
  <c r="K8" i="4" s="1"/>
  <c r="L8" i="4" s="1"/>
  <c r="M8" i="4" s="1"/>
  <c r="N8" i="4" s="1"/>
  <c r="N16" i="4" s="1"/>
  <c r="AC9" i="5"/>
  <c r="AC13" i="5" s="1"/>
  <c r="E20" i="6"/>
  <c r="R10" i="6"/>
  <c r="R14" i="6" s="1"/>
  <c r="S7" i="6"/>
  <c r="S5" i="6" s="1"/>
  <c r="E8" i="6"/>
  <c r="F8" i="6" s="1"/>
  <c r="G8" i="6" s="1"/>
  <c r="H8" i="6" s="1"/>
  <c r="I8" i="6" s="1"/>
  <c r="J8" i="6" s="1"/>
  <c r="K8" i="6" s="1"/>
  <c r="L8" i="6" s="1"/>
  <c r="M8" i="6" s="1"/>
  <c r="N8" i="6" s="1"/>
  <c r="I10" i="6"/>
  <c r="I14" i="6" s="1"/>
  <c r="M10" i="6"/>
  <c r="M14" i="6" s="1"/>
  <c r="C28" i="4"/>
  <c r="C27" i="4"/>
  <c r="AI9" i="5"/>
  <c r="AI13" i="5" s="1"/>
  <c r="AH9" i="4"/>
  <c r="AH13" i="4" s="1"/>
  <c r="E9" i="5"/>
  <c r="E13" i="5" s="1"/>
  <c r="Q6" i="5"/>
  <c r="P9" i="5"/>
  <c r="P13" i="5" s="1"/>
  <c r="L9" i="5"/>
  <c r="L13" i="5" s="1"/>
  <c r="H27" i="4"/>
  <c r="H28" i="4"/>
  <c r="N10" i="6"/>
  <c r="N14" i="6" s="1"/>
  <c r="O7" i="6"/>
  <c r="O5" i="6" s="1"/>
  <c r="AC29" i="6"/>
  <c r="AC28" i="6"/>
  <c r="F28" i="5"/>
  <c r="F27" i="5"/>
  <c r="K29" i="6"/>
  <c r="C28" i="6"/>
  <c r="T10" i="6"/>
  <c r="T14" i="6" s="1"/>
  <c r="U7" i="6"/>
  <c r="T7" i="6"/>
  <c r="T5" i="6" s="1"/>
  <c r="S10" i="6"/>
  <c r="S14" i="6" s="1"/>
  <c r="H10" i="6"/>
  <c r="H14" i="6" s="1"/>
  <c r="AK9" i="5"/>
  <c r="AK13" i="5" s="1"/>
  <c r="G9" i="5"/>
  <c r="G13" i="5" s="1"/>
  <c r="AA6" i="4"/>
  <c r="AB6" i="4" s="1"/>
  <c r="AC6" i="4" s="1"/>
  <c r="AD6" i="4" s="1"/>
  <c r="AE6" i="4" s="1"/>
  <c r="AF6" i="4" s="1"/>
  <c r="AG6" i="4" s="1"/>
  <c r="Z9" i="4"/>
  <c r="Z13" i="4" s="1"/>
  <c r="Y27" i="5"/>
  <c r="Y28" i="5"/>
  <c r="N27" i="4"/>
  <c r="N28" i="4"/>
  <c r="AB19" i="4"/>
  <c r="D28" i="4"/>
  <c r="D27" i="4"/>
  <c r="Y9" i="4"/>
  <c r="Y13" i="4" s="1"/>
  <c r="V8" i="5"/>
  <c r="W8" i="5" s="1"/>
  <c r="X8" i="5" s="1"/>
  <c r="Y8" i="5" s="1"/>
  <c r="Z8" i="5" s="1"/>
  <c r="Z16" i="5" s="1"/>
  <c r="D9" i="5"/>
  <c r="D13" i="5" s="1"/>
  <c r="V27" i="4"/>
  <c r="V28" i="4"/>
  <c r="AK9" i="4"/>
  <c r="AK13" i="4" s="1"/>
  <c r="D7" i="4"/>
  <c r="E7" i="4" s="1"/>
  <c r="F7" i="4" s="1"/>
  <c r="G7" i="4" s="1"/>
  <c r="H7" i="4" s="1"/>
  <c r="I7" i="4" s="1"/>
  <c r="J7" i="4" s="1"/>
  <c r="K7" i="4" s="1"/>
  <c r="L7" i="4" s="1"/>
  <c r="M7" i="4" s="1"/>
  <c r="N7" i="4" s="1"/>
  <c r="N15" i="4" s="1"/>
  <c r="X10" i="6"/>
  <c r="X14" i="6" s="1"/>
  <c r="W9" i="5"/>
  <c r="W13" i="5" s="1"/>
  <c r="J27" i="4"/>
  <c r="J28" i="4"/>
  <c r="R6" i="4"/>
  <c r="Q9" i="4"/>
  <c r="Q13" i="4" s="1"/>
  <c r="J27" i="5"/>
  <c r="J28" i="5"/>
  <c r="AC9" i="4"/>
  <c r="AC13" i="4" s="1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N14" i="4" s="1"/>
  <c r="B9" i="4"/>
  <c r="B13" i="4" s="1"/>
  <c r="I9" i="4"/>
  <c r="I13" i="4" s="1"/>
  <c r="C9" i="5"/>
  <c r="C13" i="5" s="1"/>
  <c r="AE9" i="4"/>
  <c r="AE13" i="4" s="1"/>
  <c r="S9" i="5"/>
  <c r="S13" i="5" s="1"/>
  <c r="T6" i="5"/>
  <c r="R6" i="5"/>
  <c r="Q9" i="5"/>
  <c r="Q13" i="5" s="1"/>
  <c r="E19" i="4"/>
  <c r="H125" i="2"/>
  <c r="AF27" i="4"/>
  <c r="W9" i="4"/>
  <c r="W13" i="4" s="1"/>
  <c r="M9" i="4"/>
  <c r="M13" i="4" s="1"/>
  <c r="F28" i="4"/>
  <c r="F27" i="4"/>
  <c r="S6" i="4"/>
  <c r="R9" i="4"/>
  <c r="R13" i="4" s="1"/>
  <c r="Y28" i="6"/>
  <c r="AI29" i="6"/>
  <c r="AI28" i="6"/>
  <c r="U29" i="6"/>
  <c r="U28" i="6"/>
  <c r="AH9" i="5"/>
  <c r="AH13" i="5" s="1"/>
  <c r="Z20" i="6"/>
  <c r="AA20" i="6" s="1"/>
  <c r="AB10" i="6"/>
  <c r="AB14" i="6" s="1"/>
  <c r="AB9" i="6"/>
  <c r="AC9" i="6" s="1"/>
  <c r="AD9" i="6" s="1"/>
  <c r="AE9" i="6" s="1"/>
  <c r="AF9" i="6" s="1"/>
  <c r="AG9" i="6" s="1"/>
  <c r="AH9" i="6" s="1"/>
  <c r="AI9" i="6" s="1"/>
  <c r="AJ9" i="6" s="1"/>
  <c r="AK9" i="6" s="1"/>
  <c r="AL9" i="6" s="1"/>
  <c r="AL17" i="6" s="1"/>
  <c r="B10" i="6"/>
  <c r="B14" i="6" s="1"/>
  <c r="C7" i="6"/>
  <c r="R7" i="6"/>
  <c r="R5" i="6" s="1"/>
  <c r="Q10" i="6"/>
  <c r="Q14" i="6" s="1"/>
  <c r="Q7" i="6"/>
  <c r="Q5" i="6" s="1"/>
  <c r="P10" i="6"/>
  <c r="P14" i="6" s="1"/>
  <c r="Y19" i="5"/>
  <c r="P6" i="5"/>
  <c r="O9" i="5"/>
  <c r="O13" i="5" s="1"/>
  <c r="T6" i="4"/>
  <c r="S9" i="4"/>
  <c r="S13" i="4" s="1"/>
  <c r="S6" i="5"/>
  <c r="R9" i="5"/>
  <c r="R13" i="5" s="1"/>
  <c r="AB7" i="5"/>
  <c r="AC7" i="5" s="1"/>
  <c r="AD7" i="5" s="1"/>
  <c r="AE7" i="5" s="1"/>
  <c r="T9" i="5"/>
  <c r="T13" i="5" s="1"/>
  <c r="U6" i="5"/>
  <c r="V6" i="5" s="1"/>
  <c r="W6" i="5" s="1"/>
  <c r="X6" i="5" s="1"/>
  <c r="Y6" i="5" s="1"/>
  <c r="Z6" i="5" s="1"/>
  <c r="Z14" i="5" s="1"/>
  <c r="O9" i="4"/>
  <c r="O13" i="4" s="1"/>
  <c r="P6" i="4"/>
  <c r="I9" i="5"/>
  <c r="I13" i="5" s="1"/>
  <c r="E9" i="4"/>
  <c r="E13" i="4" s="1"/>
  <c r="H28" i="5" l="1"/>
  <c r="X28" i="5"/>
  <c r="AG9" i="4"/>
  <c r="AG13" i="4" s="1"/>
  <c r="AG27" i="4" s="1"/>
  <c r="AB27" i="5"/>
  <c r="K28" i="5"/>
  <c r="AF28" i="5"/>
  <c r="AH6" i="4"/>
  <c r="AI6" i="4" s="1"/>
  <c r="AJ6" i="4" s="1"/>
  <c r="AK6" i="4" s="1"/>
  <c r="AL6" i="4" s="1"/>
  <c r="AL14" i="4" s="1"/>
  <c r="AF7" i="5"/>
  <c r="AG7" i="5" s="1"/>
  <c r="AH7" i="5" s="1"/>
  <c r="AI7" i="5" s="1"/>
  <c r="AJ7" i="5" s="1"/>
  <c r="AK7" i="5" s="1"/>
  <c r="AL7" i="5" s="1"/>
  <c r="AL15" i="5" s="1"/>
  <c r="L28" i="6"/>
  <c r="AH8" i="4"/>
  <c r="AI8" i="4" s="1"/>
  <c r="AJ8" i="4" s="1"/>
  <c r="AK8" i="4" s="1"/>
  <c r="AL8" i="4" s="1"/>
  <c r="AL16" i="4" s="1"/>
  <c r="X29" i="5"/>
  <c r="X30" i="5" s="1"/>
  <c r="X31" i="5" s="1"/>
  <c r="X32" i="5" s="1"/>
  <c r="AH29" i="6"/>
  <c r="J29" i="6"/>
  <c r="AG28" i="6"/>
  <c r="AE9" i="5"/>
  <c r="AE13" i="5" s="1"/>
  <c r="AE28" i="5" s="1"/>
  <c r="AJ28" i="6"/>
  <c r="AF29" i="6"/>
  <c r="AK29" i="6"/>
  <c r="AF8" i="5"/>
  <c r="AG8" i="5" s="1"/>
  <c r="AH8" i="5" s="1"/>
  <c r="AI8" i="5" s="1"/>
  <c r="AJ8" i="5" s="1"/>
  <c r="AK8" i="5" s="1"/>
  <c r="AL8" i="5" s="1"/>
  <c r="AL16" i="5" s="1"/>
  <c r="V28" i="5"/>
  <c r="V29" i="5" s="1"/>
  <c r="V30" i="5" s="1"/>
  <c r="AJ28" i="5"/>
  <c r="AG28" i="5"/>
  <c r="X28" i="4"/>
  <c r="AH7" i="4"/>
  <c r="AI7" i="4" s="1"/>
  <c r="AJ7" i="4" s="1"/>
  <c r="AK7" i="4" s="1"/>
  <c r="AL7" i="4" s="1"/>
  <c r="AL15" i="4" s="1"/>
  <c r="AG28" i="4"/>
  <c r="Z18" i="5"/>
  <c r="N18" i="5"/>
  <c r="V29" i="4"/>
  <c r="V30" i="4" s="1"/>
  <c r="V29" i="6"/>
  <c r="V30" i="6" s="1"/>
  <c r="V31" i="6" s="1"/>
  <c r="C29" i="4"/>
  <c r="C30" i="4" s="1"/>
  <c r="C31" i="4" s="1"/>
  <c r="C32" i="4" s="1"/>
  <c r="AJ27" i="4"/>
  <c r="AD29" i="6"/>
  <c r="W30" i="6"/>
  <c r="W31" i="6" s="1"/>
  <c r="W32" i="6" s="1"/>
  <c r="W33" i="6" s="1"/>
  <c r="B28" i="5"/>
  <c r="B29" i="5" s="1"/>
  <c r="B30" i="5" s="1"/>
  <c r="U27" i="4"/>
  <c r="AA27" i="4"/>
  <c r="AA29" i="4" s="1"/>
  <c r="AA30" i="4" s="1"/>
  <c r="AA31" i="4" s="1"/>
  <c r="AA32" i="4" s="1"/>
  <c r="C5" i="5"/>
  <c r="D5" i="5" s="1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AG5" i="5" s="1"/>
  <c r="AH5" i="5" s="1"/>
  <c r="AI5" i="5" s="1"/>
  <c r="AJ5" i="5" s="1"/>
  <c r="AK5" i="5" s="1"/>
  <c r="X29" i="4"/>
  <c r="X30" i="4" s="1"/>
  <c r="X31" i="4" s="1"/>
  <c r="X32" i="4" s="1"/>
  <c r="Z19" i="6"/>
  <c r="D29" i="4"/>
  <c r="D30" i="4" s="1"/>
  <c r="D31" i="4" s="1"/>
  <c r="D32" i="4" s="1"/>
  <c r="U30" i="6"/>
  <c r="U31" i="6" s="1"/>
  <c r="U32" i="6" s="1"/>
  <c r="D28" i="6"/>
  <c r="D30" i="6" s="1"/>
  <c r="D31" i="6" s="1"/>
  <c r="D32" i="6" s="1"/>
  <c r="AB27" i="4"/>
  <c r="AB28" i="4"/>
  <c r="E28" i="6"/>
  <c r="E30" i="6" s="1"/>
  <c r="E31" i="6" s="1"/>
  <c r="T28" i="4"/>
  <c r="T27" i="4"/>
  <c r="Y30" i="6"/>
  <c r="Y31" i="6" s="1"/>
  <c r="Y32" i="6" s="1"/>
  <c r="Y33" i="6" s="1"/>
  <c r="AL19" i="6"/>
  <c r="AL30" i="6" s="1"/>
  <c r="AL31" i="6" s="1"/>
  <c r="AL32" i="6" s="1"/>
  <c r="AL33" i="6" s="1"/>
  <c r="V31" i="4"/>
  <c r="V32" i="4" s="1"/>
  <c r="C5" i="6"/>
  <c r="D7" i="6"/>
  <c r="E28" i="4"/>
  <c r="E27" i="4"/>
  <c r="B28" i="6"/>
  <c r="B29" i="6"/>
  <c r="C6" i="6"/>
  <c r="D6" i="6" s="1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F19" i="4"/>
  <c r="S27" i="5"/>
  <c r="S28" i="5"/>
  <c r="AC28" i="4"/>
  <c r="AC27" i="4"/>
  <c r="T29" i="6"/>
  <c r="T28" i="6"/>
  <c r="L28" i="5"/>
  <c r="L27" i="5"/>
  <c r="F20" i="6"/>
  <c r="AA29" i="6"/>
  <c r="AA28" i="6"/>
  <c r="B4" i="6"/>
  <c r="C4" i="6" s="1"/>
  <c r="D4" i="6" s="1"/>
  <c r="E4" i="6" s="1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B4" i="5"/>
  <c r="C4" i="5" s="1"/>
  <c r="D4" i="5" s="1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B4" i="4"/>
  <c r="C4" i="4" s="1"/>
  <c r="D4" i="4" s="1"/>
  <c r="E4" i="4" s="1"/>
  <c r="F4" i="4" s="1"/>
  <c r="G4" i="4" s="1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C27" i="5"/>
  <c r="C28" i="5"/>
  <c r="D28" i="5"/>
  <c r="D27" i="5"/>
  <c r="AC19" i="4"/>
  <c r="AK28" i="5"/>
  <c r="AK27" i="5"/>
  <c r="C30" i="6"/>
  <c r="C31" i="6" s="1"/>
  <c r="M29" i="6"/>
  <c r="M28" i="6"/>
  <c r="Z28" i="6"/>
  <c r="Z29" i="6"/>
  <c r="P27" i="4"/>
  <c r="P28" i="4"/>
  <c r="P27" i="5"/>
  <c r="P28" i="5"/>
  <c r="AC28" i="5"/>
  <c r="AC27" i="5"/>
  <c r="AA5" i="6"/>
  <c r="AB7" i="6"/>
  <c r="R27" i="5"/>
  <c r="R28" i="5"/>
  <c r="W27" i="5"/>
  <c r="W28" i="5"/>
  <c r="Z18" i="4"/>
  <c r="E28" i="5"/>
  <c r="E27" i="5"/>
  <c r="I28" i="6"/>
  <c r="I29" i="6"/>
  <c r="AD28" i="5"/>
  <c r="AD27" i="5"/>
  <c r="F29" i="6"/>
  <c r="F28" i="6"/>
  <c r="O28" i="5"/>
  <c r="O27" i="5"/>
  <c r="Z27" i="4"/>
  <c r="Z28" i="4"/>
  <c r="T28" i="5"/>
  <c r="T27" i="5"/>
  <c r="M28" i="4"/>
  <c r="M27" i="4"/>
  <c r="B27" i="4"/>
  <c r="B28" i="4"/>
  <c r="C5" i="4"/>
  <c r="D5" i="4" s="1"/>
  <c r="E5" i="4" s="1"/>
  <c r="F5" i="4" s="1"/>
  <c r="G5" i="4" s="1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AK28" i="4"/>
  <c r="AK27" i="4"/>
  <c r="Y27" i="4"/>
  <c r="Y28" i="4"/>
  <c r="H28" i="6"/>
  <c r="H29" i="6"/>
  <c r="AH27" i="4"/>
  <c r="AH28" i="4"/>
  <c r="N16" i="6"/>
  <c r="N19" i="6" s="1"/>
  <c r="N5" i="6"/>
  <c r="V7" i="6"/>
  <c r="U5" i="6"/>
  <c r="I27" i="5"/>
  <c r="I28" i="5"/>
  <c r="Y29" i="5"/>
  <c r="Y30" i="5" s="1"/>
  <c r="Z19" i="5"/>
  <c r="AA19" i="5" s="1"/>
  <c r="AE27" i="4"/>
  <c r="AE28" i="4"/>
  <c r="G27" i="5"/>
  <c r="G28" i="5"/>
  <c r="O28" i="6"/>
  <c r="O29" i="6"/>
  <c r="AB29" i="6"/>
  <c r="AB28" i="6"/>
  <c r="O27" i="4"/>
  <c r="O28" i="4"/>
  <c r="P28" i="6"/>
  <c r="P29" i="6"/>
  <c r="AB20" i="6"/>
  <c r="I27" i="4"/>
  <c r="I28" i="4"/>
  <c r="S28" i="4"/>
  <c r="S27" i="4"/>
  <c r="Q28" i="6"/>
  <c r="Q29" i="6"/>
  <c r="W27" i="4"/>
  <c r="W28" i="4"/>
  <c r="Q27" i="5"/>
  <c r="Q28" i="5"/>
  <c r="N18" i="4"/>
  <c r="Q27" i="4"/>
  <c r="Q28" i="4"/>
  <c r="X28" i="6"/>
  <c r="X29" i="6"/>
  <c r="S29" i="6"/>
  <c r="S28" i="6"/>
  <c r="AI27" i="5"/>
  <c r="AI28" i="5"/>
  <c r="N28" i="5"/>
  <c r="N27" i="5"/>
  <c r="F19" i="5"/>
  <c r="AH27" i="5"/>
  <c r="AH28" i="5"/>
  <c r="R27" i="4"/>
  <c r="R28" i="4"/>
  <c r="N29" i="6"/>
  <c r="N28" i="6"/>
  <c r="R28" i="6"/>
  <c r="R29" i="6"/>
  <c r="Z27" i="5"/>
  <c r="Z28" i="5"/>
  <c r="AL18" i="5" l="1"/>
  <c r="AL29" i="5" s="1"/>
  <c r="AL30" i="5" s="1"/>
  <c r="AL31" i="5" s="1"/>
  <c r="AL32" i="5" s="1"/>
  <c r="AL18" i="4"/>
  <c r="AL29" i="4" s="1"/>
  <c r="AL30" i="4" s="1"/>
  <c r="AL31" i="4" s="1"/>
  <c r="AL32" i="4" s="1"/>
  <c r="AB29" i="4"/>
  <c r="AB30" i="4" s="1"/>
  <c r="AE27" i="5"/>
  <c r="T30" i="6"/>
  <c r="T31" i="6" s="1"/>
  <c r="T32" i="6" s="1"/>
  <c r="T33" i="6" s="1"/>
  <c r="Z30" i="6"/>
  <c r="Z31" i="6" s="1"/>
  <c r="Z32" i="6" s="1"/>
  <c r="Z33" i="6" s="1"/>
  <c r="C29" i="5"/>
  <c r="C30" i="5" s="1"/>
  <c r="U33" i="6"/>
  <c r="X30" i="6"/>
  <c r="X31" i="6" s="1"/>
  <c r="X32" i="6" s="1"/>
  <c r="X33" i="6" s="1"/>
  <c r="E29" i="5"/>
  <c r="E30" i="5" s="1"/>
  <c r="E29" i="4"/>
  <c r="E30" i="4" s="1"/>
  <c r="E31" i="4" s="1"/>
  <c r="AA30" i="6"/>
  <c r="AA31" i="6" s="1"/>
  <c r="AA32" i="6" s="1"/>
  <c r="AA33" i="6" s="1"/>
  <c r="Y29" i="4"/>
  <c r="Y30" i="4" s="1"/>
  <c r="Y31" i="4" s="1"/>
  <c r="Y32" i="4" s="1"/>
  <c r="B30" i="6"/>
  <c r="B31" i="6" s="1"/>
  <c r="B32" i="6" s="1"/>
  <c r="D33" i="6"/>
  <c r="W29" i="4"/>
  <c r="W30" i="4" s="1"/>
  <c r="W31" i="4" s="1"/>
  <c r="W32" i="4" s="1"/>
  <c r="D29" i="5"/>
  <c r="D30" i="5" s="1"/>
  <c r="D31" i="5" s="1"/>
  <c r="D32" i="5" s="1"/>
  <c r="C31" i="5"/>
  <c r="C32" i="5" s="1"/>
  <c r="AB19" i="5"/>
  <c r="AA29" i="5"/>
  <c r="AA30" i="5" s="1"/>
  <c r="V32" i="6"/>
  <c r="V33" i="6" s="1"/>
  <c r="B31" i="5"/>
  <c r="B32" i="5" s="1"/>
  <c r="Y31" i="5"/>
  <c r="Y32" i="5" s="1"/>
  <c r="Z29" i="4"/>
  <c r="Z30" i="4" s="1"/>
  <c r="AB31" i="4"/>
  <c r="AB32" i="4" s="1"/>
  <c r="F29" i="4"/>
  <c r="F30" i="4" s="1"/>
  <c r="G19" i="4"/>
  <c r="F30" i="6"/>
  <c r="F31" i="6" s="1"/>
  <c r="G20" i="6"/>
  <c r="F29" i="5"/>
  <c r="F30" i="5" s="1"/>
  <c r="G19" i="5"/>
  <c r="E32" i="6"/>
  <c r="E33" i="6" s="1"/>
  <c r="W29" i="5"/>
  <c r="W30" i="5" s="1"/>
  <c r="AB5" i="6"/>
  <c r="AC7" i="6"/>
  <c r="C32" i="6"/>
  <c r="C33" i="6" s="1"/>
  <c r="B29" i="4"/>
  <c r="B30" i="4" s="1"/>
  <c r="M4" i="8"/>
  <c r="M5" i="8"/>
  <c r="M6" i="8"/>
  <c r="V31" i="5"/>
  <c r="V32" i="5" s="1"/>
  <c r="D5" i="6"/>
  <c r="E7" i="6"/>
  <c r="AC29" i="4"/>
  <c r="AC30" i="4" s="1"/>
  <c r="AD19" i="4"/>
  <c r="AC20" i="6"/>
  <c r="AB30" i="6"/>
  <c r="AB31" i="6" s="1"/>
  <c r="W7" i="6"/>
  <c r="V5" i="6"/>
  <c r="Z29" i="5"/>
  <c r="Z30" i="5" s="1"/>
  <c r="E32" i="4" l="1"/>
  <c r="E31" i="5"/>
  <c r="E32" i="5" s="1"/>
  <c r="B33" i="6"/>
  <c r="AC31" i="4"/>
  <c r="AC32" i="4" s="1"/>
  <c r="G29" i="4"/>
  <c r="G30" i="4" s="1"/>
  <c r="H19" i="4"/>
  <c r="F7" i="6"/>
  <c r="E5" i="6"/>
  <c r="W31" i="5"/>
  <c r="W32" i="5" s="1"/>
  <c r="F31" i="4"/>
  <c r="F32" i="4" s="1"/>
  <c r="W5" i="6"/>
  <c r="X7" i="6"/>
  <c r="AA31" i="5"/>
  <c r="AA32" i="5" s="1"/>
  <c r="AB32" i="6"/>
  <c r="AB33" i="6" s="1"/>
  <c r="AD20" i="6"/>
  <c r="AC30" i="6"/>
  <c r="AC31" i="6" s="1"/>
  <c r="G29" i="5"/>
  <c r="G30" i="5" s="1"/>
  <c r="H19" i="5"/>
  <c r="Z31" i="4"/>
  <c r="Z32" i="4" s="1"/>
  <c r="AC19" i="5"/>
  <c r="AB29" i="5"/>
  <c r="AB30" i="5" s="1"/>
  <c r="F31" i="5"/>
  <c r="F32" i="5" s="1"/>
  <c r="B31" i="4"/>
  <c r="B32" i="4" s="1"/>
  <c r="G30" i="6"/>
  <c r="G31" i="6" s="1"/>
  <c r="H20" i="6"/>
  <c r="Z31" i="5"/>
  <c r="Z32" i="5" s="1"/>
  <c r="AE19" i="4"/>
  <c r="AD29" i="4"/>
  <c r="AD30" i="4" s="1"/>
  <c r="AD7" i="6"/>
  <c r="AC5" i="6"/>
  <c r="F32" i="6"/>
  <c r="F33" i="6" s="1"/>
  <c r="AD19" i="5" l="1"/>
  <c r="AC29" i="5"/>
  <c r="AC30" i="5" s="1"/>
  <c r="H30" i="6"/>
  <c r="H31" i="6" s="1"/>
  <c r="I20" i="6"/>
  <c r="H29" i="5"/>
  <c r="H30" i="5" s="1"/>
  <c r="I19" i="5"/>
  <c r="G31" i="4"/>
  <c r="G32" i="4" s="1"/>
  <c r="AE7" i="6"/>
  <c r="AD5" i="6"/>
  <c r="G31" i="5"/>
  <c r="G32" i="5" s="1"/>
  <c r="G32" i="6"/>
  <c r="G33" i="6" s="1"/>
  <c r="H29" i="4"/>
  <c r="H30" i="4" s="1"/>
  <c r="I19" i="4"/>
  <c r="AD31" i="4"/>
  <c r="AD32" i="4" s="1"/>
  <c r="AC32" i="6"/>
  <c r="AC33" i="6" s="1"/>
  <c r="F5" i="6"/>
  <c r="G7" i="6"/>
  <c r="AE29" i="4"/>
  <c r="AE30" i="4" s="1"/>
  <c r="AF19" i="4"/>
  <c r="AD30" i="6"/>
  <c r="AD31" i="6" s="1"/>
  <c r="AE20" i="6"/>
  <c r="X5" i="6"/>
  <c r="Y7" i="6"/>
  <c r="AB31" i="5"/>
  <c r="AB32" i="5" s="1"/>
  <c r="AE30" i="6" l="1"/>
  <c r="AE31" i="6" s="1"/>
  <c r="AF20" i="6"/>
  <c r="Y5" i="6"/>
  <c r="Z7" i="6"/>
  <c r="Z5" i="6" s="1"/>
  <c r="H31" i="5"/>
  <c r="H32" i="5" s="1"/>
  <c r="AD32" i="6"/>
  <c r="AD33" i="6" s="1"/>
  <c r="G5" i="6"/>
  <c r="H7" i="6"/>
  <c r="AD29" i="5"/>
  <c r="AD30" i="5" s="1"/>
  <c r="AE19" i="5"/>
  <c r="AF29" i="4"/>
  <c r="AF30" i="4" s="1"/>
  <c r="AG19" i="4"/>
  <c r="AE5" i="6"/>
  <c r="AF7" i="6"/>
  <c r="H32" i="6"/>
  <c r="H33" i="6" s="1"/>
  <c r="AE31" i="4"/>
  <c r="AE32" i="4" s="1"/>
  <c r="I29" i="4"/>
  <c r="I30" i="4" s="1"/>
  <c r="J19" i="4"/>
  <c r="AC31" i="5"/>
  <c r="AC32" i="5" s="1"/>
  <c r="J20" i="6"/>
  <c r="I30" i="6"/>
  <c r="I31" i="6" s="1"/>
  <c r="H31" i="4"/>
  <c r="H32" i="4" s="1"/>
  <c r="I29" i="5"/>
  <c r="I30" i="5" s="1"/>
  <c r="J19" i="5"/>
  <c r="K19" i="5" l="1"/>
  <c r="J29" i="5"/>
  <c r="J30" i="5" s="1"/>
  <c r="J29" i="4"/>
  <c r="J30" i="4" s="1"/>
  <c r="K19" i="4"/>
  <c r="AH19" i="4"/>
  <c r="AG29" i="4"/>
  <c r="AG30" i="4" s="1"/>
  <c r="AF5" i="6"/>
  <c r="AG7" i="6"/>
  <c r="I31" i="5"/>
  <c r="I32" i="5" s="1"/>
  <c r="I31" i="4"/>
  <c r="I32" i="4" s="1"/>
  <c r="AF31" i="4"/>
  <c r="AF32" i="4" s="1"/>
  <c r="AE29" i="5"/>
  <c r="AE30" i="5" s="1"/>
  <c r="AF19" i="5"/>
  <c r="AD31" i="5"/>
  <c r="AD32" i="5" s="1"/>
  <c r="I32" i="6"/>
  <c r="I33" i="6" s="1"/>
  <c r="H5" i="6"/>
  <c r="I7" i="6"/>
  <c r="AF30" i="6"/>
  <c r="AF31" i="6" s="1"/>
  <c r="AG20" i="6"/>
  <c r="K20" i="6"/>
  <c r="J30" i="6"/>
  <c r="J31" i="6" s="1"/>
  <c r="AE32" i="6"/>
  <c r="AE33" i="6" s="1"/>
  <c r="J32" i="6" l="1"/>
  <c r="J33" i="6" s="1"/>
  <c r="J31" i="4"/>
  <c r="J32" i="4" s="1"/>
  <c r="J31" i="5"/>
  <c r="J32" i="5" s="1"/>
  <c r="I5" i="6"/>
  <c r="J7" i="6"/>
  <c r="AI19" i="4"/>
  <c r="AH29" i="4"/>
  <c r="AH30" i="4" s="1"/>
  <c r="L19" i="4"/>
  <c r="K29" i="4"/>
  <c r="K30" i="4" s="1"/>
  <c r="L20" i="6"/>
  <c r="K30" i="6"/>
  <c r="K31" i="6" s="1"/>
  <c r="AG30" i="6"/>
  <c r="AG31" i="6" s="1"/>
  <c r="AH20" i="6"/>
  <c r="AF29" i="5"/>
  <c r="AF30" i="5" s="1"/>
  <c r="AG19" i="5"/>
  <c r="L19" i="5"/>
  <c r="K29" i="5"/>
  <c r="K30" i="5" s="1"/>
  <c r="AF32" i="6"/>
  <c r="AF33" i="6" s="1"/>
  <c r="AE31" i="5"/>
  <c r="AE32" i="5" s="1"/>
  <c r="AG5" i="6"/>
  <c r="AH7" i="6"/>
  <c r="AG31" i="4"/>
  <c r="AG32" i="4" s="1"/>
  <c r="AH31" i="4" l="1"/>
  <c r="AH32" i="4" s="1"/>
  <c r="AF31" i="5"/>
  <c r="AF32" i="5" s="1"/>
  <c r="AI20" i="6"/>
  <c r="AH30" i="6"/>
  <c r="AH31" i="6" s="1"/>
  <c r="J5" i="6"/>
  <c r="K7" i="6"/>
  <c r="AG32" i="6"/>
  <c r="AG33" i="6" s="1"/>
  <c r="M19" i="5"/>
  <c r="L29" i="5"/>
  <c r="L30" i="5" s="1"/>
  <c r="AH5" i="6"/>
  <c r="AI7" i="6"/>
  <c r="AG29" i="5"/>
  <c r="AG30" i="5" s="1"/>
  <c r="AH19" i="5"/>
  <c r="AJ19" i="4"/>
  <c r="AI29" i="4"/>
  <c r="AI30" i="4" s="1"/>
  <c r="K32" i="6"/>
  <c r="K33" i="6" s="1"/>
  <c r="M19" i="4"/>
  <c r="L29" i="4"/>
  <c r="L30" i="4" s="1"/>
  <c r="M20" i="6"/>
  <c r="L30" i="6"/>
  <c r="L31" i="6" s="1"/>
  <c r="K31" i="5"/>
  <c r="K32" i="5" s="1"/>
  <c r="K31" i="4"/>
  <c r="K32" i="4" s="1"/>
  <c r="K5" i="6" l="1"/>
  <c r="L7" i="6"/>
  <c r="AH32" i="6"/>
  <c r="AH33" i="6"/>
  <c r="M29" i="4"/>
  <c r="M30" i="4" s="1"/>
  <c r="N19" i="4"/>
  <c r="AJ20" i="6"/>
  <c r="AI30" i="6"/>
  <c r="AI31" i="6" s="1"/>
  <c r="AI5" i="6"/>
  <c r="AJ7" i="6"/>
  <c r="L32" i="6"/>
  <c r="L33" i="6" s="1"/>
  <c r="AI19" i="5"/>
  <c r="AH29" i="5"/>
  <c r="AH30" i="5" s="1"/>
  <c r="AG31" i="5"/>
  <c r="AG32" i="5" s="1"/>
  <c r="L31" i="5"/>
  <c r="L32" i="5" s="1"/>
  <c r="M29" i="5"/>
  <c r="M30" i="5" s="1"/>
  <c r="N19" i="5"/>
  <c r="M30" i="6"/>
  <c r="M31" i="6" s="1"/>
  <c r="N20" i="6"/>
  <c r="L31" i="4"/>
  <c r="L32" i="4" s="1"/>
  <c r="AI31" i="4"/>
  <c r="AI32" i="4" s="1"/>
  <c r="AK19" i="4"/>
  <c r="AK29" i="4" s="1"/>
  <c r="AK30" i="4" s="1"/>
  <c r="AJ29" i="4"/>
  <c r="AJ30" i="4" s="1"/>
  <c r="O19" i="5" l="1"/>
  <c r="N29" i="5"/>
  <c r="N30" i="5" s="1"/>
  <c r="O19" i="4"/>
  <c r="N29" i="4"/>
  <c r="N30" i="4" s="1"/>
  <c r="O20" i="6"/>
  <c r="N30" i="6"/>
  <c r="N31" i="6" s="1"/>
  <c r="AK31" i="4"/>
  <c r="AK32" i="4" s="1"/>
  <c r="B24" i="7" s="1" a="1"/>
  <c r="M31" i="5"/>
  <c r="M32" i="5" s="1"/>
  <c r="AJ5" i="6"/>
  <c r="AK7" i="6"/>
  <c r="M31" i="4"/>
  <c r="M32" i="4" s="1"/>
  <c r="AJ19" i="5"/>
  <c r="AI29" i="5"/>
  <c r="AI30" i="5" s="1"/>
  <c r="AH31" i="5"/>
  <c r="AH32" i="5" s="1"/>
  <c r="M32" i="6"/>
  <c r="M33" i="6" s="1"/>
  <c r="AJ31" i="4"/>
  <c r="AJ32" i="4" s="1"/>
  <c r="AI32" i="6"/>
  <c r="AI33" i="6" s="1"/>
  <c r="AK20" i="6"/>
  <c r="AJ30" i="6"/>
  <c r="AJ31" i="6" s="1"/>
  <c r="L5" i="6"/>
  <c r="M7" i="6"/>
  <c r="M5" i="6" s="1"/>
  <c r="AK30" i="6" l="1"/>
  <c r="AK31" i="6" s="1"/>
  <c r="B36" i="7"/>
  <c r="B28" i="7"/>
  <c r="B35" i="7"/>
  <c r="B27" i="7"/>
  <c r="B34" i="7"/>
  <c r="B26" i="7"/>
  <c r="B33" i="7"/>
  <c r="B25" i="7"/>
  <c r="B40" i="7"/>
  <c r="B32" i="7"/>
  <c r="B39" i="7"/>
  <c r="B31" i="7"/>
  <c r="B24" i="7"/>
  <c r="B38" i="7"/>
  <c r="B30" i="7"/>
  <c r="B37" i="7"/>
  <c r="B29" i="7"/>
  <c r="AI31" i="5"/>
  <c r="AI32" i="5" s="1"/>
  <c r="N32" i="6"/>
  <c r="N33" i="6" s="1"/>
  <c r="O30" i="6"/>
  <c r="O31" i="6" s="1"/>
  <c r="P20" i="6"/>
  <c r="AL7" i="6"/>
  <c r="AK5" i="6"/>
  <c r="AK19" i="5"/>
  <c r="AK29" i="5" s="1"/>
  <c r="AK30" i="5" s="1"/>
  <c r="AJ29" i="5"/>
  <c r="AJ30" i="5" s="1"/>
  <c r="N31" i="4"/>
  <c r="N32" i="4" s="1"/>
  <c r="O29" i="4"/>
  <c r="O30" i="4" s="1"/>
  <c r="P19" i="4"/>
  <c r="AJ32" i="6"/>
  <c r="AJ33" i="6" s="1"/>
  <c r="N31" i="5"/>
  <c r="N32" i="5" s="1"/>
  <c r="AK32" i="6"/>
  <c r="AK33" i="6" s="1"/>
  <c r="O29" i="5"/>
  <c r="O30" i="5" s="1"/>
  <c r="P19" i="5"/>
  <c r="D24" i="7" l="1" a="1"/>
  <c r="O31" i="4"/>
  <c r="O32" i="4" s="1"/>
  <c r="O32" i="6"/>
  <c r="O33" i="6" s="1"/>
  <c r="P29" i="4"/>
  <c r="P30" i="4" s="1"/>
  <c r="Q19" i="4"/>
  <c r="P30" i="6"/>
  <c r="P31" i="6" s="1"/>
  <c r="Q20" i="6"/>
  <c r="AK31" i="5"/>
  <c r="AK32" i="5" s="1"/>
  <c r="AJ31" i="5"/>
  <c r="AJ32" i="5" s="1"/>
  <c r="P29" i="5"/>
  <c r="P30" i="5" s="1"/>
  <c r="Q19" i="5"/>
  <c r="O31" i="5"/>
  <c r="O32" i="5" s="1"/>
  <c r="C24" i="7" l="1" a="1"/>
  <c r="Q29" i="5"/>
  <c r="Q30" i="5" s="1"/>
  <c r="R19" i="5"/>
  <c r="P31" i="4"/>
  <c r="P32" i="4" s="1"/>
  <c r="P32" i="6"/>
  <c r="P33" i="6" s="1"/>
  <c r="R19" i="4"/>
  <c r="Q29" i="4"/>
  <c r="Q30" i="4" s="1"/>
  <c r="P31" i="5"/>
  <c r="P32" i="5" s="1"/>
  <c r="R20" i="6"/>
  <c r="Q30" i="6"/>
  <c r="Q31" i="6" s="1"/>
  <c r="D40" i="7"/>
  <c r="D32" i="7"/>
  <c r="D39" i="7"/>
  <c r="D31" i="7"/>
  <c r="D24" i="7"/>
  <c r="D38" i="7"/>
  <c r="D30" i="7"/>
  <c r="D37" i="7"/>
  <c r="D29" i="7"/>
  <c r="D36" i="7"/>
  <c r="D28" i="7"/>
  <c r="D35" i="7"/>
  <c r="D27" i="7"/>
  <c r="D34" i="7"/>
  <c r="D26" i="7"/>
  <c r="D33" i="7"/>
  <c r="D25" i="7"/>
  <c r="Q32" i="6" l="1"/>
  <c r="Q33" i="6" s="1"/>
  <c r="S19" i="5"/>
  <c r="R29" i="5"/>
  <c r="R30" i="5" s="1"/>
  <c r="S20" i="6"/>
  <c r="S30" i="6" s="1"/>
  <c r="S31" i="6" s="1"/>
  <c r="R30" i="6"/>
  <c r="R31" i="6" s="1"/>
  <c r="Q31" i="5"/>
  <c r="Q32" i="5" s="1"/>
  <c r="Q31" i="4"/>
  <c r="Q32" i="4" s="1"/>
  <c r="S19" i="4"/>
  <c r="R29" i="4"/>
  <c r="R30" i="4" s="1"/>
  <c r="C34" i="7"/>
  <c r="C26" i="7"/>
  <c r="C33" i="7"/>
  <c r="C25" i="7"/>
  <c r="C40" i="7"/>
  <c r="C32" i="7"/>
  <c r="C39" i="7"/>
  <c r="C31" i="7"/>
  <c r="C24" i="7"/>
  <c r="C38" i="7"/>
  <c r="C30" i="7"/>
  <c r="C37" i="7"/>
  <c r="C29" i="7"/>
  <c r="C36" i="7"/>
  <c r="C28" i="7"/>
  <c r="C35" i="7"/>
  <c r="C27" i="7"/>
  <c r="B4" i="8" l="1"/>
  <c r="E4" i="8" s="1"/>
  <c r="B6" i="8"/>
  <c r="B5" i="8"/>
  <c r="R32" i="6"/>
  <c r="R33" i="6" s="1"/>
  <c r="S32" i="6"/>
  <c r="S33" i="6" s="1"/>
  <c r="T19" i="4"/>
  <c r="S29" i="4"/>
  <c r="S30" i="4" s="1"/>
  <c r="R31" i="4"/>
  <c r="R32" i="4" s="1"/>
  <c r="R31" i="5"/>
  <c r="R32" i="5" s="1"/>
  <c r="T19" i="5"/>
  <c r="S29" i="5"/>
  <c r="S30" i="5" s="1"/>
  <c r="S31" i="4" l="1"/>
  <c r="S32" i="4" s="1"/>
  <c r="T29" i="4"/>
  <c r="T30" i="4" s="1"/>
  <c r="U19" i="4"/>
  <c r="S31" i="5"/>
  <c r="S32" i="5" s="1"/>
  <c r="U19" i="5"/>
  <c r="U29" i="5" s="1"/>
  <c r="U30" i="5" s="1"/>
  <c r="T29" i="5"/>
  <c r="T30" i="5" s="1"/>
  <c r="B35" i="6"/>
  <c r="D4" i="7" a="1"/>
  <c r="U29" i="4" l="1"/>
  <c r="U30" i="4" s="1"/>
  <c r="E5" i="8"/>
  <c r="E6" i="8"/>
  <c r="T31" i="4"/>
  <c r="T32" i="4" s="1"/>
  <c r="U31" i="5"/>
  <c r="U32" i="5" s="1"/>
  <c r="D18" i="7"/>
  <c r="D10" i="7"/>
  <c r="D17" i="7"/>
  <c r="D9" i="7"/>
  <c r="D16" i="7"/>
  <c r="D8" i="7"/>
  <c r="D23" i="7"/>
  <c r="D15" i="7"/>
  <c r="D7" i="7"/>
  <c r="D22" i="7"/>
  <c r="D14" i="7"/>
  <c r="D6" i="7"/>
  <c r="D21" i="7"/>
  <c r="D13" i="7"/>
  <c r="D5" i="7"/>
  <c r="D20" i="7"/>
  <c r="D12" i="7"/>
  <c r="D19" i="7"/>
  <c r="D11" i="7"/>
  <c r="D4" i="7"/>
  <c r="T31" i="5"/>
  <c r="T32" i="5" s="1"/>
  <c r="I10" i="7" l="1"/>
  <c r="I8" i="7"/>
  <c r="C4" i="7" a="1"/>
  <c r="B34" i="5"/>
  <c r="I5" i="7" a="1"/>
  <c r="I5" i="7" s="1"/>
  <c r="I4" i="7" s="1"/>
  <c r="I6" i="7" a="1"/>
  <c r="I6" i="7" s="1"/>
  <c r="I7" i="7" a="1"/>
  <c r="I7" i="7" s="1"/>
  <c r="U31" i="4"/>
  <c r="U32" i="4" s="1"/>
  <c r="B34" i="4" l="1"/>
  <c r="B4" i="7" a="1"/>
  <c r="C23" i="7"/>
  <c r="C15" i="7"/>
  <c r="C7" i="7"/>
  <c r="C22" i="7"/>
  <c r="C14" i="7"/>
  <c r="C6" i="7"/>
  <c r="C21" i="7"/>
  <c r="C13" i="7"/>
  <c r="C5" i="7"/>
  <c r="C20" i="7"/>
  <c r="C12" i="7"/>
  <c r="C19" i="7"/>
  <c r="C11" i="7"/>
  <c r="C4" i="7"/>
  <c r="C18" i="7"/>
  <c r="C10" i="7"/>
  <c r="C17" i="7"/>
  <c r="C9" i="7"/>
  <c r="C16" i="7"/>
  <c r="C8" i="7"/>
  <c r="H10" i="7" l="1"/>
  <c r="H8" i="7"/>
  <c r="H7" i="7" a="1"/>
  <c r="H7" i="7" s="1"/>
  <c r="H5" i="7" a="1"/>
  <c r="H5" i="7" s="1"/>
  <c r="H4" i="7" s="1"/>
  <c r="H6" i="7" a="1"/>
  <c r="H6" i="7" s="1"/>
  <c r="B20" i="7"/>
  <c r="B12" i="7"/>
  <c r="B19" i="7"/>
  <c r="B11" i="7"/>
  <c r="B4" i="7"/>
  <c r="B18" i="7"/>
  <c r="B10" i="7"/>
  <c r="B17" i="7"/>
  <c r="B9" i="7"/>
  <c r="B16" i="7"/>
  <c r="B8" i="7"/>
  <c r="B23" i="7"/>
  <c r="B15" i="7"/>
  <c r="B7" i="7"/>
  <c r="B22" i="7"/>
  <c r="B14" i="7"/>
  <c r="B6" i="7"/>
  <c r="B21" i="7"/>
  <c r="B13" i="7"/>
  <c r="B5" i="7"/>
  <c r="G10" i="7" l="1"/>
  <c r="J10" i="7" s="1"/>
  <c r="G8" i="7"/>
  <c r="J8" i="7" s="1"/>
  <c r="G6" i="7" a="1"/>
  <c r="G6" i="7" s="1"/>
  <c r="G7" i="7" a="1"/>
  <c r="G7" i="7" s="1"/>
  <c r="G5" i="7" a="1"/>
  <c r="G5" i="7" s="1"/>
  <c r="G4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700-000001000000}">
      <text>
        <r>
          <rPr>
            <sz val="10"/>
            <color rgb="FF000000"/>
            <rFont val="Arial"/>
            <family val="2"/>
            <charset val="204"/>
            <scheme val="minor"/>
          </rPr>
          <t>Можно менять тип сценария: 1, 2, 3</t>
        </r>
      </text>
    </comment>
  </commentList>
</comments>
</file>

<file path=xl/sharedStrings.xml><?xml version="1.0" encoding="utf-8"?>
<sst xmlns="http://schemas.openxmlformats.org/spreadsheetml/2006/main" count="403" uniqueCount="296">
  <si>
    <t>Аналитика</t>
  </si>
  <si>
    <t>Линейка продуктов</t>
  </si>
  <si>
    <t>Предпосылки расчетов, описание проекта</t>
  </si>
  <si>
    <r>
      <rPr>
        <b/>
        <sz val="12"/>
        <color theme="1"/>
        <rFont val="Arial"/>
        <family val="2"/>
        <charset val="204"/>
      </rPr>
      <t>Цифровые финансовые активы (ЦФА)</t>
    </r>
    <r>
      <rPr>
        <sz val="12"/>
        <color theme="1"/>
        <rFont val="Arial"/>
        <family val="2"/>
        <charset val="204"/>
      </rPr>
      <t xml:space="preserve"> - это цифровые права на различные активы, которые оформляются и учитываются с помощью технологии блокчейн или других распределенных реестров. Они являются новым инструментом для привлечения инвестиций компаниями и предоставления физлицам новых возможностей для вложения средств в цифровом формате, что делает их удобнее и быстрее, чем традиционные финансовые инструменты. </t>
    </r>
  </si>
  <si>
    <r>
      <rPr>
        <b/>
        <sz val="12"/>
        <color theme="1"/>
        <rFont val="Arial"/>
        <family val="2"/>
        <charset val="204"/>
      </rPr>
      <t>Цель работы</t>
    </r>
    <r>
      <rPr>
        <sz val="12"/>
        <color theme="1"/>
        <rFont val="Arial"/>
        <family val="2"/>
        <charset val="204"/>
      </rPr>
      <t xml:space="preserve"> - разработать концепцию и линейку продуктов на рынке токенизированных активов (ЦФА), которые смогут трансформировать традиционный финансовый рынок и привлечь широкие массы населения</t>
    </r>
  </si>
  <si>
    <t>Наш проект предлагает линейку цифровых финансовых активов (ЦФА), предназначенных специально для индустрии видеоигр. Мы выступаем в роли провайдера решений для разработчиков, предлагая им готовые инструменты для токенизации их проектов, и в роли эмитента, обеспечивая юридическую и техническую поддержку выпуска. Это создает новую экономику взаимоотношений между игроками и студиями, открывая финансовые возможности для всех участников. 
Наш продукт решает задачи: 
Для игроков: вложение времени и денег в внутриигровые предметы, которые приносят реальную финансовую отдачу.
Для разработчиков: привлечения финансирования и долгосрочное удержание и монетизация лояльной аудитории.
Уникальность нашего решения заключается в том, что мы фокусируемся на продуктах, а не на платформе: предлагаем готовые решения под конкретные нужды. Разрабатываемые продукты обладают низким порогом входа, чтобы они были понятны и доступны обычным игрокам, а не только профессиональным инвесторам. Данные ЦФА не существуют в вакууме: их ценность и функционал напрямую связаны с геймплеем и развитием конкретной игры</t>
  </si>
  <si>
    <t>*Ячейки, выделенные зеленым цветом участвуют в расчетах - их значения можно менять*</t>
  </si>
  <si>
    <t>Анализ рынка ЦФА</t>
  </si>
  <si>
    <r>
      <t xml:space="preserve">Источник: </t>
    </r>
    <r>
      <rPr>
        <u/>
        <sz val="10"/>
        <color rgb="FF1155CC"/>
        <rFont val="Arial"/>
        <family val="2"/>
        <charset val="204"/>
      </rPr>
      <t>https://xn--80a3bf.xn--p1ai/itogi-rynka-cfa-2024.html</t>
    </r>
  </si>
  <si>
    <t>Конкуренты Альфа Банка</t>
  </si>
  <si>
    <t>Анализ рынка видеоигр</t>
  </si>
  <si>
    <t>Объем целевой аудитории</t>
  </si>
  <si>
    <t>Описание</t>
  </si>
  <si>
    <t>Доля населения РФ</t>
  </si>
  <si>
    <t>Кол-во чел. (млн)</t>
  </si>
  <si>
    <t>Источник</t>
  </si>
  <si>
    <t>TAM</t>
  </si>
  <si>
    <t>Аудитория, играющая в видеоигры (на 2022 год)</t>
  </si>
  <si>
    <t>https://nafi.ru/projects/it-i-telekom/geyming-v-rossii-2022-sotsialnye-i-ekonomicheskie-effekty/</t>
  </si>
  <si>
    <t>SAM</t>
  </si>
  <si>
    <t>Аудитория, которая называет себя "геймерами"</t>
  </si>
  <si>
    <t>https://www.tadviser.ru/index.php/%D0%A1%D1%82%D0%B0%D1%82%D1%8C%D1%8F:%D0%9A%D0%BE%D0%BC%D0%BF%D1%8C%D1%8E%D1%82%D0%B5%D1%80%D0%BD%D1%8B%D0%B5_%D0%B8_%D0%B2%D0%B8%D0%B4%D0%B5%D0%BE%D0%B8%D0%B3%D1%80%D1%8B_(%D1%80%D0%BE%D1%81%D1%81%D0%B8%D0%B9%D1%81%D0%BA%D0%B8%D0%B9_%D1%80%D1%8B%D0%BD%D0%BE%D0%BA)#:~:text=%D0%9F%D1%83%D1%82%D0%B8%D0%BD%20%D0%BF%D0%BE%D0%B4%D1%87%D0%B5%D1%80%D0%BA%D0%BD%D1%83%D0%BB%20%D0%B2%D0%B0%D0%B6%D0%BD%D0%BE%D1%81%D1%82%D1%8C%20%D1%80%D0%B0%D0%B7%D0%B2%D0%B8%D1%82%D0%B8%D1%8F%20%D0%BE%D1%82%D0%B5%D1%87%D0%B5%D1%81%D1%82%D0%B2%D0%B5%D0%BD%D0%BD%D0%BE%D0%B9,%D1%82%D1%80%D0%B0%D0%B4%D0%B8%D1%86%D0%B8%D0%BE%D0%BD%D0%BD%D1%8B%D1%85%20%D1%86%D0%B5%D0%BD%D0%BD%D0%BE%D1%81%D1%82%D0%B5%D0%B9%20%D1%87%D0%B5%D1%80%D0%B5%D0%B7%20%D1%81%D0%BE%D0%B7%D0%B4%D0%B0%D0%BD%D0%B8%D0%B5%20%D0%BA%D0%BE%D0%BD%D1%82%D0%B5%D0%BD%D1%82%D0%B0.&amp;text=%D0%9F%D1%80%D0%B5%D0%B7%D0%B8%D0%B4%D0%B5%D0%BD%D1%82%20%D0%BE%D1%82%D0%BC%D0%B5%D1%82%D0%B8%D0%BB%2C%20%D1%87%D1%82%D0%BE%20%D1%80%D0%BE%D1%81%D1%81%D0%B8%D0%B9%D1%81%D0%BA%D0%B0%D1%8F%20%D0%B8%D0%BD%D0%B4%D1%83%D1%81%D1%82%D1%80%D0%B8%D1%8F,%D1%80%D0%BE%D0%BB%D1%8C%20%D0%B2%20%D0%B2%D0%BE%D1%81%D0%BF%D0%B8%D1%82%D0%B0%D0%BD%D0%B8%D0%B8%20%D0%BC%D0%BE%D0%BB%D0%BE%D0%B4%D1%8B%D1%85%20%D0%BF%D0%BE%D0%BA%D0%BE%D0%BB%D0%B5%D0%BD%D0%B8%D0%B9.</t>
  </si>
  <si>
    <t>SOM</t>
  </si>
  <si>
    <t>Доля SAM, которую хотим захватить за 3 года</t>
  </si>
  <si>
    <t>https://t-j.ru/kto-ti-gamer/?utm_referrer=https%3A%2F%2Fwww.google.com%2F</t>
  </si>
  <si>
    <r>
      <t xml:space="preserve">Источник: </t>
    </r>
    <r>
      <rPr>
        <u/>
        <sz val="10"/>
        <color rgb="FF1155CC"/>
        <rFont val="Arial"/>
        <family val="2"/>
        <charset val="204"/>
      </rPr>
      <t>https://nafi.ru/projects/it-i-telekom/geyming-v-rossii-2022-sotsialnye-i-ekonomicheskie-effekty/</t>
    </r>
  </si>
  <si>
    <t xml:space="preserve">На основании анализа статистических данных за период с 2018 по 2022 год можно констатировать устойчивый рост и значительный потенциал развития рынка видеоигр в Российской Федерации. 
По состоянию на 2022 год охват аудитории составлял 60% от общего населения страны, что равняется 88 млн человек. Из динамики роста можно заметить, что за четырехлетний период доля геймеров в России увеличилась с 18% до 60%, демонстрируя трехкратный прирост. В структуре аудитории на 2025 год выделяется ядро активных пользователей - 25 миллионов человек (17%), идентифицирующих себя как "геймеры". Также стоит отметить, что увеличилась степень осведомленности людей о киберспорте: доля респондентов, хорошо знакомых с этим понятием, увеличилась с 19% до 73%, а доля тех, кто слышит о киберспорте впервые, сократилась с 73% до 10%.
График динамики российского рынка видеоигр демонстрирует устойчивый рост на протяжении всего анализируемого периода. В 2016 году объем рынка составлял 91 млрд рублей, а по итогам 2024 года рынок составлял 173 млрд руб, прогноз на 2025 год - 200 млрд рублей. Таким образом, за 8 лет рынок видеоигр вырос практически в 2 раза, причем наибольший рост на 47% пришелся на период пандемии коронавируса.
Таким образом, российский рынок видеоигр демонстрирует значимые темпы роста, что подтверждается как показателями охвата аудитории, так и изменениями в росте рынка видеоигр. Данный рынок видеоигр в России продолжает оставаться одной из наиболее динамично развивающихся отраслей цифровой экономики с устойчивой положительной динамикой, что говорит о заинтересованности населением данной сферой и наличии потенциала к расширению.
</t>
  </si>
  <si>
    <r>
      <t xml:space="preserve">Истоник: </t>
    </r>
    <r>
      <rPr>
        <u/>
        <sz val="10"/>
        <color rgb="FF1155CC"/>
        <rFont val="Arial"/>
        <family val="2"/>
        <charset val="204"/>
      </rPr>
      <t>https://strategy.ru/research/research/analiz-rossiyskogo-i-mirovogo-rynkov-videoigr-77/</t>
    </r>
  </si>
  <si>
    <t>Потенциальные компании - патрнеры</t>
  </si>
  <si>
    <t>Выручка 2024 г. (прирост относительно 2023 г.)</t>
  </si>
  <si>
    <t>К потенциальным партнерам проекта относится 10 российских компаний-разработчиков видеоигр. Такие компании будут выступать в роли эмитента ЦФА (юр. лицо или ИП, который выпускает цифровые финансовые активы (ЦФА) для привлечения финансирования). Основным условием для возможности компании стать эмитентом - годовая выручка в размере не менее 1 млрд рублей. Для того, чтобы выпустить ЦФА компании необходимо всего лишь получить статус эмитента на платформе А-Токен (Оператор информационной системы), определить параметры размещения ЦФА и подготовить решение о выпуске. Все издержки по выпуску и размещению ЦФА берет на себя оператор. Эмитент несет издержки в размере 1,5-3% от суммы выпуска. Далее будут производиться расчеты относительно компании-эмитента, ее расходов и выручки от публикации ЦФА</t>
  </si>
  <si>
    <t>1. «Леста Игры»</t>
  </si>
  <si>
    <t>35 млрд рублей (+59,1%)</t>
  </si>
  <si>
    <t>2. Astrum Entertainment</t>
  </si>
  <si>
    <t>9,1 млрд рублей (-15,7%)</t>
  </si>
  <si>
    <t>3. Krista Games</t>
  </si>
  <si>
    <t>3,53 млрд рублей (+275,2%)</t>
  </si>
  <si>
    <t>4. Innova</t>
  </si>
  <si>
    <t>2,85 млрд рублей (+1,6%)</t>
  </si>
  <si>
    <t>5. CarX Technologies</t>
  </si>
  <si>
    <t>2,21 млрд рублей (-4,7%)</t>
  </si>
  <si>
    <t>6. «СофтКлаб»</t>
  </si>
  <si>
    <t>1,76 млрд рублей (-7,3%)</t>
  </si>
  <si>
    <t>7. FunFlow</t>
  </si>
  <si>
    <t>1,45 млрд рублей (+83%)</t>
  </si>
  <si>
    <t>8. BlackHub Games</t>
  </si>
  <si>
    <t>1,25 млрд рублей (+189%)</t>
  </si>
  <si>
    <t>9. «Крейзи Панда Рус»</t>
  </si>
  <si>
    <t>992,3 млн рублей (+24%)</t>
  </si>
  <si>
    <t>10. AbsolutSoft</t>
  </si>
  <si>
    <t>791,4 млн рублей (+24%)</t>
  </si>
  <si>
    <t>Продукт</t>
  </si>
  <si>
    <t>Тип инвестора</t>
  </si>
  <si>
    <t>Цена приобретения ЦФА при выпуске*</t>
  </si>
  <si>
    <t>Softcap** количество</t>
  </si>
  <si>
    <t>Softcap сумма (руб.)</t>
  </si>
  <si>
    <t>Hardcap*** количество</t>
  </si>
  <si>
    <t>Hardcap сумма (руб.)</t>
  </si>
  <si>
    <t>Срок размещения (мес.)</t>
  </si>
  <si>
    <t>Условие к погашению</t>
  </si>
  <si>
    <t>Количество выпусков</t>
  </si>
  <si>
    <t>% в день даты погашения</t>
  </si>
  <si>
    <t>Процент к погашению</t>
  </si>
  <si>
    <t>Дата обращения</t>
  </si>
  <si>
    <t>1. ЦФА на скины</t>
  </si>
  <si>
    <t>ЦФА, обеспеченные редкими предметами, валютами или ресурсами внутри игры. Представляет право на конкретный внутриигровой актив.</t>
  </si>
  <si>
    <t>Неквал</t>
  </si>
  <si>
    <t>В конце срока</t>
  </si>
  <si>
    <t>Ставка по 10-летним ОФЗ**** + спред 1.5% — пересматривается раз в квартал.</t>
  </si>
  <si>
    <t>https://ru.tradingeconomics.com/russia/government-bond-yield</t>
  </si>
  <si>
    <t>2. Fan-токен</t>
  </si>
  <si>
    <t>Предоставляет держателям право голоса в ключевых решениях по развитию игры и доступ к эксклюзивному контенту</t>
  </si>
  <si>
    <t>Ключевая ставка ЦБ**** РФ + 1,5% — обновляется при каждом изменении ключевой ставки.</t>
  </si>
  <si>
    <t>https://cbr.ru/hd_base/KeyRate/</t>
  </si>
  <si>
    <t>3. ЦФА на доход эмитента</t>
  </si>
  <si>
    <t>ЦФА, привязанный к годовой доходности компании-эмитента</t>
  </si>
  <si>
    <t>Квал 
(условие: сумма на инвест. счете от 12 млн руб.)</t>
  </si>
  <si>
    <t>Доходность = RUONIA + 3% — с ежемесячной капитализацией.</t>
  </si>
  <si>
    <t>https://cbr.ru/hd_base/ruonia/dynamics/</t>
  </si>
  <si>
    <t>Итог</t>
  </si>
  <si>
    <t xml:space="preserve">Ежегодное размещение </t>
  </si>
  <si>
    <t>Максимальная сумма</t>
  </si>
  <si>
    <t>*в дату погашения инвестор получает выплату в виде стоимости ЦФА и процент к погашению</t>
  </si>
  <si>
    <t>**Softcap - минимальное количество выпускаемых ЦФА и (или) предельная минимальная сумма денежных средств, передаваемых в оплату ЦФА, указанные Эмитентом в Решении о Выпуске ЦФА, по достижении которых Выпуск ЦФА признается состоявшимся (завершенным).</t>
  </si>
  <si>
    <t>***Hardcap - Максимальное количество выпускаемых ЦФА и (или) предельная сумма денежных средств, передаваемых в оплату ЦФА, указанные Эмитентом в условиях Решения о Выпуске ЦФА, по достижении которых Выпуск ЦФА признается завершенным.</t>
  </si>
  <si>
    <t>****на 30.09.205 для квалифицированных инвесторов возможно приобретение ЦФА только по фиксированным процентам, поэтому на день погашения будет выплачивать процент, установленный в день приобретения ЦФА (аналогично вкладу). 
Но если оглашенные меры 25.09.2025 главой ЦБ Эльвирой Набиулиной вступят в силу, то ставки примут плавающий характер.</t>
  </si>
  <si>
    <r>
      <rPr>
        <sz val="12"/>
        <color theme="1"/>
        <rFont val="Arial"/>
        <family val="2"/>
        <charset val="204"/>
      </rPr>
      <t xml:space="preserve">Возможность выплат по ставкам на перспективу:
Глава ЦБ Эльвира Набиуллина в своем выступлении на форуме Ассоциации банков России представила планы ЦБ по развитию рынка ЦФА: "Первая мера заключается в расширении линейки цифровых финансовых активов для </t>
    </r>
    <r>
      <rPr>
        <b/>
        <sz val="12"/>
        <color theme="1"/>
        <rFont val="Arial"/>
        <family val="2"/>
        <charset val="204"/>
      </rPr>
      <t>неквалифицированных</t>
    </r>
    <r>
      <rPr>
        <sz val="12"/>
        <color theme="1"/>
        <rFont val="Arial"/>
        <family val="2"/>
        <charset val="204"/>
      </rPr>
      <t xml:space="preserve"> инвесторов. В ближайшее время мы планируем направить в Министерство юстиции указание, согласно которому с 1 января следующего года неквалифицированные инвесторы получат возможность приобретать цифровые финансовые активы. Доходность таких активов будет </t>
    </r>
    <r>
      <rPr>
        <b/>
        <sz val="12"/>
        <color theme="1"/>
        <rFont val="Arial"/>
        <family val="2"/>
        <charset val="204"/>
      </rPr>
      <t>зависеть от базовой ставки Банка России и других индикаторов денежного рынка</t>
    </r>
    <r>
      <rPr>
        <sz val="12"/>
        <color theme="1"/>
        <rFont val="Arial"/>
        <family val="2"/>
        <charset val="204"/>
      </rPr>
      <t>, включая так называемые плавающие ставки."</t>
    </r>
  </si>
  <si>
    <r>
      <t xml:space="preserve">Источник: </t>
    </r>
    <r>
      <rPr>
        <u/>
        <sz val="10"/>
        <color rgb="FF1155CC"/>
        <rFont val="Arial"/>
        <family val="2"/>
        <charset val="204"/>
      </rPr>
      <t>https://www.finam.ru/publications/item/tsb-sovmestno-s-uchastnikami-rynka-tsfa-opredelil-shagi-po-ego-razvitiyu-20250925-1643/</t>
    </r>
  </si>
  <si>
    <t>Предпосылки для расчёта Cash-flow</t>
  </si>
  <si>
    <t>Характер активности аудитории</t>
  </si>
  <si>
    <t>Обоснование</t>
  </si>
  <si>
    <t>1 год</t>
  </si>
  <si>
    <t>2 год</t>
  </si>
  <si>
    <t>Сценарий 1 (Оптимистичный)</t>
  </si>
  <si>
    <t>Органический, устойчивый спрос. Покупка ЦФА происходит в спокойном темпе без активного стимулирования со стороны эмитента.</t>
  </si>
  <si>
    <t>Глобальный тренд: мировой рост токенизации активов.
Российский рынок: во II квартале 2025 г. объем ЦФА в обращении вырос на 86,1% по сравнению с началом года, что свидетельствует о высокой динамике рынка.</t>
  </si>
  <si>
    <t>Ранние последователи: аудитория, совмещающая паттерны поведения: активное времяпровождение в играх и совершение сделок на финансовом рынке (24%) - исследование команды.</t>
  </si>
  <si>
    <t>Естественный рост: укрепление позиций "специфических" ЦФА (Fan-токены, ЦФА на игровые предметы) и общий рост популярности класса активов.</t>
  </si>
  <si>
    <t>https://ict.moscow/analytics/mezhdunarodnyi-opyt-tokenizatsii-aktivov/
https://bosfera.ru/press-release/rossiyskiy-rynok-cfa-rezko-vyros-v-2025-godu</t>
  </si>
  <si>
    <t xml:space="preserve">Сценарий 2 </t>
  </si>
  <si>
    <t>Умеренный рост после начального этапа адаптации.</t>
  </si>
  <si>
    <t>Сочетание органического спроса и точечных маркетинговых усилий.</t>
  </si>
  <si>
    <t xml:space="preserve">Поведение аудитории аналогично пессимистичному сценарию, но компания несет минимальные издержки на пиар компании. </t>
  </si>
  <si>
    <t>Сценарий 3 (Пессимистичный)</t>
  </si>
  <si>
    <t>Вялый, инертный спрос. Требуется постоянное "подогревание" интереса через PR-кампании и доказательство инвестиционной привлекательности ЦФА в игровой индустрии.</t>
  </si>
  <si>
    <t>Высокие барьеры: скептицизм аудитории, низкая осведомленность.
Необходимость инвестиций в просвещение: требуются значительные ресурсы для формирования спроса.</t>
  </si>
  <si>
    <t>Низкая конверсия, ядро — квалифицированные инвесторы. Преимущественно покупки со стороны профессиональных инвесторов, понимающих продукт. Выплата по ЦФА на скины не предполагается, в пессимистичном варианте инвестор получает физический продукт.</t>
  </si>
  <si>
    <t>Постепенное подключение игровой аудитории. Рост возможен только после продолжительных разъяснительных и маркетинговых кампаний. Делигирование задач по аналитике и маркетингу основным отделам компании через полгода.</t>
  </si>
  <si>
    <t>Конверсия рынка ЦФА</t>
  </si>
  <si>
    <t>Тип</t>
  </si>
  <si>
    <t>Процент</t>
  </si>
  <si>
    <t>Конверсия приобретения ЦФА в месяц (Оптимистичный сценарий)</t>
  </si>
  <si>
    <t>Предполагаем, что спрос на скины и участие в закрытом сообществе разработчика одинаковы. А ЦФА на доход эмитента для квальных инвесторов выше на 2%.</t>
  </si>
  <si>
    <t>Конверсия приобретения ЦФА в месяц (Пессимистичный сценарий)</t>
  </si>
  <si>
    <t>Конверсия приобретения ЦФА в месяц после PR компаний</t>
  </si>
  <si>
    <t>Применяются затраты из списка (одна статья расходов или все): 
Контент и образование 1
Контент и образование 2
PR и репутационные активности 1</t>
  </si>
  <si>
    <t>Конверсия приобретения ЦФА в месяц после масштабных мероприятий (конференции, фесты)</t>
  </si>
  <si>
    <t>Применяются затраты из списка (От 3х статей): 
Контент и образование 1
Контент и образование 2
PR и репутационные активности 1
Контент и образование 3
PR и репутационные активности 2</t>
  </si>
  <si>
    <t>Ежегодный рост рынка</t>
  </si>
  <si>
    <t>https://strategy.ru/research/research/analiz-rossiyskogo-i-mirovogo-rynkov-videoigr-77/</t>
  </si>
  <si>
    <t>Доля выбора внутриигрового актива после даты погашения ЦФА на скины</t>
  </si>
  <si>
    <t>Учет сезонных колебаний рынка</t>
  </si>
  <si>
    <t>Сезон</t>
  </si>
  <si>
    <t>Сезонный коэффициент</t>
  </si>
  <si>
    <t>Действия</t>
  </si>
  <si>
    <t>Осень</t>
  </si>
  <si>
    <t>Возвращение к активной жизни: окончание летних каникул способствует возвращению аудитории к хобби. «Осенний игровой сезон»: период ключевых релизов крупных игровых проектов, что резко повышает вовлеченность в индустрию. Экономический подъем: деловая активность после летнего затишья.</t>
  </si>
  <si>
    <t>Активно анонсировать новые продукты, выстраивая параллель с главными игровыми релизами (ЦФА на скины в оборот).</t>
  </si>
  <si>
    <t>Зима</t>
  </si>
  <si>
    <t>Новогодние праздники и каникулы: увеличение свободного времени, традиционный период для игр. Зимние распродажи: пик активности в цифровых магазинах и в игровых кабинетах. Психология трат: праздничное настроение повышает склонность аудитории к покупкам и инвестициям.</t>
  </si>
  <si>
    <t>Запуск специальных новогодних предложений и интеграций с крупными распродажами (ЦФА на скины в оборот).</t>
  </si>
  <si>
    <t>Весна</t>
  </si>
  <si>
    <t>После зимнего пика происходит постепенная стабилизация активности. Аудитория сохраняет высокую вовлеченность, но траты становятся более рациональными. Начинается подготовка к летнему сезону, что создает спрос на мобильные и кроссплатформенные игровые решения</t>
  </si>
  <si>
    <t>Акцент на проекты, доступные с разных устройств, особенно мобильные. Разработка и тестирование специальных летних активностей и ивентов.</t>
  </si>
  <si>
    <t>Лето</t>
  </si>
  <si>
    <t>Сезон отпусков и путешествий: снижение времени, проводимого за компьютером. Смещение фокуса: активный отдых на свежем воздухе конкурирует с цифровыми развлечениями. Общее замедление деловой активности.</t>
  </si>
  <si>
    <t>Сфокусироваться на стратегическом планировании, аналитике и удержании лояльной аудитории.</t>
  </si>
  <si>
    <t>Ценность для одной аудитории: Оба продукта ориентированы на одну целевую группу — геймеров и фанатов проекта. Для них ценность представляет как внутриигровая атрибутика (скины), так и эксклюзивный статус и близость к разработчику.
Обоснование более высокого спроса на ЦФА с доходом для квалов:
Разная мотивация: Квалифицированные инвесторы руководствуются финансовой логикой, а не эмоциями.
Этот продукт для них — дополнительный инструмент диверсификации с расчетной доходностью, что автоматически формирует более высокий и предсказуемый спрос по сравнению с высокорисковыми "игровыми" активами.</t>
  </si>
  <si>
    <t>Предполагает стандартную маркетинговую активность (соцсети, email-рассылки) без крупных событий. Основана на типичных показателях конверсии для сложных финансовых продуктов среди узкой, но заинтересованной аудитории.</t>
  </si>
  <si>
    <t>PR-кампании в игровых СМИ и блогах повышают узнаваемость и доверие к эмитенту, что может мотивировать дополнительных 2% колеблющихся пользователей совершить сделку.</t>
  </si>
  <si>
    <t>Участие в крупных конференциях (например, IgroMir) или фестивалях позволяет напрямую взаимодействовать с ядром аудитории, проводить презентации и отвечать на вопросы. Это резко повышает доверие и мотивацию к инвестированию, удваивая базовую конверсию.</t>
  </si>
  <si>
    <t>Другие данные для расчетов</t>
  </si>
  <si>
    <t>Инфляция</t>
  </si>
  <si>
    <t>Премия за риск</t>
  </si>
  <si>
    <t>Ставка дисконтирования</t>
  </si>
  <si>
    <t>Источники</t>
  </si>
  <si>
    <t>На 2025</t>
  </si>
  <si>
    <t>Используется дисконтирование суммы выплаты для эмитента, так как стоимость, за которую бриобретают люди ЦФА сегодня будет отличаться от стоимости выплаты эмитентом в будущем</t>
  </si>
  <si>
    <t>https://cbr.ru/Content/Document/File/179982/forecast_250725.pdf</t>
  </si>
  <si>
    <t>На 2026</t>
  </si>
  <si>
    <t>На 2027</t>
  </si>
  <si>
    <t>Перечень расходов эмитента, необходимых для выпуска ЦФА</t>
  </si>
  <si>
    <t>Статья расходов эмитента</t>
  </si>
  <si>
    <t>Сумма (мин) р./мес.</t>
  </si>
  <si>
    <t>Сумма (макс) р./мес.</t>
  </si>
  <si>
    <t>Комментарий</t>
  </si>
  <si>
    <t>Ссылка</t>
  </si>
  <si>
    <t>Ежемесячные</t>
  </si>
  <si>
    <t xml:space="preserve">Настройка сквозной аналитики (от клика до покупки ЦФА)
A/B-тестирование описаний, CTA-кнопок, исследование аудитории (NPS, опросы)
</t>
  </si>
  <si>
    <t xml:space="preserve">Минимальная сумма назначена в виде делегирования проекта на аналитиков компании разработчика. Максимальная - в случае, если необходима более глубокая аналитика, в частности дополнительное отвественное лицо. </t>
  </si>
  <si>
    <t>https://ppc.world/articles/skolko-zarabatyvayut-digital-specialisty-v-2025-godu/</t>
  </si>
  <si>
    <t>В рядовых расходах компании работает как доп проект</t>
  </si>
  <si>
    <t>Интернет-маркетинг</t>
  </si>
  <si>
    <t>Разработка рекламы, работа с таргетингом (бывшим инвесторам), одобрение рекламных материалов compliance-службой</t>
  </si>
  <si>
    <t xml:space="preserve">Минимальная сумма назначена в виде делегирования проекта на отдел маркетинга. Максимальная - в случае, если необходимо дополнительное отвественное лицо. </t>
  </si>
  <si>
    <t>Юридическая и экономическая подготовка</t>
  </si>
  <si>
    <t xml:space="preserve">Расчет эффектов выпуска ЦФА, расчёт потенциальных угроз, подготовка документов и материалов
</t>
  </si>
  <si>
    <t>Минимальная сумма назначена в виде делегирования задач на юридические и финансовые отделы. Максимальная - в случае, если необходимо обращение к компетенм лицам для решения юридических споров в отрасли.</t>
  </si>
  <si>
    <t>https://abp.legal/gaming</t>
  </si>
  <si>
    <t>Ежеквартальные</t>
  </si>
  <si>
    <t>Контент и образование 1</t>
  </si>
  <si>
    <t xml:space="preserve">Статьи в гейм-блогах и в финансовых журналах
</t>
  </si>
  <si>
    <t>Бесплатную публикация разработчиком на VC, TJ, в отраслевых журналах и гейм-медиа
И платную публикацию на гейм-медиа (например, Igromania, StopGame), онлайн издания (Ведомости, РБК, Forbes) и в отраслевых журналах с подпиской</t>
  </si>
  <si>
    <t>https://9writer.ru/ceny
https://itiriy.ru/uslugi/publikacii-v-smi-i-media/</t>
  </si>
  <si>
    <t>Контент и образование 2</t>
  </si>
  <si>
    <t>Вебинары с аналитиками и разработчиками</t>
  </si>
  <si>
    <t>Минимальная сумма - затраты входят в рядовые расходы компании (подготовка материалов, аудитории, фона, договоеренности с инфлюенсирами и журналистами). 
Максимальная сумма - в случае покупкиинтервью в именитых блогах, каналах</t>
  </si>
  <si>
    <t>PR и репутационные активности 1</t>
  </si>
  <si>
    <t>Пресс-релизы о запуске/объёмах</t>
  </si>
  <si>
    <t>Затраты входят в рядовые расходы компании. Пресс-релизы возможны как в онлайн-изданиях, так и в личных блогах разработчиков.</t>
  </si>
  <si>
    <t xml:space="preserve">Ежегодные </t>
  </si>
  <si>
    <t>Контент и образование 3</t>
  </si>
  <si>
    <t>Демонстрация интеграции ЦФА в игровой продукт на гейм-фестах</t>
  </si>
  <si>
    <t>Затраты входят в рядовые расходы компании.
Если разработчику необходимо продемонстрировать работу ЦФА и его интегрированность в игру, то требуются расходы на создание материала (стенды, видеоролики, мерч и игровая продукция).</t>
  </si>
  <si>
    <t>https://docs.360.yandex.ru/docs/view?url=ya-disk-public%3A%2F%2FDePEsIzVLGgGKUrhXOG0MIYoNuifNgNT4NIGTIouGwfl61UvWkQJD7XFn%2BMs5Cw3DqZvSgIch5AN9ddz7ydViQ%3D%3D&amp;name=Пакеты%20Игропром%20без%20нум.pdf
https://russianventureforum.ru/expo</t>
  </si>
  <si>
    <t>PR и репутационные активности 2</t>
  </si>
  <si>
    <t>Выступления на конференциях (РИФ, ФинУТР и др.)</t>
  </si>
  <si>
    <t>Дополнительные компании по расширению понимания интеграции ЦФА в внутриигровые процессы. Предлагается стоимость от выступления на конференции до статуса ген.партнёра и использования доп. услуг по привлечению аудитории</t>
  </si>
  <si>
    <t>https://static.cnews.ru/img/cnews/2024/12/24/conf2025.pdf</t>
  </si>
  <si>
    <t xml:space="preserve">Разовые </t>
  </si>
  <si>
    <t>Интеграция Alfa ID в платформу покупки внутриигровых продуктов</t>
  </si>
  <si>
    <t xml:space="preserve">Интеграция игрового клиента с внешней системой Alfa ID через API </t>
  </si>
  <si>
    <t>Комиссии ИС</t>
  </si>
  <si>
    <t>Внесение в Систему записи о цифровых финансовых активах, выпущенных (размещенных) Эмитентом</t>
  </si>
  <si>
    <t>От суммы сделки</t>
  </si>
  <si>
    <t>В дату выпуска (размещения) ЦФА
НДС не облагается</t>
  </si>
  <si>
    <t>Тарифы
оператора информационной системы
АО «АЛЬФА-БАНК»
по операциям, связанным с выпуском, учетом и обращением цифровых финансовых активов
(редакция от 15 июля 2025)</t>
  </si>
  <si>
    <t>Внесение записи в Систему о досрочном прекращении (погашении) Эмитентом обязательств, удостоверенных цифровыми финансовыми активами</t>
  </si>
  <si>
    <t>Комиссия не установлена</t>
  </si>
  <si>
    <t>Лежит внутри услуг от Оператора</t>
  </si>
  <si>
    <t>Доступ Эмитента к Системе</t>
  </si>
  <si>
    <t>Формирование выписок, справок, реестров, уведомлений</t>
  </si>
  <si>
    <t>Экстраординарные затраты</t>
  </si>
  <si>
    <t>Налог на прибыль</t>
  </si>
  <si>
    <t>Налоговый кодекс Российской Федерации (часть вторая)" от 05.08.2000 N 117-ФЗ (ред. от 31.07.2025) (с изм. и доп., вступ. в силу с 01.09.2025)</t>
  </si>
  <si>
    <t>Возможные меры поддержки, в случае 3 сценария</t>
  </si>
  <si>
    <t>ИРИ гранты</t>
  </si>
  <si>
    <t>Реализация год</t>
  </si>
  <si>
    <t>Вертикальный срез - до 7,5 млн. руб. Демо версия – до 15 млн. руб.</t>
  </si>
  <si>
    <t>https://ири.рф/contests/otbor-prototipov-igr/</t>
  </si>
  <si>
    <t>Акредитация в Минцифры</t>
  </si>
  <si>
    <t>Снижение страховых взносов</t>
  </si>
  <si>
    <t>https://digital.gov.ru/activity/gos-uslugi/akkreditacziya-it-kompanij</t>
  </si>
  <si>
    <t>Расчет Cash-Flow для Сценария 1 (оптимистичный)</t>
  </si>
  <si>
    <t>Период (мес.)</t>
  </si>
  <si>
    <t xml:space="preserve">Сезонность </t>
  </si>
  <si>
    <t>Лимит суммы выпуска ЦФА</t>
  </si>
  <si>
    <t>Накопленная сумма к выплате</t>
  </si>
  <si>
    <t>Сумма к выплате по ЦФА на скины</t>
  </si>
  <si>
    <t>Сумма к выплате по Fan-токенам</t>
  </si>
  <si>
    <t>Сумма к выплате по классическим ЦФА</t>
  </si>
  <si>
    <t>Количество купленных ЦФА</t>
  </si>
  <si>
    <t>Количество купленных ЦФА на скины</t>
  </si>
  <si>
    <t>Количество купленных Fan-токенов</t>
  </si>
  <si>
    <t>Количество купленных классических ЦФА</t>
  </si>
  <si>
    <t>Сумма приобретенных ЦФА</t>
  </si>
  <si>
    <t>Выплата ЦФА</t>
  </si>
  <si>
    <t>Комиссия Оператора</t>
  </si>
  <si>
    <t>Сумма издержек</t>
  </si>
  <si>
    <t>Прибыль до налогооблажения</t>
  </si>
  <si>
    <t>Чистая прибыль</t>
  </si>
  <si>
    <t>Прибыль за 3 года</t>
  </si>
  <si>
    <t>Расчет Cash-Flow для Сценария 2 (нейтральный)</t>
  </si>
  <si>
    <t>Расчет Cash-Flow для Сценария 3 (пессимистичный)</t>
  </si>
  <si>
    <t>Сумма к выплате</t>
  </si>
  <si>
    <t>Свод различных сценариев Cash-Flow</t>
  </si>
  <si>
    <t>Чистая прибыль по сценариям</t>
  </si>
  <si>
    <t>Месяц</t>
  </si>
  <si>
    <t>Сценарий 1</t>
  </si>
  <si>
    <t>Сценарий 2</t>
  </si>
  <si>
    <t>Сценарий 3</t>
  </si>
  <si>
    <t>IRR</t>
  </si>
  <si>
    <t>NPV (ставка ЦБ)</t>
  </si>
  <si>
    <t>NPV (RUONIA)</t>
  </si>
  <si>
    <t>NPV (по ОФЗ)</t>
  </si>
  <si>
    <t>Unit-экономика</t>
  </si>
  <si>
    <t>Выбор сценария 
(можно выбрать: 1, 2 или 3)</t>
  </si>
  <si>
    <t>CAC</t>
  </si>
  <si>
    <t>LTV</t>
  </si>
  <si>
    <t>LTV-CAC</t>
  </si>
  <si>
    <t>UA</t>
  </si>
  <si>
    <t>CTR</t>
  </si>
  <si>
    <t>CR</t>
  </si>
  <si>
    <t>ARPPU</t>
  </si>
  <si>
    <t>APC</t>
  </si>
  <si>
    <t>AvP</t>
  </si>
  <si>
    <t>CPA</t>
  </si>
  <si>
    <t>MR</t>
  </si>
  <si>
    <t>ЦФА на скины</t>
  </si>
  <si>
    <t>При расчетах Cash-flow было допущение, что каждый инвестор уникальный (покупает по одному ЦФА).</t>
  </si>
  <si>
    <t>При расчетах Cash-flow было допущение, что конверсия после рекламы и пиар компаний является задаваемой переменной.</t>
  </si>
  <si>
    <t>В нашем сценарии: 1 инвестор = 1 покупка ЦФА.</t>
  </si>
  <si>
    <t>Fan-токен</t>
  </si>
  <si>
    <t>Классический ЦФА</t>
  </si>
  <si>
    <t xml:space="preserve"> </t>
  </si>
  <si>
    <t xml:space="preserve">Источник: </t>
  </si>
  <si>
    <t>https://xn--80a3bf.xn--p1ai/cfa-tokenizacia.html</t>
  </si>
  <si>
    <t>Предполагаемые выгоды, эффекты и дальнейшие действия</t>
  </si>
  <si>
    <t xml:space="preserve">Максимальная прибыль </t>
  </si>
  <si>
    <t xml:space="preserve">Максимальная сумма издержек с учетом выплат </t>
  </si>
  <si>
    <t>Общие максимальные значения</t>
  </si>
  <si>
    <t>Основные выводы:</t>
  </si>
  <si>
    <t>Сценарий 3 является убыточным: IRR = 0 %, NPV отрицателен при всех ставках дисконтирования (от –1,79 млн до –2,02 млн руб.). Здесь применяется использование дополнительных рычагов по привлечению аудитории, что увеличивает издержки на ведение проекта.</t>
  </si>
  <si>
    <t xml:space="preserve">Сценарий 1 (оптимистичный) демонстрирует высокую инвестиционную привлекательность: IRR = 23 %, положительные значения NPV при всех используемых ставках дисконтирования (от 1,45 млн до 1,63 млн руб.). </t>
  </si>
  <si>
    <t xml:space="preserve">Сценарий 2 экономически менее эффективен: IRR = 1 %, NPV положителен, но значительно ниже (от 0,79 млн до 0,91 млн руб.). Здесь допускается активность аудитории на уровне пессимистичного сценария, но отсутсвие использования дополнительных финансов для увеличения привлекательности продуктов. </t>
  </si>
  <si>
    <t>Максимальная прибыль одинакова во всех сценариях (639 654 руб.), что указывает на единый потенциальный доход от проекта независимо от выбранного сценария. Следовательно, различия в финансовых результатах обусловлены не доходами, а структурой и объёмом издержек.</t>
  </si>
  <si>
    <t>Наибольшие суммарные издержки с учётом выплат зафиксированы в Сценарии 2 (–5 942 983 руб.), несмотря на то, что он менее прибылен по NPV, чем Сценарий 1.</t>
  </si>
  <si>
    <t>Наименьшие издержки — в Сценарии 3 (–4 522 695 руб.), однако даже при этом проект оказывается убыточным по NPV, что может свидетельствовать о неэффективном распределении ресурсов или недостаточном объёме привлечённых инвестиций.</t>
  </si>
  <si>
    <t>Основные выводы</t>
  </si>
  <si>
    <t>Рекомендация: в Сценарии 3 нецелесообразна без кардинальной переработки бизнес-модели — в частности, снижения фиксированных затрат и ориентация на большие пиар-компании для повышения конверсии или пересмотра условий привлечения неквалифицированных инвесторов. В текущем виде сценарий следует рассматривать как стресс-тест на устойчивость к неблагоприятным рыночным условиям.</t>
  </si>
  <si>
    <t>Предполагается, что каждый инвестор совершает одну покупку (1 клиент = 1 ЦФА), что упрощает расчёт, но консервативно занижает LTV (реинвестирование не учитывается).</t>
  </si>
  <si>
    <t>В отличие от Сценариев 2 и 3, в Сценарии 1 не предусмотрены дополнительные регулярные расходы на интернет-маркетинг, PR и образовательный контент. Это означает, что привлечение инвесторов происходит органически или через партнёрские/платформенные каналы (например, через интеграцию с Alfa ID и игровые платформы).</t>
  </si>
  <si>
    <t>CAC здесь отражает только операционные издержки на оформление и обслуживание сделки, а не рекламу.</t>
  </si>
  <si>
    <t>Повышенный CAC (по сравнению с Сценарием 1) косвенно отражает более высокую стоимость привлечения. Это связано с менее «горячим» интересом аудитории (предпосылка, которую мы заложили в сценарий), требующим дополнительных усилий (например, через платформенные комиссии, партнёрские бонусы или лёгкий PR).</t>
  </si>
  <si>
    <t>Данный сценарий предполагает активное привлечение аудитории через пиар-компании. Поэтому получается очень высокий CAC (выше LTV). Здесь лучший фокус - снижение фиксированных издержек и направление затрат на более эффективные каналы привлечения аудитории.</t>
  </si>
  <si>
    <t>В рамках оптимистичного сценария проект показывает наилучшие результаты. Он предполагает наличие  устойчивого спроса на ЦФА, который не требует значительных маркетинговых затрат на пиар и "подогрев" аудитории. Выплаты по трем типам инструментов (ЦФА на скины, Fan-токены, классические ЦФА) распределены неравномерно (из-за условий), но суммарно соответствуют лимиту выпуска. Высокая месячная конверсия (0,14%) и уверенный рост рынка, подкрепленный глобальным трендом на токенизацию, позволяют достичь максимальной прибыли. Наибольшие выплаты приходятся на классические ЦФА, доминирование этого типа инструмента в портфеле объясняется спросом со стороны квалифицированных инвесторов на данный вид актива и рост привлекательности инвестиций в специфический рынок (видеоигровая индустрия). 
Этот сценарий характеризуется низкими рисками и высокой рентабельностью, так как основные издержки приходятся не на привлечение клиентов, а на операционную деятельность. Проект оказывается финансово состоятельным и крайне привлекательным для реализации.</t>
  </si>
  <si>
    <t>Нейтральный сценарий показывает более сбалансированные и близкие к реалиям результаты. Рост спроса здесь является умеренным и достигается за счет комбинации органики и точечных маркетинговых усилий. Конверсия находится на среднем уровне между оптимистичным и пессимистичным прогнозами. Хотя классические ЦФА по-прежнему лидируют по объему выплат, наблюдается более равномерное распределение интереса между всеми типами активов. Для достижения целевых финансовых показателей в этом сценарии уже требуются системные вложения в PR, контент и образование. Прибыль проекта является устойчивой, но для ее максимизации необходим четкий контроль над издержками и эффективностью маркетинговых кампаний. Этот сценарий можно считать базовым для планирования, так как он учитывает вероятные барьеры на пути быстрого роста, но не предполагает кризисных явлений.</t>
  </si>
  <si>
    <t>Пессимистичный сценарий раскрывает основные уязвимости проекта. Он описывает ситуацию вялого, инертного спроса, при котором для привлечения инвесторов требуются постоянные и значительные усилия по просвещению аудитории и доказательству инвестиционной привлекательности ЦФА в игровой индустрии. Низкая начальная конверсия (0,07%) и высокие барьеры в виде недоверия пользователей приводят к тому, что на старте ядро покупателей составляют почти исключительно квалифицированные инвесторы. Массовая игровая аудитория подключается медленно и только после продолжительных разъяснительных работ. В этих условиях прибыль проекта минимальна, а срок окупаемости значительно увеличивается. Для успеха в таком сценарии критически важныдополнительные меры поддержки и акцент на стратегическом планировании и анализе, а не на агрессивных продажах. Этот сценарий демонстрирует, что без сформированного рыночного спроса проект сталкивается с серьезными финансовыми вызовами. При таком сценарии проект генерирует значительные убытки, что делает его непривлекательным для инвестирования.</t>
  </si>
  <si>
    <t>В 2024 году объем рынка цифровых финансовых активов (ЦФА) значительно увеличился. Если в 2023 году он составлял 60 млрд рублей, то в 2024 году достиг 346,5 млрд рублей. В 2024 г. объемы рынка ЦФА существенно выросли благодаря активному выходу на рынок
как крупных эмитентов, так и небольших компаний. В течение года объем первичных размещений
ЦФА вырос почти в 9 раз и составил 594 млрд рублей.
В 2024 г. объемы размещений на рынке ЦФА существенно вырос благодаря активному выходу на рынок как крупных эмитентов, так и небольших компаний. В течение года объем первичных размещений ЦФА вырос почти в 9 раз и составил 594 млрд рублей. Лидером по количеству выпусков стала платформа А-Токен - 247 выпусков. На втором месте Сбербанк- 73 выпуска, а третье место занял Атомайз- 72 выпуска.
По объему размещений лидером стала платформа Мастерчейн- 112,2 млрд рублей, на втором месте Сбербанк-82,7 млрд рублей, на третьем А-Токен- 69,2 млрд рублей.
Таким образом, рынок ЦФА - это активно развивающаяся отрасль, имеющая большой потенциал. Эксперты отмечают, что рынок токенизированных активов еще не успел сформироваться ни в одной стране. Именно поэтому у него огромные перспективы. При этом на прогресс рынка способна позитивно повлиять не только открытость финсистемы, но и ее устойчивость.
Еще более позитивное мнение высказывают другие эксперты: они предполагают, что объем отечественного «цифрового» рынка к следующему десятилетию достигнет суммы, превышающей 25 трлн рублей. На сегодняшний день специалист оценивает его объемы в пределах 20 млрд рублей.</t>
  </si>
  <si>
    <t>https://www.cbr.ru/Collection/Collection/File/55196/review_2024.pdf</t>
  </si>
  <si>
    <t>*Доля 5% населения - экспертная оценка авторов, основанная на показателях роста рынка ЦФА и индустрии видеоигр, а также на собственном проведенном исследовании среди любителей видеоигр, который показал высокую заинтересованность людей в инвестировании через видеоигры (около 50% от числа опрошенных)</t>
  </si>
  <si>
    <t>Обоснование LTV</t>
  </si>
  <si>
    <t>Данный продукт характеризуется одноразовой или кратковременной моделью потребления. Игрок совершает покупку 1-2 раза, после чего теряет интерес к продукту. (Поэтому предполагаем, что на данный продукт по одному уникальному пользователю).</t>
  </si>
  <si>
    <t>Продукт основан на эмоциональной привязанности и долгосрочной вовлеченности с сообществом (разработчики и игроманы). Это мотивирует играющих на повторные покупки (голосования, эксклюзивный контент) и способствует более длительному удержанию по сравнению со скинами. (Предполагаем, что один пользователь делает в среднемоколо 2 покупок данного ЦФА)</t>
  </si>
  <si>
    <t>Классический ЦФА обладает инвестиционной ценностью. Держатели приобретают актив не для разовой операции, а для долгосрочного хранения и диверсификации портфеля с целью получения процентов или роста курсовой стоимости. Это создает максимально длинный жизненный цикл клиента и постоянный поток комиссий за покупку ЦФА. (Предполагаем, что в среднем каждый инвестор приобретает новый ЦФА каждый выпуск ~ 3).</t>
  </si>
  <si>
    <t>В нашем случае "действием" является покупка ЦФА. Тогда CPA будет равен CAC.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</si>
</sst>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(#,##0\)"/>
    <numFmt numFmtId="165" formatCode="0.0%"/>
    <numFmt numFmtId="166" formatCode="dd\.mm\.yyyy"/>
  </numFmts>
  <fonts count="41" x14ac:knownFonts="1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b/>
      <sz val="16"/>
      <color theme="1"/>
      <name val="Arial"/>
      <family val="2"/>
      <charset val="204"/>
      <scheme val="minor"/>
    </font>
    <font>
      <sz val="10"/>
      <name val="Arial"/>
      <family val="2"/>
      <charset val="204"/>
    </font>
    <font>
      <sz val="12"/>
      <color theme="1"/>
      <name val="Arial"/>
      <family val="2"/>
      <charset val="204"/>
      <scheme val="minor"/>
    </font>
    <font>
      <sz val="14"/>
      <color theme="1"/>
      <name val="Arial"/>
      <family val="2"/>
      <charset val="204"/>
      <scheme val="minor"/>
    </font>
    <font>
      <b/>
      <sz val="14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b/>
      <sz val="12"/>
      <color theme="1"/>
      <name val="Arial"/>
      <family val="2"/>
      <charset val="204"/>
      <scheme val="minor"/>
    </font>
    <font>
      <b/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u/>
      <sz val="11"/>
      <color rgb="FF000000"/>
      <name val="Arial"/>
      <family val="2"/>
      <charset val="204"/>
    </font>
    <font>
      <u/>
      <sz val="10"/>
      <color rgb="FF0000FF"/>
      <name val="Arial"/>
      <family val="2"/>
      <charset val="204"/>
    </font>
    <font>
      <u/>
      <sz val="12"/>
      <color rgb="FF000000"/>
      <name val="Arial"/>
      <family val="2"/>
      <charset val="204"/>
    </font>
    <font>
      <u/>
      <sz val="12"/>
      <color rgb="FF000000"/>
      <name val="Arial"/>
      <family val="2"/>
      <charset val="204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u/>
      <sz val="11"/>
      <color rgb="FF0000FF"/>
      <name val="Arial"/>
      <family val="2"/>
      <charset val="204"/>
    </font>
    <font>
      <u/>
      <sz val="11"/>
      <color rgb="FF0000FF"/>
      <name val="Arial"/>
      <family val="2"/>
      <charset val="204"/>
    </font>
    <font>
      <b/>
      <sz val="11"/>
      <color rgb="FF000000"/>
      <name val="Arial"/>
      <family val="2"/>
      <charset val="204"/>
      <scheme val="minor"/>
    </font>
    <font>
      <sz val="11"/>
      <color rgb="FF000000"/>
      <name val="Arial"/>
      <family val="2"/>
      <charset val="204"/>
      <scheme val="minor"/>
    </font>
    <font>
      <u/>
      <sz val="11"/>
      <color rgb="FF000000"/>
      <name val="Arial"/>
      <family val="2"/>
      <charset val="204"/>
    </font>
    <font>
      <u/>
      <sz val="11"/>
      <color rgb="FF000000"/>
      <name val="Arial"/>
      <family val="2"/>
      <charset val="204"/>
    </font>
    <font>
      <u/>
      <sz val="11"/>
      <color rgb="FF000000"/>
      <name val="Arial"/>
      <family val="2"/>
      <charset val="204"/>
    </font>
    <font>
      <u/>
      <sz val="11"/>
      <color rgb="FF000000"/>
      <name val="Arial"/>
      <family val="2"/>
      <charset val="204"/>
    </font>
    <font>
      <sz val="15"/>
      <color rgb="FF000000"/>
      <name val="Arial"/>
      <family val="2"/>
      <charset val="204"/>
      <scheme val="minor"/>
    </font>
    <font>
      <b/>
      <sz val="15"/>
      <color rgb="FF000000"/>
      <name val="Arial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u/>
      <sz val="10"/>
      <color rgb="FF1155CC"/>
      <name val="Arial"/>
      <family val="2"/>
      <charset val="204"/>
    </font>
    <font>
      <sz val="11"/>
      <name val="Arial"/>
      <family val="2"/>
      <charset val="204"/>
    </font>
    <font>
      <u/>
      <sz val="10"/>
      <color theme="10"/>
      <name val="Arial"/>
      <family val="2"/>
      <charset val="204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0"/>
      <color rgb="FF0F1115"/>
      <name val="Segoe UI"/>
      <family val="2"/>
      <charset val="204"/>
    </font>
    <font>
      <sz val="10"/>
      <color rgb="FF0F1115"/>
      <name val="Segoe UI"/>
      <family val="2"/>
      <charset val="204"/>
    </font>
    <font>
      <b/>
      <sz val="8"/>
      <color rgb="FF000000"/>
      <name val="Arial"/>
      <family val="2"/>
      <charset val="204"/>
      <scheme val="minor"/>
    </font>
    <font>
      <sz val="16"/>
      <color theme="1"/>
      <name val="Arial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theme="8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269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9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0" fontId="4" fillId="2" borderId="0" xfId="0" applyFont="1" applyFill="1"/>
    <xf numFmtId="0" fontId="10" fillId="0" borderId="0" xfId="0" applyFont="1"/>
    <xf numFmtId="0" fontId="3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2" fillId="0" borderId="1" xfId="0" applyFont="1" applyBorder="1" applyAlignment="1">
      <alignment horizontal="right"/>
    </xf>
    <xf numFmtId="0" fontId="14" fillId="0" borderId="1" xfId="0" applyFont="1" applyBorder="1"/>
    <xf numFmtId="0" fontId="13" fillId="0" borderId="1" xfId="0" applyFont="1" applyBorder="1"/>
    <xf numFmtId="9" fontId="13" fillId="3" borderId="1" xfId="0" applyNumberFormat="1" applyFont="1" applyFill="1" applyBorder="1" applyAlignment="1">
      <alignment wrapText="1"/>
    </xf>
    <xf numFmtId="0" fontId="13" fillId="3" borderId="1" xfId="0" applyFont="1" applyFill="1" applyBorder="1"/>
    <xf numFmtId="0" fontId="15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2" fillId="4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3" fillId="0" borderId="0" xfId="0" applyFont="1" applyAlignment="1">
      <alignment vertical="top" wrapText="1"/>
    </xf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wrapText="1"/>
    </xf>
    <xf numFmtId="0" fontId="13" fillId="3" borderId="1" xfId="0" applyFont="1" applyFill="1" applyBorder="1" applyAlignment="1">
      <alignment wrapText="1"/>
    </xf>
    <xf numFmtId="10" fontId="13" fillId="3" borderId="1" xfId="0" applyNumberFormat="1" applyFont="1" applyFill="1" applyBorder="1"/>
    <xf numFmtId="165" fontId="13" fillId="0" borderId="1" xfId="0" applyNumberFormat="1" applyFont="1" applyBorder="1"/>
    <xf numFmtId="166" fontId="13" fillId="0" borderId="1" xfId="0" applyNumberFormat="1" applyFont="1" applyBorder="1"/>
    <xf numFmtId="0" fontId="16" fillId="0" borderId="1" xfId="0" applyFont="1" applyBorder="1" applyAlignment="1">
      <alignment horizontal="left" vertical="top"/>
    </xf>
    <xf numFmtId="10" fontId="13" fillId="0" borderId="1" xfId="0" applyNumberFormat="1" applyFont="1" applyBorder="1"/>
    <xf numFmtId="0" fontId="12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vertical="top" wrapText="1"/>
    </xf>
    <xf numFmtId="0" fontId="13" fillId="0" borderId="9" xfId="0" applyFont="1" applyBorder="1"/>
    <xf numFmtId="0" fontId="13" fillId="3" borderId="9" xfId="0" applyFont="1" applyFill="1" applyBorder="1"/>
    <xf numFmtId="0" fontId="13" fillId="0" borderId="9" xfId="0" applyFont="1" applyBorder="1" applyAlignment="1">
      <alignment wrapText="1"/>
    </xf>
    <xf numFmtId="0" fontId="13" fillId="3" borderId="9" xfId="0" applyFont="1" applyFill="1" applyBorder="1" applyAlignment="1">
      <alignment wrapText="1"/>
    </xf>
    <xf numFmtId="10" fontId="13" fillId="3" borderId="9" xfId="0" applyNumberFormat="1" applyFont="1" applyFill="1" applyBorder="1"/>
    <xf numFmtId="9" fontId="13" fillId="0" borderId="9" xfId="0" applyNumberFormat="1" applyFont="1" applyBorder="1"/>
    <xf numFmtId="166" fontId="13" fillId="0" borderId="9" xfId="0" applyNumberFormat="1" applyFont="1" applyBorder="1"/>
    <xf numFmtId="0" fontId="17" fillId="0" borderId="9" xfId="0" applyFont="1" applyBorder="1" applyAlignment="1">
      <alignment horizontal="left" vertical="top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top" wrapText="1"/>
    </xf>
    <xf numFmtId="164" fontId="12" fillId="0" borderId="8" xfId="0" applyNumberFormat="1" applyFont="1" applyBorder="1"/>
    <xf numFmtId="0" fontId="13" fillId="0" borderId="8" xfId="0" applyFont="1" applyBorder="1"/>
    <xf numFmtId="0" fontId="13" fillId="0" borderId="8" xfId="0" applyFont="1" applyBorder="1" applyAlignment="1">
      <alignment wrapText="1"/>
    </xf>
    <xf numFmtId="0" fontId="13" fillId="0" borderId="0" xfId="0" applyFont="1"/>
    <xf numFmtId="0" fontId="12" fillId="5" borderId="1" xfId="0" applyFont="1" applyFill="1" applyBorder="1" applyAlignment="1">
      <alignment wrapText="1"/>
    </xf>
    <xf numFmtId="0" fontId="7" fillId="0" borderId="8" xfId="0" applyFont="1" applyBorder="1"/>
    <xf numFmtId="0" fontId="13" fillId="0" borderId="0" xfId="0" applyFont="1" applyAlignment="1">
      <alignment horizontal="left" vertical="top"/>
    </xf>
    <xf numFmtId="0" fontId="3" fillId="0" borderId="1" xfId="0" applyFont="1" applyBorder="1" applyAlignment="1">
      <alignment vertical="top"/>
    </xf>
    <xf numFmtId="0" fontId="18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12" fillId="0" borderId="1" xfId="0" applyFont="1" applyBorder="1"/>
    <xf numFmtId="0" fontId="13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9" fontId="13" fillId="3" borderId="0" xfId="0" applyNumberFormat="1" applyFont="1" applyFill="1" applyAlignment="1">
      <alignment wrapText="1"/>
    </xf>
    <xf numFmtId="9" fontId="13" fillId="3" borderId="1" xfId="0" applyNumberFormat="1" applyFont="1" applyFill="1" applyBorder="1"/>
    <xf numFmtId="9" fontId="13" fillId="3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vertical="top"/>
    </xf>
    <xf numFmtId="0" fontId="12" fillId="0" borderId="1" xfId="0" applyFont="1" applyBorder="1" applyAlignment="1">
      <alignment horizontal="left" vertical="top"/>
    </xf>
    <xf numFmtId="165" fontId="13" fillId="0" borderId="1" xfId="0" applyNumberFormat="1" applyFont="1" applyBorder="1" applyAlignment="1">
      <alignment wrapText="1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13" xfId="0" applyFont="1" applyBorder="1" applyAlignment="1">
      <alignment horizontal="center" vertical="top"/>
    </xf>
    <xf numFmtId="0" fontId="22" fillId="0" borderId="13" xfId="0" applyFont="1" applyBorder="1" applyAlignment="1">
      <alignment horizontal="center" vertical="top" wrapText="1"/>
    </xf>
    <xf numFmtId="0" fontId="22" fillId="0" borderId="2" xfId="0" applyFont="1" applyBorder="1" applyAlignment="1">
      <alignment wrapText="1"/>
    </xf>
    <xf numFmtId="0" fontId="23" fillId="0" borderId="3" xfId="0" applyFont="1" applyBorder="1" applyAlignment="1">
      <alignment vertical="top" wrapText="1"/>
    </xf>
    <xf numFmtId="164" fontId="12" fillId="0" borderId="3" xfId="0" applyNumberFormat="1" applyFont="1" applyBorder="1"/>
    <xf numFmtId="164" fontId="23" fillId="0" borderId="3" xfId="0" applyNumberFormat="1" applyFont="1" applyBorder="1" applyAlignment="1">
      <alignment vertical="top"/>
    </xf>
    <xf numFmtId="0" fontId="23" fillId="0" borderId="4" xfId="0" applyFont="1" applyBorder="1" applyAlignment="1">
      <alignment wrapText="1"/>
    </xf>
    <xf numFmtId="0" fontId="23" fillId="0" borderId="8" xfId="0" applyFont="1" applyBorder="1" applyAlignment="1">
      <alignment vertical="top" wrapText="1"/>
    </xf>
    <xf numFmtId="164" fontId="23" fillId="0" borderId="8" xfId="0" applyNumberFormat="1" applyFont="1" applyBorder="1" applyAlignment="1">
      <alignment vertical="top" wrapText="1"/>
    </xf>
    <xf numFmtId="164" fontId="23" fillId="0" borderId="8" xfId="0" applyNumberFormat="1" applyFont="1" applyBorder="1" applyAlignment="1">
      <alignment vertical="top"/>
    </xf>
    <xf numFmtId="0" fontId="24" fillId="0" borderId="8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3" fillId="0" borderId="1" xfId="0" applyFont="1" applyBorder="1" applyAlignment="1">
      <alignment vertical="top" wrapText="1"/>
    </xf>
    <xf numFmtId="164" fontId="23" fillId="0" borderId="1" xfId="0" applyNumberFormat="1" applyFont="1" applyBorder="1" applyAlignment="1">
      <alignment vertical="top" wrapText="1"/>
    </xf>
    <xf numFmtId="164" fontId="23" fillId="0" borderId="1" xfId="0" applyNumberFormat="1" applyFont="1" applyBorder="1" applyAlignment="1">
      <alignment vertical="top"/>
    </xf>
    <xf numFmtId="0" fontId="25" fillId="0" borderId="1" xfId="0" applyFont="1" applyBorder="1" applyAlignment="1">
      <alignment wrapText="1"/>
    </xf>
    <xf numFmtId="0" fontId="23" fillId="0" borderId="13" xfId="0" applyFont="1" applyBorder="1" applyAlignment="1">
      <alignment vertical="top" wrapText="1"/>
    </xf>
    <xf numFmtId="164" fontId="23" fillId="0" borderId="13" xfId="0" applyNumberFormat="1" applyFont="1" applyBorder="1" applyAlignment="1">
      <alignment vertical="top" wrapText="1"/>
    </xf>
    <xf numFmtId="164" fontId="23" fillId="0" borderId="13" xfId="0" applyNumberFormat="1" applyFont="1" applyBorder="1" applyAlignment="1">
      <alignment vertical="top"/>
    </xf>
    <xf numFmtId="0" fontId="26" fillId="0" borderId="13" xfId="0" applyFont="1" applyBorder="1" applyAlignment="1">
      <alignment vertical="top" wrapText="1"/>
    </xf>
    <xf numFmtId="0" fontId="22" fillId="0" borderId="2" xfId="0" applyFont="1" applyBorder="1" applyAlignment="1">
      <alignment vertical="top" wrapText="1"/>
    </xf>
    <xf numFmtId="164" fontId="22" fillId="0" borderId="3" xfId="0" applyNumberFormat="1" applyFont="1" applyBorder="1" applyAlignment="1">
      <alignment vertical="top"/>
    </xf>
    <xf numFmtId="0" fontId="23" fillId="0" borderId="4" xfId="0" applyFont="1" applyBorder="1" applyAlignment="1">
      <alignment vertical="top" wrapText="1"/>
    </xf>
    <xf numFmtId="0" fontId="22" fillId="0" borderId="3" xfId="0" applyFont="1" applyBorder="1" applyAlignment="1">
      <alignment vertical="top" wrapText="1"/>
    </xf>
    <xf numFmtId="0" fontId="22" fillId="0" borderId="4" xfId="0" applyFont="1" applyBorder="1" applyAlignment="1">
      <alignment vertical="top" wrapText="1"/>
    </xf>
    <xf numFmtId="0" fontId="23" fillId="0" borderId="2" xfId="0" applyFont="1" applyBorder="1" applyAlignment="1">
      <alignment vertical="top" wrapText="1"/>
    </xf>
    <xf numFmtId="0" fontId="23" fillId="0" borderId="1" xfId="0" applyFont="1" applyBorder="1" applyAlignment="1">
      <alignment vertical="top"/>
    </xf>
    <xf numFmtId="0" fontId="23" fillId="0" borderId="1" xfId="0" applyFont="1" applyBorder="1"/>
    <xf numFmtId="0" fontId="22" fillId="0" borderId="1" xfId="0" applyFont="1" applyBorder="1"/>
    <xf numFmtId="0" fontId="23" fillId="0" borderId="0" xfId="0" applyFont="1"/>
    <xf numFmtId="9" fontId="23" fillId="0" borderId="0" xfId="0" applyNumberFormat="1" applyFont="1"/>
    <xf numFmtId="0" fontId="22" fillId="0" borderId="0" xfId="0" applyFont="1"/>
    <xf numFmtId="0" fontId="27" fillId="0" borderId="1" xfId="0" applyFont="1" applyBorder="1"/>
    <xf numFmtId="0" fontId="23" fillId="0" borderId="0" xfId="0" applyFont="1" applyAlignment="1">
      <alignment vertical="top" wrapText="1"/>
    </xf>
    <xf numFmtId="164" fontId="23" fillId="0" borderId="0" xfId="0" applyNumberFormat="1" applyFont="1" applyAlignment="1">
      <alignment vertical="top"/>
    </xf>
    <xf numFmtId="0" fontId="13" fillId="0" borderId="0" xfId="0" applyFont="1" applyAlignment="1">
      <alignment wrapText="1"/>
    </xf>
    <xf numFmtId="0" fontId="3" fillId="0" borderId="0" xfId="0" applyFont="1"/>
    <xf numFmtId="0" fontId="19" fillId="0" borderId="1" xfId="0" applyFont="1" applyBorder="1" applyAlignment="1">
      <alignment wrapText="1"/>
    </xf>
    <xf numFmtId="0" fontId="3" fillId="0" borderId="3" xfId="0" applyFont="1" applyBorder="1" applyAlignment="1">
      <alignment horizontal="center"/>
    </xf>
    <xf numFmtId="9" fontId="4" fillId="0" borderId="6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164" fontId="4" fillId="0" borderId="0" xfId="0" applyNumberFormat="1" applyFont="1"/>
    <xf numFmtId="0" fontId="4" fillId="0" borderId="6" xfId="0" applyFont="1" applyBorder="1"/>
    <xf numFmtId="164" fontId="4" fillId="5" borderId="6" xfId="0" applyNumberFormat="1" applyFont="1" applyFill="1" applyBorder="1"/>
    <xf numFmtId="164" fontId="4" fillId="0" borderId="6" xfId="0" applyNumberFormat="1" applyFont="1" applyBorder="1"/>
    <xf numFmtId="164" fontId="4" fillId="5" borderId="0" xfId="0" applyNumberFormat="1" applyFont="1" applyFill="1"/>
    <xf numFmtId="0" fontId="19" fillId="7" borderId="9" xfId="0" applyFont="1" applyFill="1" applyBorder="1" applyAlignment="1">
      <alignment wrapText="1"/>
    </xf>
    <xf numFmtId="164" fontId="4" fillId="0" borderId="17" xfId="0" applyNumberFormat="1" applyFont="1" applyBorder="1"/>
    <xf numFmtId="0" fontId="4" fillId="0" borderId="17" xfId="0" applyFont="1" applyBorder="1"/>
    <xf numFmtId="0" fontId="19" fillId="7" borderId="8" xfId="0" applyFont="1" applyFill="1" applyBorder="1" applyAlignment="1">
      <alignment wrapText="1"/>
    </xf>
    <xf numFmtId="0" fontId="19" fillId="7" borderId="1" xfId="0" applyFont="1" applyFill="1" applyBorder="1" applyAlignment="1">
      <alignment wrapText="1"/>
    </xf>
    <xf numFmtId="0" fontId="19" fillId="7" borderId="1" xfId="0" applyFont="1" applyFill="1" applyBorder="1"/>
    <xf numFmtId="0" fontId="18" fillId="0" borderId="1" xfId="0" applyFont="1" applyBorder="1"/>
    <xf numFmtId="164" fontId="3" fillId="0" borderId="6" xfId="0" applyNumberFormat="1" applyFont="1" applyBorder="1"/>
    <xf numFmtId="164" fontId="3" fillId="0" borderId="0" xfId="0" applyNumberFormat="1" applyFont="1"/>
    <xf numFmtId="164" fontId="4" fillId="0" borderId="3" xfId="0" applyNumberFormat="1" applyFont="1" applyBorder="1"/>
    <xf numFmtId="0" fontId="4" fillId="4" borderId="0" xfId="0" applyFont="1" applyFill="1"/>
    <xf numFmtId="164" fontId="4" fillId="4" borderId="0" xfId="0" applyNumberFormat="1" applyFont="1" applyFill="1"/>
    <xf numFmtId="164" fontId="4" fillId="0" borderId="4" xfId="0" applyNumberFormat="1" applyFont="1" applyBorder="1"/>
    <xf numFmtId="9" fontId="3" fillId="0" borderId="6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0" fontId="4" fillId="8" borderId="6" xfId="0" applyFont="1" applyFill="1" applyBorder="1"/>
    <xf numFmtId="164" fontId="4" fillId="8" borderId="6" xfId="0" applyNumberFormat="1" applyFont="1" applyFill="1" applyBorder="1"/>
    <xf numFmtId="164" fontId="4" fillId="8" borderId="0" xfId="0" applyNumberFormat="1" applyFont="1" applyFill="1"/>
    <xf numFmtId="0" fontId="4" fillId="0" borderId="3" xfId="0" applyFont="1" applyBorder="1"/>
    <xf numFmtId="164" fontId="4" fillId="0" borderId="1" xfId="0" applyNumberFormat="1" applyFont="1" applyBorder="1"/>
    <xf numFmtId="164" fontId="3" fillId="0" borderId="1" xfId="0" applyNumberFormat="1" applyFont="1" applyBorder="1"/>
    <xf numFmtId="0" fontId="28" fillId="5" borderId="0" xfId="0" applyFont="1" applyFill="1" applyAlignment="1">
      <alignment horizontal="left"/>
    </xf>
    <xf numFmtId="0" fontId="13" fillId="0" borderId="1" xfId="0" applyFont="1" applyBorder="1" applyAlignment="1">
      <alignment horizontal="left" vertical="top" wrapText="1"/>
    </xf>
    <xf numFmtId="0" fontId="29" fillId="5" borderId="1" xfId="0" applyFont="1" applyFill="1" applyBorder="1" applyAlignment="1">
      <alignment horizontal="left"/>
    </xf>
    <xf numFmtId="0" fontId="23" fillId="0" borderId="0" xfId="0" applyFont="1" applyAlignment="1">
      <alignment vertical="top"/>
    </xf>
    <xf numFmtId="0" fontId="2" fillId="0" borderId="2" xfId="0" applyFont="1" applyBorder="1" applyAlignment="1">
      <alignment wrapText="1"/>
    </xf>
    <xf numFmtId="9" fontId="2" fillId="0" borderId="1" xfId="0" applyNumberFormat="1" applyFont="1" applyBorder="1" applyAlignment="1">
      <alignment wrapText="1"/>
    </xf>
    <xf numFmtId="164" fontId="2" fillId="0" borderId="1" xfId="0" applyNumberFormat="1" applyFont="1" applyBorder="1"/>
    <xf numFmtId="0" fontId="2" fillId="0" borderId="1" xfId="0" applyFont="1" applyBorder="1"/>
    <xf numFmtId="9" fontId="2" fillId="3" borderId="1" xfId="0" applyNumberFormat="1" applyFont="1" applyFill="1" applyBorder="1" applyAlignment="1">
      <alignment wrapText="1"/>
    </xf>
    <xf numFmtId="0" fontId="2" fillId="3" borderId="1" xfId="0" applyFont="1" applyFill="1" applyBorder="1"/>
    <xf numFmtId="0" fontId="19" fillId="0" borderId="0" xfId="0" applyFont="1"/>
    <xf numFmtId="0" fontId="34" fillId="0" borderId="0" xfId="1" applyAlignment="1">
      <alignment vertical="top"/>
    </xf>
    <xf numFmtId="0" fontId="2" fillId="0" borderId="0" xfId="0" applyFont="1" applyAlignment="1">
      <alignment vertical="top" wrapText="1"/>
    </xf>
    <xf numFmtId="0" fontId="1" fillId="0" borderId="1" xfId="0" applyFont="1" applyBorder="1"/>
    <xf numFmtId="0" fontId="13" fillId="0" borderId="9" xfId="0" applyFont="1" applyBorder="1" applyAlignment="1">
      <alignment horizontal="left" vertical="top" wrapText="1"/>
    </xf>
    <xf numFmtId="0" fontId="13" fillId="5" borderId="1" xfId="0" applyFont="1" applyFill="1" applyBorder="1" applyAlignment="1">
      <alignment horizontal="left" vertical="top" wrapText="1"/>
    </xf>
    <xf numFmtId="0" fontId="19" fillId="6" borderId="1" xfId="0" applyFont="1" applyFill="1" applyBorder="1" applyAlignment="1">
      <alignment vertical="top"/>
    </xf>
    <xf numFmtId="0" fontId="3" fillId="0" borderId="18" xfId="0" applyFont="1" applyBorder="1" applyAlignment="1">
      <alignment horizontal="center"/>
    </xf>
    <xf numFmtId="0" fontId="11" fillId="0" borderId="1" xfId="0" applyFont="1" applyBorder="1" applyAlignment="1">
      <alignment horizontal="left" vertical="top" wrapText="1"/>
    </xf>
    <xf numFmtId="4" fontId="7" fillId="0" borderId="1" xfId="0" applyNumberFormat="1" applyFont="1" applyBorder="1"/>
    <xf numFmtId="10" fontId="7" fillId="0" borderId="1" xfId="0" applyNumberFormat="1" applyFont="1" applyBorder="1"/>
    <xf numFmtId="0" fontId="7" fillId="0" borderId="1" xfId="0" applyFont="1" applyBorder="1"/>
    <xf numFmtId="164" fontId="7" fillId="0" borderId="1" xfId="0" applyNumberFormat="1" applyFont="1" applyBorder="1"/>
    <xf numFmtId="0" fontId="11" fillId="3" borderId="1" xfId="0" applyFont="1" applyFill="1" applyBorder="1"/>
    <xf numFmtId="0" fontId="13" fillId="0" borderId="1" xfId="0" applyFont="1" applyBorder="1" applyAlignment="1">
      <alignment horizontal="right" wrapText="1"/>
    </xf>
    <xf numFmtId="0" fontId="13" fillId="0" borderId="9" xfId="0" applyFont="1" applyBorder="1" applyAlignment="1">
      <alignment horizontal="right" wrapText="1"/>
    </xf>
    <xf numFmtId="0" fontId="3" fillId="0" borderId="1" xfId="0" applyFont="1" applyBorder="1" applyAlignment="1">
      <alignment horizontal="left" vertical="top" wrapText="1"/>
    </xf>
    <xf numFmtId="0" fontId="18" fillId="0" borderId="0" xfId="0" applyFont="1"/>
    <xf numFmtId="0" fontId="18" fillId="0" borderId="0" xfId="0" applyFont="1" applyAlignment="1">
      <alignment vertical="top"/>
    </xf>
    <xf numFmtId="0" fontId="37" fillId="0" borderId="0" xfId="0" applyFont="1" applyAlignment="1">
      <alignment wrapText="1"/>
    </xf>
    <xf numFmtId="0" fontId="18" fillId="0" borderId="0" xfId="0" applyFont="1" applyAlignment="1">
      <alignment horizontal="right" vertical="top"/>
    </xf>
    <xf numFmtId="0" fontId="38" fillId="0" borderId="0" xfId="0" applyFont="1" applyAlignment="1">
      <alignment vertical="center"/>
    </xf>
    <xf numFmtId="0" fontId="34" fillId="0" borderId="0" xfId="1"/>
    <xf numFmtId="0" fontId="1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wrapText="1"/>
    </xf>
    <xf numFmtId="0" fontId="39" fillId="5" borderId="1" xfId="0" applyFont="1" applyFill="1" applyBorder="1" applyAlignment="1">
      <alignment horizontal="left" vertical="top" wrapText="1"/>
    </xf>
    <xf numFmtId="0" fontId="19" fillId="0" borderId="2" xfId="0" applyFont="1" applyBorder="1" applyAlignment="1">
      <alignment vertical="top" wrapText="1"/>
    </xf>
    <xf numFmtId="0" fontId="6" fillId="0" borderId="4" xfId="0" applyFont="1" applyBorder="1"/>
    <xf numFmtId="0" fontId="20" fillId="0" borderId="2" xfId="0" applyFont="1" applyBorder="1" applyAlignment="1">
      <alignment vertical="top" wrapText="1"/>
    </xf>
    <xf numFmtId="0" fontId="6" fillId="0" borderId="3" xfId="0" applyFont="1" applyBorder="1"/>
    <xf numFmtId="0" fontId="12" fillId="0" borderId="2" xfId="0" applyFont="1" applyBorder="1" applyAlignment="1">
      <alignment horizontal="center" vertical="top"/>
    </xf>
    <xf numFmtId="0" fontId="18" fillId="0" borderId="2" xfId="0" applyFont="1" applyBorder="1" applyAlignment="1">
      <alignment vertical="top" wrapText="1"/>
    </xf>
    <xf numFmtId="0" fontId="9" fillId="2" borderId="0" xfId="0" applyFont="1" applyFill="1" applyAlignment="1">
      <alignment horizontal="center" vertical="center"/>
    </xf>
    <xf numFmtId="0" fontId="0" fillId="0" borderId="0" xfId="0"/>
    <xf numFmtId="0" fontId="9" fillId="4" borderId="0" xfId="0" applyFont="1" applyFill="1" applyAlignment="1">
      <alignment horizontal="center" vertical="center"/>
    </xf>
    <xf numFmtId="0" fontId="12" fillId="0" borderId="2" xfId="0" applyFont="1" applyBorder="1"/>
    <xf numFmtId="0" fontId="13" fillId="0" borderId="10" xfId="0" applyFont="1" applyBorder="1" applyAlignment="1">
      <alignment vertical="top" wrapText="1"/>
    </xf>
    <xf numFmtId="0" fontId="6" fillId="0" borderId="11" xfId="0" applyFont="1" applyBorder="1"/>
    <xf numFmtId="0" fontId="6" fillId="0" borderId="12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13" fillId="0" borderId="2" xfId="0" applyFont="1" applyBorder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7" fillId="4" borderId="0" xfId="0" applyFont="1" applyFill="1" applyAlignment="1">
      <alignment vertical="top" wrapText="1"/>
    </xf>
    <xf numFmtId="0" fontId="12" fillId="4" borderId="2" xfId="0" applyFont="1" applyFill="1" applyBorder="1" applyAlignment="1">
      <alignment horizontal="center" vertical="top"/>
    </xf>
    <xf numFmtId="0" fontId="33" fillId="0" borderId="3" xfId="0" applyFont="1" applyBorder="1"/>
    <xf numFmtId="0" fontId="33" fillId="0" borderId="4" xfId="0" applyFont="1" applyBorder="1"/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8" fillId="3" borderId="0" xfId="0" applyFont="1" applyFill="1" applyAlignment="1">
      <alignment horizontal="center" vertical="top"/>
    </xf>
    <xf numFmtId="0" fontId="23" fillId="9" borderId="26" xfId="0" applyFont="1" applyFill="1" applyBorder="1" applyAlignment="1">
      <alignment horizontal="left" vertical="top" wrapText="1"/>
    </xf>
    <xf numFmtId="0" fontId="23" fillId="9" borderId="27" xfId="0" applyFont="1" applyFill="1" applyBorder="1" applyAlignment="1">
      <alignment horizontal="left" vertical="top" wrapText="1"/>
    </xf>
    <xf numFmtId="0" fontId="23" fillId="9" borderId="28" xfId="0" applyFont="1" applyFill="1" applyBorder="1" applyAlignment="1">
      <alignment horizontal="left" vertical="top" wrapText="1"/>
    </xf>
    <xf numFmtId="0" fontId="23" fillId="9" borderId="29" xfId="0" applyFont="1" applyFill="1" applyBorder="1" applyAlignment="1">
      <alignment horizontal="left" vertical="top" wrapText="1"/>
    </xf>
    <xf numFmtId="0" fontId="23" fillId="9" borderId="0" xfId="0" applyFont="1" applyFill="1" applyAlignment="1">
      <alignment horizontal="left" vertical="top" wrapText="1"/>
    </xf>
    <xf numFmtId="0" fontId="23" fillId="9" borderId="30" xfId="0" applyFont="1" applyFill="1" applyBorder="1" applyAlignment="1">
      <alignment horizontal="left" vertical="top" wrapText="1"/>
    </xf>
    <xf numFmtId="0" fontId="23" fillId="9" borderId="31" xfId="0" applyFont="1" applyFill="1" applyBorder="1" applyAlignment="1">
      <alignment horizontal="left" vertical="top" wrapText="1"/>
    </xf>
    <xf numFmtId="0" fontId="23" fillId="9" borderId="32" xfId="0" applyFont="1" applyFill="1" applyBorder="1" applyAlignment="1">
      <alignment horizontal="left" vertical="top" wrapText="1"/>
    </xf>
    <xf numFmtId="0" fontId="23" fillId="9" borderId="33" xfId="0" applyFont="1" applyFill="1" applyBorder="1" applyAlignment="1">
      <alignment horizontal="left" vertical="top" wrapText="1"/>
    </xf>
    <xf numFmtId="0" fontId="12" fillId="0" borderId="2" xfId="0" applyFont="1" applyBorder="1" applyAlignment="1">
      <alignment horizontal="center" vertical="top" wrapText="1"/>
    </xf>
    <xf numFmtId="0" fontId="13" fillId="0" borderId="10" xfId="0" applyFont="1" applyBorder="1" applyAlignment="1">
      <alignment horizontal="left" vertical="top" wrapText="1"/>
    </xf>
    <xf numFmtId="0" fontId="6" fillId="0" borderId="14" xfId="0" applyFont="1" applyBorder="1"/>
    <xf numFmtId="0" fontId="6" fillId="0" borderId="15" xfId="0" applyFont="1" applyBorder="1"/>
    <xf numFmtId="0" fontId="21" fillId="0" borderId="13" xfId="0" applyFont="1" applyBorder="1" applyAlignment="1">
      <alignment vertical="top"/>
    </xf>
    <xf numFmtId="0" fontId="6" fillId="0" borderId="16" xfId="0" applyFont="1" applyBorder="1"/>
    <xf numFmtId="0" fontId="6" fillId="0" borderId="8" xfId="0" applyFont="1" applyBorder="1"/>
    <xf numFmtId="0" fontId="7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/>
    </xf>
    <xf numFmtId="0" fontId="13" fillId="0" borderId="2" xfId="0" applyFont="1" applyBorder="1" applyAlignment="1">
      <alignment horizontal="left" vertical="top" wrapText="1"/>
    </xf>
    <xf numFmtId="0" fontId="19" fillId="9" borderId="10" xfId="0" applyFont="1" applyFill="1" applyBorder="1" applyAlignment="1">
      <alignment horizontal="left" wrapText="1"/>
    </xf>
    <xf numFmtId="0" fontId="19" fillId="9" borderId="11" xfId="0" applyFont="1" applyFill="1" applyBorder="1" applyAlignment="1">
      <alignment horizontal="left" wrapText="1"/>
    </xf>
    <xf numFmtId="0" fontId="2" fillId="4" borderId="0" xfId="0" applyFont="1" applyFill="1" applyAlignment="1">
      <alignment horizontal="left" vertical="top" wrapText="1"/>
    </xf>
    <xf numFmtId="0" fontId="13" fillId="4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center" vertical="top"/>
    </xf>
    <xf numFmtId="0" fontId="4" fillId="0" borderId="2" xfId="0" applyFont="1" applyBorder="1"/>
    <xf numFmtId="9" fontId="23" fillId="0" borderId="2" xfId="0" applyNumberFormat="1" applyFont="1" applyBorder="1"/>
    <xf numFmtId="0" fontId="23" fillId="0" borderId="2" xfId="0" applyFont="1" applyBorder="1" applyAlignment="1">
      <alignment vertical="top" wrapText="1"/>
    </xf>
    <xf numFmtId="164" fontId="23" fillId="3" borderId="5" xfId="0" applyNumberFormat="1" applyFont="1" applyFill="1" applyBorder="1" applyAlignment="1">
      <alignment vertical="top"/>
    </xf>
    <xf numFmtId="0" fontId="22" fillId="0" borderId="2" xfId="0" applyFont="1" applyBorder="1"/>
    <xf numFmtId="9" fontId="23" fillId="0" borderId="2" xfId="0" applyNumberFormat="1" applyFont="1" applyBorder="1" applyAlignment="1">
      <alignment vertical="top"/>
    </xf>
    <xf numFmtId="0" fontId="23" fillId="0" borderId="13" xfId="0" applyFont="1" applyBorder="1" applyAlignment="1">
      <alignment vertical="top" wrapText="1"/>
    </xf>
    <xf numFmtId="0" fontId="23" fillId="0" borderId="2" xfId="0" applyFont="1" applyBorder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23" fillId="0" borderId="2" xfId="0" applyFont="1" applyBorder="1" applyAlignment="1">
      <alignment wrapText="1"/>
    </xf>
    <xf numFmtId="0" fontId="37" fillId="9" borderId="24" xfId="0" applyFont="1" applyFill="1" applyBorder="1" applyAlignment="1">
      <alignment horizontal="left" wrapText="1"/>
    </xf>
    <xf numFmtId="0" fontId="37" fillId="9" borderId="18" xfId="0" applyFont="1" applyFill="1" applyBorder="1" applyAlignment="1">
      <alignment horizontal="left" wrapText="1"/>
    </xf>
    <xf numFmtId="0" fontId="37" fillId="9" borderId="25" xfId="0" applyFont="1" applyFill="1" applyBorder="1" applyAlignment="1">
      <alignment horizontal="left" wrapText="1"/>
    </xf>
    <xf numFmtId="0" fontId="19" fillId="9" borderId="19" xfId="0" applyFont="1" applyFill="1" applyBorder="1" applyAlignment="1">
      <alignment horizontal="left" vertical="top" wrapText="1"/>
    </xf>
    <xf numFmtId="0" fontId="37" fillId="9" borderId="24" xfId="0" applyFont="1" applyFill="1" applyBorder="1" applyAlignment="1">
      <alignment horizontal="left" vertical="top" wrapText="1"/>
    </xf>
    <xf numFmtId="0" fontId="37" fillId="9" borderId="18" xfId="0" applyFont="1" applyFill="1" applyBorder="1" applyAlignment="1">
      <alignment horizontal="left" vertical="top" wrapText="1"/>
    </xf>
    <xf numFmtId="0" fontId="37" fillId="9" borderId="25" xfId="0" applyFont="1" applyFill="1" applyBorder="1" applyAlignment="1">
      <alignment horizontal="left" vertical="top" wrapText="1"/>
    </xf>
    <xf numFmtId="164" fontId="0" fillId="0" borderId="23" xfId="0" applyNumberFormat="1" applyBorder="1" applyAlignment="1">
      <alignment horizontal="center" vertical="top" wrapText="1"/>
    </xf>
    <xf numFmtId="164" fontId="0" fillId="0" borderId="22" xfId="0" applyNumberFormat="1" applyBorder="1" applyAlignment="1">
      <alignment horizontal="center" vertical="top" wrapText="1"/>
    </xf>
    <xf numFmtId="0" fontId="19" fillId="0" borderId="20" xfId="0" applyFont="1" applyBorder="1" applyAlignment="1">
      <alignment horizontal="center" vertical="top" wrapText="1"/>
    </xf>
    <xf numFmtId="0" fontId="19" fillId="0" borderId="21" xfId="0" applyFont="1" applyBorder="1" applyAlignment="1">
      <alignment horizontal="center" vertical="top" wrapText="1"/>
    </xf>
    <xf numFmtId="0" fontId="19" fillId="0" borderId="22" xfId="0" applyFont="1" applyBorder="1" applyAlignment="1">
      <alignment horizontal="center" vertical="top" wrapText="1"/>
    </xf>
    <xf numFmtId="164" fontId="0" fillId="0" borderId="19" xfId="0" applyNumberFormat="1" applyBorder="1" applyAlignment="1">
      <alignment horizontal="center" vertical="top"/>
    </xf>
    <xf numFmtId="0" fontId="19" fillId="0" borderId="23" xfId="0" applyFont="1" applyBorder="1" applyAlignment="1">
      <alignment horizontal="center" vertical="top" wrapText="1"/>
    </xf>
    <xf numFmtId="0" fontId="11" fillId="4" borderId="2" xfId="0" applyFont="1" applyFill="1" applyBorder="1" applyAlignment="1">
      <alignment horizontal="center"/>
    </xf>
    <xf numFmtId="0" fontId="35" fillId="0" borderId="3" xfId="0" applyFont="1" applyBorder="1"/>
    <xf numFmtId="0" fontId="35" fillId="0" borderId="4" xfId="0" applyFont="1" applyBorder="1"/>
    <xf numFmtId="0" fontId="19" fillId="0" borderId="19" xfId="0" applyFont="1" applyBorder="1" applyAlignment="1">
      <alignment horizontal="center" vertical="top" wrapText="1"/>
    </xf>
    <xf numFmtId="0" fontId="11" fillId="3" borderId="2" xfId="0" applyFont="1" applyFill="1" applyBorder="1" applyAlignment="1">
      <alignment horizontal="left" vertical="top" wrapText="1"/>
    </xf>
    <xf numFmtId="0" fontId="36" fillId="0" borderId="3" xfId="0" applyFont="1" applyBorder="1"/>
    <xf numFmtId="0" fontId="36" fillId="0" borderId="4" xfId="0" applyFont="1" applyBorder="1"/>
    <xf numFmtId="0" fontId="7" fillId="0" borderId="13" xfId="0" applyFont="1" applyBorder="1" applyAlignment="1">
      <alignment vertical="top" wrapText="1"/>
    </xf>
    <xf numFmtId="0" fontId="35" fillId="0" borderId="16" xfId="0" applyFont="1" applyBorder="1"/>
    <xf numFmtId="0" fontId="35" fillId="0" borderId="8" xfId="0" applyFont="1" applyBorder="1"/>
    <xf numFmtId="0" fontId="40" fillId="0" borderId="13" xfId="0" applyFont="1" applyBorder="1" applyAlignment="1">
      <alignment horizontal="left" vertical="top" wrapText="1"/>
    </xf>
    <xf numFmtId="0" fontId="40" fillId="0" borderId="16" xfId="0" applyFont="1" applyBorder="1" applyAlignment="1">
      <alignment horizontal="left" vertical="top" wrapText="1"/>
    </xf>
    <xf numFmtId="0" fontId="40" fillId="0" borderId="8" xfId="0" applyFont="1" applyBorder="1" applyAlignment="1">
      <alignment horizontal="left" vertical="top" wrapText="1"/>
    </xf>
    <xf numFmtId="0" fontId="0" fillId="9" borderId="19" xfId="0" applyFill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D0E0E3"/>
          <bgColor rgb="FFD0E0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Cash-Flow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'Свод Cash-Flow'!$B$3</c:f>
              <c:strCache>
                <c:ptCount val="1"/>
                <c:pt idx="0">
                  <c:v>Сценарий 1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6C2D-40C0-9AB4-7543524AA703}"/>
              </c:ext>
            </c:extLst>
          </c:dPt>
          <c:dPt>
            <c:idx val="3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6C2D-40C0-9AB4-7543524AA703}"/>
              </c:ext>
            </c:extLst>
          </c:dPt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2D-40C0-9AB4-7543524AA703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E5-445D-9139-D7BDE50B16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'Свод Cash-Flow'!$A$4:$A$40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cat>
          <c:val>
            <c:numRef>
              <c:f>'Свод Cash-Flow'!$B$4:$B$40</c:f>
              <c:numCache>
                <c:formatCode>#\ ##0_);\(#\ ##0\)</c:formatCode>
                <c:ptCount val="37"/>
                <c:pt idx="0">
                  <c:v>-19190</c:v>
                </c:pt>
                <c:pt idx="1">
                  <c:v>447051</c:v>
                </c:pt>
                <c:pt idx="2">
                  <c:v>384322.5</c:v>
                </c:pt>
                <c:pt idx="3">
                  <c:v>388740</c:v>
                </c:pt>
                <c:pt idx="4">
                  <c:v>388740</c:v>
                </c:pt>
                <c:pt idx="5">
                  <c:v>344565</c:v>
                </c:pt>
                <c:pt idx="6">
                  <c:v>349866</c:v>
                </c:pt>
                <c:pt idx="7">
                  <c:v>349866</c:v>
                </c:pt>
                <c:pt idx="8">
                  <c:v>378299.5</c:v>
                </c:pt>
                <c:pt idx="9">
                  <c:v>421429.5</c:v>
                </c:pt>
                <c:pt idx="10">
                  <c:v>421429.5</c:v>
                </c:pt>
                <c:pt idx="11">
                  <c:v>447051</c:v>
                </c:pt>
                <c:pt idx="12">
                  <c:v>-3002240.1337843705</c:v>
                </c:pt>
                <c:pt idx="13">
                  <c:v>439983</c:v>
                </c:pt>
                <c:pt idx="14">
                  <c:v>388740</c:v>
                </c:pt>
                <c:pt idx="15">
                  <c:v>384322.5</c:v>
                </c:pt>
                <c:pt idx="16">
                  <c:v>384322.5</c:v>
                </c:pt>
                <c:pt idx="17">
                  <c:v>388740</c:v>
                </c:pt>
                <c:pt idx="18">
                  <c:v>384322.5</c:v>
                </c:pt>
                <c:pt idx="19">
                  <c:v>384322.5</c:v>
                </c:pt>
                <c:pt idx="20">
                  <c:v>426892</c:v>
                </c:pt>
                <c:pt idx="21">
                  <c:v>447934.5</c:v>
                </c:pt>
                <c:pt idx="22">
                  <c:v>462954</c:v>
                </c:pt>
                <c:pt idx="23">
                  <c:v>466488</c:v>
                </c:pt>
                <c:pt idx="24">
                  <c:v>-2376802.3640371356</c:v>
                </c:pt>
                <c:pt idx="25">
                  <c:v>511546.5</c:v>
                </c:pt>
                <c:pt idx="26">
                  <c:v>429381</c:v>
                </c:pt>
                <c:pt idx="27">
                  <c:v>429381</c:v>
                </c:pt>
                <c:pt idx="28">
                  <c:v>639654</c:v>
                </c:pt>
                <c:pt idx="29">
                  <c:v>402154</c:v>
                </c:pt>
                <c:pt idx="30">
                  <c:v>429381</c:v>
                </c:pt>
                <c:pt idx="31">
                  <c:v>446167.5</c:v>
                </c:pt>
                <c:pt idx="32">
                  <c:v>474439.5</c:v>
                </c:pt>
                <c:pt idx="33">
                  <c:v>474439.5</c:v>
                </c:pt>
                <c:pt idx="34">
                  <c:v>491226</c:v>
                </c:pt>
                <c:pt idx="35">
                  <c:v>495643.5</c:v>
                </c:pt>
                <c:pt idx="36">
                  <c:v>-5905740.0107544232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C2D-40C0-9AB4-7543524AA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8051335"/>
        <c:axId val="1922595401"/>
      </c:barChart>
      <c:lineChart>
        <c:grouping val="standard"/>
        <c:varyColors val="1"/>
        <c:ser>
          <c:idx val="1"/>
          <c:order val="1"/>
          <c:tx>
            <c:strRef>
              <c:f>'Свод Cash-Flow'!$C$3</c:f>
              <c:strCache>
                <c:ptCount val="1"/>
                <c:pt idx="0">
                  <c:v>Сценарий 2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E5-445D-9139-D7BDE50B1603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E5-445D-9139-D7BDE50B16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'Свод Cash-Flow'!$A$4:$A$40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cat>
          <c:val>
            <c:numRef>
              <c:f>'Свод Cash-Flow'!$C$4:$C$40</c:f>
              <c:numCache>
                <c:formatCode>#\ ##0_);\(#\ ##0\)</c:formatCode>
                <c:ptCount val="37"/>
                <c:pt idx="0">
                  <c:v>-244250</c:v>
                </c:pt>
                <c:pt idx="1">
                  <c:v>242962.5</c:v>
                </c:pt>
                <c:pt idx="2">
                  <c:v>384322.5</c:v>
                </c:pt>
                <c:pt idx="3">
                  <c:v>212040</c:v>
                </c:pt>
                <c:pt idx="4">
                  <c:v>212040</c:v>
                </c:pt>
                <c:pt idx="5">
                  <c:v>344565</c:v>
                </c:pt>
                <c:pt idx="6">
                  <c:v>190836</c:v>
                </c:pt>
                <c:pt idx="7">
                  <c:v>190836</c:v>
                </c:pt>
                <c:pt idx="8">
                  <c:v>183929.5</c:v>
                </c:pt>
                <c:pt idx="9">
                  <c:v>233244</c:v>
                </c:pt>
                <c:pt idx="10">
                  <c:v>233244</c:v>
                </c:pt>
                <c:pt idx="11">
                  <c:v>439983</c:v>
                </c:pt>
                <c:pt idx="12">
                  <c:v>-2106089.0377145922</c:v>
                </c:pt>
                <c:pt idx="13">
                  <c:v>439983</c:v>
                </c:pt>
                <c:pt idx="14">
                  <c:v>203205</c:v>
                </c:pt>
                <c:pt idx="15">
                  <c:v>384322.5</c:v>
                </c:pt>
                <c:pt idx="16">
                  <c:v>384322.5</c:v>
                </c:pt>
                <c:pt idx="17">
                  <c:v>203205</c:v>
                </c:pt>
                <c:pt idx="18">
                  <c:v>384322.5</c:v>
                </c:pt>
                <c:pt idx="19">
                  <c:v>384322.5</c:v>
                </c:pt>
                <c:pt idx="20">
                  <c:v>426892</c:v>
                </c:pt>
                <c:pt idx="21">
                  <c:v>447934.5</c:v>
                </c:pt>
                <c:pt idx="22">
                  <c:v>245613</c:v>
                </c:pt>
                <c:pt idx="23">
                  <c:v>466488</c:v>
                </c:pt>
                <c:pt idx="24">
                  <c:v>-2650167.9623311078</c:v>
                </c:pt>
                <c:pt idx="25">
                  <c:v>273001.5</c:v>
                </c:pt>
                <c:pt idx="26">
                  <c:v>429381</c:v>
                </c:pt>
                <c:pt idx="27">
                  <c:v>429381</c:v>
                </c:pt>
                <c:pt idx="28">
                  <c:v>639654</c:v>
                </c:pt>
                <c:pt idx="29">
                  <c:v>402154</c:v>
                </c:pt>
                <c:pt idx="30">
                  <c:v>429381</c:v>
                </c:pt>
                <c:pt idx="31">
                  <c:v>236778</c:v>
                </c:pt>
                <c:pt idx="32">
                  <c:v>474439.5</c:v>
                </c:pt>
                <c:pt idx="33">
                  <c:v>474439.5</c:v>
                </c:pt>
                <c:pt idx="34">
                  <c:v>260632.5</c:v>
                </c:pt>
                <c:pt idx="35">
                  <c:v>495643.5</c:v>
                </c:pt>
                <c:pt idx="36">
                  <c:v>-5942983.471492473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2D-40C0-9AB4-7543524AA703}"/>
            </c:ext>
          </c:extLst>
        </c:ser>
        <c:ser>
          <c:idx val="2"/>
          <c:order val="2"/>
          <c:tx>
            <c:strRef>
              <c:f>'Свод Cash-Flow'!$D$3</c:f>
              <c:strCache>
                <c:ptCount val="1"/>
                <c:pt idx="0">
                  <c:v>Сценарий 3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'Свод Cash-Flow'!$A$4:$A$40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cat>
          <c:val>
            <c:numRef>
              <c:f>'Свод Cash-Flow'!$D$4:$D$40</c:f>
              <c:numCache>
                <c:formatCode>#\ ##0_);\(#\ ##0\)</c:formatCode>
                <c:ptCount val="37"/>
                <c:pt idx="0">
                  <c:v>-644250</c:v>
                </c:pt>
                <c:pt idx="1">
                  <c:v>-144250</c:v>
                </c:pt>
                <c:pt idx="2">
                  <c:v>-495450</c:v>
                </c:pt>
                <c:pt idx="3">
                  <c:v>-176800</c:v>
                </c:pt>
                <c:pt idx="4">
                  <c:v>-176800</c:v>
                </c:pt>
                <c:pt idx="5">
                  <c:v>-37300</c:v>
                </c:pt>
                <c:pt idx="6">
                  <c:v>-199120</c:v>
                </c:pt>
                <c:pt idx="7">
                  <c:v>-199120</c:v>
                </c:pt>
                <c:pt idx="8">
                  <c:v>-206390</c:v>
                </c:pt>
                <c:pt idx="9">
                  <c:v>-154480</c:v>
                </c:pt>
                <c:pt idx="10">
                  <c:v>-154480</c:v>
                </c:pt>
                <c:pt idx="11">
                  <c:v>-436860</c:v>
                </c:pt>
                <c:pt idx="12">
                  <c:v>-2078909.1974476203</c:v>
                </c:pt>
                <c:pt idx="13">
                  <c:v>86488</c:v>
                </c:pt>
                <c:pt idx="14">
                  <c:v>-674010</c:v>
                </c:pt>
                <c:pt idx="15">
                  <c:v>25526.5</c:v>
                </c:pt>
                <c:pt idx="16">
                  <c:v>25526.5</c:v>
                </c:pt>
                <c:pt idx="17">
                  <c:v>-674010</c:v>
                </c:pt>
                <c:pt idx="18">
                  <c:v>405526.5</c:v>
                </c:pt>
                <c:pt idx="19">
                  <c:v>405526.5</c:v>
                </c:pt>
                <c:pt idx="20">
                  <c:v>-800640</c:v>
                </c:pt>
                <c:pt idx="21">
                  <c:v>447934.5</c:v>
                </c:pt>
                <c:pt idx="22">
                  <c:v>245613</c:v>
                </c:pt>
                <c:pt idx="23">
                  <c:v>466488</c:v>
                </c:pt>
                <c:pt idx="24">
                  <c:v>-1667906.0353360893</c:v>
                </c:pt>
                <c:pt idx="25">
                  <c:v>273001.5</c:v>
                </c:pt>
                <c:pt idx="26">
                  <c:v>429381</c:v>
                </c:pt>
                <c:pt idx="27">
                  <c:v>429381</c:v>
                </c:pt>
                <c:pt idx="28">
                  <c:v>639654</c:v>
                </c:pt>
                <c:pt idx="29">
                  <c:v>-326680</c:v>
                </c:pt>
                <c:pt idx="30">
                  <c:v>429381</c:v>
                </c:pt>
                <c:pt idx="31">
                  <c:v>236778</c:v>
                </c:pt>
                <c:pt idx="32">
                  <c:v>474439.5</c:v>
                </c:pt>
                <c:pt idx="33">
                  <c:v>474439.5</c:v>
                </c:pt>
                <c:pt idx="34">
                  <c:v>260632.5</c:v>
                </c:pt>
                <c:pt idx="35">
                  <c:v>495643.5</c:v>
                </c:pt>
                <c:pt idx="36">
                  <c:v>-4522695.3286511172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2D-40C0-9AB4-7543524AA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051335"/>
        <c:axId val="1922595401"/>
      </c:lineChart>
      <c:catAx>
        <c:axId val="1838051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22595401"/>
        <c:crosses val="autoZero"/>
        <c:auto val="1"/>
        <c:lblAlgn val="ctr"/>
        <c:lblOffset val="100"/>
        <c:noMultiLvlLbl val="1"/>
      </c:catAx>
      <c:valAx>
        <c:axId val="1922595401"/>
        <c:scaling>
          <c:orientation val="minMax"/>
          <c:max val="150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#\ ##0_);\(#\ ##0\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380513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57151</xdr:colOff>
      <xdr:row>63</xdr:row>
      <xdr:rowOff>9525</xdr:rowOff>
    </xdr:from>
    <xdr:ext cx="4941570" cy="2558415"/>
    <xdr:pic>
      <xdr:nvPicPr>
        <xdr:cNvPr id="4" name="image6.png" title="Изображение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88431" y="14556105"/>
          <a:ext cx="4941570" cy="255841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  <xdr:oneCellAnchor>
    <xdr:from>
      <xdr:col>0</xdr:col>
      <xdr:colOff>66675</xdr:colOff>
      <xdr:row>62</xdr:row>
      <xdr:rowOff>163830</xdr:rowOff>
    </xdr:from>
    <xdr:ext cx="6303646" cy="2579370"/>
    <xdr:pic>
      <xdr:nvPicPr>
        <xdr:cNvPr id="5" name="image4.png" title="Изображение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675" y="14542770"/>
          <a:ext cx="6303646" cy="257937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81</xdr:row>
      <xdr:rowOff>38100</xdr:rowOff>
    </xdr:from>
    <xdr:ext cx="4370070" cy="3764280"/>
    <xdr:pic>
      <xdr:nvPicPr>
        <xdr:cNvPr id="6" name="image9.png" title="Изображение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3350" y="17632680"/>
          <a:ext cx="4370070" cy="376428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  <xdr:oneCellAnchor>
    <xdr:from>
      <xdr:col>8</xdr:col>
      <xdr:colOff>845820</xdr:colOff>
      <xdr:row>55</xdr:row>
      <xdr:rowOff>142875</xdr:rowOff>
    </xdr:from>
    <xdr:ext cx="1737359" cy="1503045"/>
    <xdr:pic>
      <xdr:nvPicPr>
        <xdr:cNvPr id="7" name="image5.png" title="Изображение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009120" y="12571095"/>
          <a:ext cx="1737359" cy="150304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57151</xdr:colOff>
      <xdr:row>8</xdr:row>
      <xdr:rowOff>45720</xdr:rowOff>
    </xdr:from>
    <xdr:ext cx="4888230" cy="3406140"/>
    <xdr:pic>
      <xdr:nvPicPr>
        <xdr:cNvPr id="8" name="image7.png" title="Изображение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7151" y="4457700"/>
          <a:ext cx="4888230" cy="340614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95251</xdr:colOff>
      <xdr:row>8</xdr:row>
      <xdr:rowOff>43815</xdr:rowOff>
    </xdr:from>
    <xdr:ext cx="4888230" cy="3400425"/>
    <xdr:pic>
      <xdr:nvPicPr>
        <xdr:cNvPr id="9" name="image2.png" title="Изображение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231131" y="4455795"/>
          <a:ext cx="4888230" cy="34004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133351</xdr:colOff>
      <xdr:row>32</xdr:row>
      <xdr:rowOff>76201</xdr:rowOff>
    </xdr:from>
    <xdr:ext cx="5071110" cy="3276600"/>
    <xdr:pic>
      <xdr:nvPicPr>
        <xdr:cNvPr id="10" name="image3.png" title="Изображение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33351" y="8564881"/>
          <a:ext cx="5071110" cy="32766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158115</xdr:colOff>
      <xdr:row>12</xdr:row>
      <xdr:rowOff>135255</xdr:rowOff>
    </xdr:from>
    <xdr:ext cx="6189345" cy="2966085"/>
    <xdr:graphicFrame macro="">
      <xdr:nvGraphicFramePr>
        <xdr:cNvPr id="2" name="Chart 1" title="Диаграмма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br.ru/hd_base/ruonia/dynamics/" TargetMode="External"/><Relationship Id="rId13" Type="http://schemas.openxmlformats.org/officeDocument/2006/relationships/hyperlink" Target="https://www.cbr.ru/Collection/Collection/File/55196/review_2024.pdf" TargetMode="External"/><Relationship Id="rId3" Type="http://schemas.openxmlformats.org/officeDocument/2006/relationships/hyperlink" Target="https://t-j.ru/kto-ti-gamer/?utm_referrer=https%3A%2F%2Fwww.google.com%2F" TargetMode="External"/><Relationship Id="rId7" Type="http://schemas.openxmlformats.org/officeDocument/2006/relationships/hyperlink" Target="https://cbr.ru/hd_base/KeyRate/" TargetMode="External"/><Relationship Id="rId12" Type="http://schemas.openxmlformats.org/officeDocument/2006/relationships/hyperlink" Target="https://&#1094;&#1092;&#1072;.&#1088;&#1092;/cfa-tokenizacia.html" TargetMode="External"/><Relationship Id="rId2" Type="http://schemas.openxmlformats.org/officeDocument/2006/relationships/hyperlink" Target="https://nafi.ru/projects/it-i-telekom/geyming-v-rossii-2022-sotsialnye-i-ekonomicheskie-effekty/" TargetMode="External"/><Relationship Id="rId1" Type="http://schemas.openxmlformats.org/officeDocument/2006/relationships/hyperlink" Target="https://&#1094;&#1092;&#1072;.&#1088;&#1092;/itogi-rynka-cfa-2024.html" TargetMode="External"/><Relationship Id="rId6" Type="http://schemas.openxmlformats.org/officeDocument/2006/relationships/hyperlink" Target="https://ru.tradingeconomics.com/russia/government-bond-yield" TargetMode="External"/><Relationship Id="rId11" Type="http://schemas.openxmlformats.org/officeDocument/2006/relationships/hyperlink" Target="https://cbr.ru/Content/Document/File/179982/forecast_250725.pdf" TargetMode="External"/><Relationship Id="rId5" Type="http://schemas.openxmlformats.org/officeDocument/2006/relationships/hyperlink" Target="https://strategy.ru/research/research/analiz-rossiyskogo-i-mirovogo-rynkov-videoigr-77/" TargetMode="External"/><Relationship Id="rId10" Type="http://schemas.openxmlformats.org/officeDocument/2006/relationships/hyperlink" Target="https://strategy.ru/research/research/analiz-rossiyskogo-i-mirovogo-rynkov-videoigr-77/" TargetMode="External"/><Relationship Id="rId4" Type="http://schemas.openxmlformats.org/officeDocument/2006/relationships/hyperlink" Target="https://nafi.ru/projects/it-i-telekom/geyming-v-rossii-2022-sotsialnye-i-ekonomicheskie-effekty/" TargetMode="External"/><Relationship Id="rId9" Type="http://schemas.openxmlformats.org/officeDocument/2006/relationships/hyperlink" Target="https://www.finam.ru/publications/item/tsb-sovmestno-s-uchastnikami-rynka-tsfa-opredelil-shagi-po-ego-razvitiyu-20250925-1643/" TargetMode="Externa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bp.legal/gaming" TargetMode="External"/><Relationship Id="rId2" Type="http://schemas.openxmlformats.org/officeDocument/2006/relationships/hyperlink" Target="https://ppc.world/articles/skolko-zarabatyvayut-digital-specialisty-v-2025-godu/" TargetMode="External"/><Relationship Id="rId1" Type="http://schemas.openxmlformats.org/officeDocument/2006/relationships/hyperlink" Target="https://ppc.world/articles/skolko-zarabatyvayut-digital-specialisty-v-2025-godu/" TargetMode="External"/><Relationship Id="rId5" Type="http://schemas.openxmlformats.org/officeDocument/2006/relationships/hyperlink" Target="https://digital.gov.ru/activity/gos-uslugi/akkreditacziya-it-kompanij" TargetMode="External"/><Relationship Id="rId4" Type="http://schemas.openxmlformats.org/officeDocument/2006/relationships/hyperlink" Target="https://static.cnews.ru/img/cnews/2024/12/24/conf2025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I174"/>
  <sheetViews>
    <sheetView topLeftCell="A121" workbookViewId="0">
      <selection activeCell="H62" sqref="H62"/>
    </sheetView>
  </sheetViews>
  <sheetFormatPr defaultColWidth="12.6640625" defaultRowHeight="15.75" customHeight="1" x14ac:dyDescent="0.25"/>
  <cols>
    <col min="1" max="1" width="30.21875" customWidth="1"/>
    <col min="2" max="2" width="27.44140625" customWidth="1"/>
    <col min="3" max="3" width="20.77734375" customWidth="1"/>
    <col min="4" max="4" width="19" customWidth="1"/>
    <col min="5" max="8" width="16.33203125" customWidth="1"/>
    <col min="9" max="9" width="13.77734375" customWidth="1"/>
    <col min="10" max="10" width="13.44140625" customWidth="1"/>
    <col min="11" max="11" width="12.88671875" customWidth="1"/>
    <col min="12" max="12" width="20.88671875" customWidth="1"/>
    <col min="13" max="13" width="13.33203125" customWidth="1"/>
    <col min="17" max="17" width="11.44140625" customWidth="1"/>
    <col min="18" max="21" width="12" customWidth="1"/>
  </cols>
  <sheetData>
    <row r="1" spans="1:35" ht="29.25" customHeight="1" x14ac:dyDescent="0.25">
      <c r="A1" s="198" t="s">
        <v>2</v>
      </c>
      <c r="B1" s="179"/>
      <c r="C1" s="179"/>
      <c r="D1" s="179"/>
      <c r="E1" s="179"/>
      <c r="F1" s="179"/>
      <c r="G1" s="179"/>
      <c r="H1" s="179"/>
      <c r="I1" s="179"/>
      <c r="J1" s="177"/>
      <c r="K1" s="4"/>
      <c r="L1" s="4"/>
      <c r="M1" s="4"/>
      <c r="N1" s="4"/>
    </row>
    <row r="2" spans="1:35" ht="54.6" customHeight="1" x14ac:dyDescent="0.25">
      <c r="A2" s="199" t="s">
        <v>3</v>
      </c>
      <c r="B2" s="200"/>
      <c r="C2" s="200"/>
      <c r="D2" s="200"/>
      <c r="E2" s="200"/>
      <c r="F2" s="200"/>
      <c r="G2" s="200"/>
      <c r="H2" s="200"/>
      <c r="I2" s="200"/>
      <c r="J2" s="201"/>
      <c r="K2" s="4"/>
      <c r="L2" s="4"/>
      <c r="M2" s="4"/>
      <c r="N2" s="4"/>
    </row>
    <row r="3" spans="1:35" ht="31.2" customHeight="1" x14ac:dyDescent="0.25">
      <c r="A3" s="202" t="s">
        <v>4</v>
      </c>
      <c r="B3" s="203"/>
      <c r="C3" s="203"/>
      <c r="D3" s="203"/>
      <c r="E3" s="203"/>
      <c r="F3" s="203"/>
      <c r="G3" s="203"/>
      <c r="H3" s="203"/>
      <c r="I3" s="203"/>
      <c r="J3" s="204"/>
      <c r="K3" s="4"/>
      <c r="L3" s="4"/>
      <c r="M3" s="4"/>
      <c r="N3" s="4"/>
    </row>
    <row r="4" spans="1:35" ht="169.8" customHeight="1" x14ac:dyDescent="0.25">
      <c r="A4" s="202" t="s">
        <v>5</v>
      </c>
      <c r="B4" s="203"/>
      <c r="C4" s="203"/>
      <c r="D4" s="203"/>
      <c r="E4" s="203"/>
      <c r="F4" s="203"/>
      <c r="G4" s="203"/>
      <c r="H4" s="203"/>
      <c r="I4" s="203"/>
      <c r="J4" s="204"/>
      <c r="K4" s="4"/>
      <c r="L4" s="4"/>
      <c r="M4" s="4"/>
      <c r="N4" s="4"/>
    </row>
    <row r="5" spans="1:35" ht="13.2" x14ac:dyDescent="0.25">
      <c r="A5" s="4"/>
      <c r="B5" s="5"/>
      <c r="C5" s="4"/>
      <c r="D5" s="5"/>
      <c r="E5" s="4"/>
      <c r="F5" s="5"/>
      <c r="G5" s="5"/>
      <c r="H5" s="5"/>
      <c r="I5" s="5"/>
      <c r="J5" s="4"/>
      <c r="K5" s="4"/>
      <c r="L5" s="4"/>
      <c r="M5" s="4"/>
      <c r="N5" s="4"/>
    </row>
    <row r="6" spans="1:35" ht="17.399999999999999" x14ac:dyDescent="0.25">
      <c r="A6" s="205" t="s">
        <v>6</v>
      </c>
      <c r="B6" s="183"/>
      <c r="C6" s="183"/>
      <c r="D6" s="183"/>
      <c r="E6" s="183"/>
      <c r="F6" s="183"/>
      <c r="G6" s="183"/>
      <c r="H6" s="183"/>
      <c r="I6" s="183"/>
      <c r="J6" s="183"/>
      <c r="K6" s="4"/>
      <c r="L6" s="4"/>
      <c r="M6" s="4"/>
      <c r="N6" s="4"/>
    </row>
    <row r="7" spans="1:35" ht="13.2" x14ac:dyDescent="0.25">
      <c r="A7" s="4"/>
      <c r="B7" s="5"/>
      <c r="C7" s="4"/>
      <c r="D7" s="5"/>
      <c r="E7" s="4"/>
      <c r="F7" s="5"/>
      <c r="G7" s="5"/>
      <c r="H7" s="5"/>
      <c r="I7" s="5"/>
      <c r="J7" s="4"/>
      <c r="K7" s="4"/>
      <c r="L7" s="4"/>
      <c r="M7" s="4"/>
      <c r="N7" s="4"/>
    </row>
    <row r="8" spans="1:35" ht="19.5" customHeight="1" x14ac:dyDescent="0.25">
      <c r="A8" s="182" t="s">
        <v>7</v>
      </c>
      <c r="B8" s="183"/>
      <c r="C8" s="183"/>
      <c r="D8" s="183"/>
      <c r="E8" s="183"/>
      <c r="F8" s="183"/>
      <c r="G8" s="183"/>
      <c r="H8" s="183"/>
      <c r="I8" s="7"/>
      <c r="J8" s="8"/>
      <c r="K8" s="8"/>
      <c r="L8" s="8"/>
      <c r="M8" s="8"/>
      <c r="N8" s="8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 spans="1:35" ht="13.2" x14ac:dyDescent="0.25">
      <c r="A9" s="4"/>
      <c r="B9" s="5"/>
      <c r="C9" s="4"/>
      <c r="D9" s="5"/>
      <c r="E9" s="4"/>
      <c r="F9" s="5"/>
      <c r="G9" s="5"/>
      <c r="H9" s="5"/>
      <c r="I9" s="5"/>
      <c r="J9" s="4"/>
      <c r="K9" s="4"/>
      <c r="L9" s="4"/>
      <c r="M9" s="4"/>
      <c r="N9" s="4"/>
    </row>
    <row r="10" spans="1:35" ht="13.2" x14ac:dyDescent="0.25">
      <c r="A10" s="4"/>
      <c r="B10" s="5"/>
      <c r="C10" s="4"/>
      <c r="D10" s="5"/>
      <c r="E10" s="4"/>
      <c r="F10" s="5"/>
      <c r="G10" s="5"/>
      <c r="H10" s="5"/>
      <c r="I10" s="5"/>
      <c r="J10" s="4"/>
      <c r="K10" s="4"/>
      <c r="L10" s="4"/>
      <c r="M10" s="4"/>
      <c r="N10" s="4"/>
    </row>
    <row r="11" spans="1:35" ht="13.2" x14ac:dyDescent="0.25">
      <c r="A11" s="4"/>
      <c r="B11" s="5"/>
      <c r="C11" s="4"/>
      <c r="D11" s="5"/>
      <c r="E11" s="4"/>
      <c r="F11" s="5"/>
      <c r="G11" s="5"/>
      <c r="H11" s="5"/>
      <c r="I11" s="5"/>
      <c r="J11" s="4"/>
      <c r="K11" s="4"/>
      <c r="L11" s="4"/>
      <c r="M11" s="4"/>
      <c r="N11" s="4"/>
    </row>
    <row r="12" spans="1:35" ht="13.2" x14ac:dyDescent="0.25">
      <c r="A12" s="4"/>
      <c r="B12" s="5"/>
      <c r="C12" s="4"/>
      <c r="D12" s="5"/>
      <c r="E12" s="4"/>
      <c r="F12" s="5"/>
      <c r="G12" s="5"/>
      <c r="H12" s="5"/>
      <c r="I12" s="5"/>
      <c r="J12" s="4"/>
      <c r="K12" s="4"/>
      <c r="L12" s="4"/>
      <c r="M12" s="4"/>
      <c r="N12" s="4"/>
    </row>
    <row r="13" spans="1:35" ht="13.2" x14ac:dyDescent="0.25">
      <c r="A13" s="4"/>
      <c r="B13" s="5"/>
      <c r="C13" s="4"/>
      <c r="D13" s="5"/>
      <c r="E13" s="4"/>
      <c r="F13" s="5"/>
      <c r="G13" s="5"/>
      <c r="H13" s="5"/>
      <c r="I13" s="5"/>
      <c r="J13" s="4"/>
      <c r="K13" s="4"/>
      <c r="L13" s="4"/>
      <c r="M13" s="4"/>
      <c r="N13" s="4"/>
    </row>
    <row r="14" spans="1:35" ht="13.2" x14ac:dyDescent="0.25">
      <c r="A14" s="4"/>
      <c r="B14" s="5"/>
      <c r="C14" s="4"/>
      <c r="D14" s="5"/>
      <c r="E14" s="4"/>
      <c r="F14" s="5"/>
      <c r="G14" s="5"/>
      <c r="H14" s="5"/>
      <c r="I14" s="5"/>
      <c r="J14" s="4"/>
      <c r="K14" s="4"/>
      <c r="L14" s="4"/>
      <c r="M14" s="4"/>
      <c r="N14" s="4"/>
    </row>
    <row r="15" spans="1:35" ht="13.2" x14ac:dyDescent="0.25">
      <c r="A15" s="4"/>
      <c r="B15" s="5"/>
      <c r="C15" s="4"/>
      <c r="D15" s="5"/>
      <c r="E15" s="4"/>
      <c r="F15" s="5"/>
      <c r="G15" s="5"/>
      <c r="H15" s="5"/>
      <c r="I15" s="5"/>
      <c r="J15" s="4"/>
      <c r="K15" s="4"/>
      <c r="L15" s="4"/>
      <c r="M15" s="4"/>
      <c r="N15" s="4"/>
    </row>
    <row r="16" spans="1:35" ht="13.2" x14ac:dyDescent="0.25">
      <c r="A16" s="4"/>
      <c r="B16" s="5"/>
      <c r="C16" s="4"/>
      <c r="D16" s="5"/>
      <c r="E16" s="4"/>
      <c r="F16" s="5"/>
      <c r="G16" s="5"/>
      <c r="H16" s="5"/>
      <c r="I16" s="5"/>
      <c r="J16" s="4"/>
      <c r="K16" s="4"/>
      <c r="L16" s="4"/>
      <c r="M16" s="4"/>
      <c r="N16" s="4"/>
    </row>
    <row r="17" spans="1:14" ht="13.2" x14ac:dyDescent="0.25">
      <c r="A17" s="4"/>
      <c r="B17" s="5"/>
      <c r="C17" s="4"/>
      <c r="D17" s="5"/>
      <c r="E17" s="4"/>
      <c r="F17" s="5"/>
      <c r="G17" s="5"/>
      <c r="H17" s="5"/>
      <c r="I17" s="5"/>
      <c r="J17" s="4"/>
      <c r="K17" s="4"/>
      <c r="L17" s="4"/>
      <c r="M17" s="4"/>
      <c r="N17" s="4"/>
    </row>
    <row r="18" spans="1:14" ht="13.2" x14ac:dyDescent="0.25">
      <c r="A18" s="4"/>
      <c r="B18" s="5"/>
      <c r="C18" s="4"/>
      <c r="D18" s="5"/>
      <c r="E18" s="4"/>
      <c r="F18" s="5"/>
      <c r="G18" s="5"/>
      <c r="H18" s="5"/>
      <c r="I18" s="5"/>
      <c r="J18" s="4"/>
      <c r="K18" s="4"/>
      <c r="L18" s="4"/>
      <c r="M18" s="4"/>
      <c r="N18" s="4"/>
    </row>
    <row r="19" spans="1:14" ht="13.2" x14ac:dyDescent="0.25">
      <c r="A19" s="4"/>
      <c r="B19" s="5"/>
      <c r="C19" s="4"/>
      <c r="D19" s="5"/>
      <c r="E19" s="4"/>
      <c r="F19" s="5"/>
      <c r="G19" s="5"/>
      <c r="H19" s="5"/>
      <c r="I19" s="5"/>
      <c r="J19" s="4"/>
      <c r="K19" s="4"/>
      <c r="L19" s="4"/>
      <c r="M19" s="4"/>
      <c r="N19" s="4"/>
    </row>
    <row r="20" spans="1:14" ht="13.2" x14ac:dyDescent="0.25">
      <c r="A20" s="4"/>
      <c r="B20" s="5"/>
      <c r="C20" s="4"/>
      <c r="D20" s="5"/>
      <c r="E20" s="4"/>
      <c r="F20" s="5"/>
      <c r="G20" s="5"/>
      <c r="H20" s="5"/>
      <c r="I20" s="5"/>
      <c r="J20" s="4"/>
      <c r="K20" s="4"/>
      <c r="L20" s="4"/>
      <c r="M20" s="4"/>
      <c r="N20" s="4"/>
    </row>
    <row r="21" spans="1:14" ht="13.2" x14ac:dyDescent="0.25">
      <c r="A21" s="4"/>
      <c r="B21" s="5"/>
      <c r="C21" s="4"/>
      <c r="D21" s="5"/>
      <c r="E21" s="4"/>
      <c r="F21" s="5"/>
      <c r="G21" s="5"/>
      <c r="H21" s="5"/>
      <c r="I21" s="5"/>
      <c r="J21" s="4"/>
      <c r="K21" s="4"/>
      <c r="L21" s="4"/>
      <c r="M21" s="4"/>
      <c r="N21" s="4"/>
    </row>
    <row r="22" spans="1:14" ht="13.2" x14ac:dyDescent="0.25">
      <c r="A22" s="4"/>
      <c r="B22" s="5"/>
      <c r="C22" s="4"/>
      <c r="D22" s="5"/>
      <c r="E22" s="4"/>
      <c r="F22" s="5"/>
      <c r="G22" s="5"/>
      <c r="H22" s="5"/>
      <c r="I22" s="5"/>
      <c r="J22" s="4"/>
      <c r="K22" s="4"/>
      <c r="L22" s="4"/>
      <c r="M22" s="4"/>
      <c r="N22" s="4"/>
    </row>
    <row r="23" spans="1:14" ht="13.2" x14ac:dyDescent="0.25">
      <c r="A23" s="4"/>
      <c r="B23" s="5"/>
      <c r="C23" s="4"/>
      <c r="D23" s="5"/>
      <c r="E23" s="4"/>
      <c r="F23" s="5"/>
      <c r="G23" s="5"/>
      <c r="H23" s="5"/>
      <c r="I23" s="5"/>
      <c r="J23" s="4"/>
      <c r="K23" s="4"/>
      <c r="L23" s="4"/>
      <c r="M23" s="4"/>
      <c r="N23" s="4"/>
    </row>
    <row r="24" spans="1:14" ht="13.2" x14ac:dyDescent="0.25">
      <c r="A24" s="4"/>
      <c r="B24" s="5"/>
      <c r="C24" s="4"/>
      <c r="D24" s="5"/>
      <c r="E24" s="4"/>
      <c r="F24" s="5"/>
      <c r="G24" s="5"/>
      <c r="H24" s="5"/>
      <c r="I24" s="5"/>
      <c r="J24" s="4"/>
      <c r="K24" s="4"/>
      <c r="L24" s="4"/>
      <c r="M24" s="4"/>
      <c r="N24" s="4"/>
    </row>
    <row r="25" spans="1:14" ht="13.2" x14ac:dyDescent="0.25">
      <c r="A25" s="4"/>
      <c r="B25" s="5"/>
      <c r="C25" s="4"/>
      <c r="D25" s="5"/>
      <c r="E25" s="4"/>
      <c r="F25" s="5"/>
      <c r="G25" s="5"/>
      <c r="H25" s="5"/>
      <c r="I25" s="5"/>
      <c r="J25" s="4"/>
      <c r="K25" s="4"/>
      <c r="L25" s="4"/>
      <c r="M25" s="4"/>
      <c r="N25" s="4"/>
    </row>
    <row r="26" spans="1:14" ht="13.2" x14ac:dyDescent="0.25">
      <c r="A26" s="4"/>
      <c r="B26" s="5"/>
      <c r="C26" s="4"/>
      <c r="D26" s="5"/>
      <c r="E26" s="4"/>
      <c r="F26" s="5"/>
      <c r="G26" s="5"/>
      <c r="H26" s="5"/>
      <c r="I26" s="5"/>
      <c r="J26" s="4"/>
      <c r="K26" s="4"/>
      <c r="L26" s="4"/>
      <c r="M26" s="4"/>
      <c r="N26" s="4"/>
    </row>
    <row r="27" spans="1:14" ht="13.2" x14ac:dyDescent="0.25">
      <c r="A27" s="4"/>
      <c r="B27" s="5"/>
      <c r="C27" s="4"/>
      <c r="D27" s="5"/>
      <c r="E27" s="4"/>
      <c r="F27" s="5"/>
      <c r="G27" s="5"/>
      <c r="H27" s="5"/>
      <c r="I27" s="5"/>
      <c r="J27" s="4"/>
      <c r="K27" s="4"/>
      <c r="L27" s="4"/>
      <c r="M27" s="4"/>
      <c r="N27" s="4"/>
    </row>
    <row r="28" spans="1:14" ht="13.2" x14ac:dyDescent="0.25">
      <c r="A28" s="4"/>
      <c r="B28" s="5"/>
      <c r="C28" s="4"/>
      <c r="D28" s="5"/>
      <c r="E28" s="4"/>
      <c r="F28" s="5"/>
      <c r="G28" s="5"/>
      <c r="H28" s="5"/>
      <c r="I28" s="5"/>
      <c r="J28" s="4"/>
      <c r="K28" s="4"/>
      <c r="L28" s="4"/>
      <c r="M28" s="4"/>
      <c r="N28" s="4"/>
    </row>
    <row r="29" spans="1:14" ht="13.2" x14ac:dyDescent="0.25">
      <c r="B29" s="5"/>
      <c r="C29" s="4"/>
      <c r="D29" s="5"/>
      <c r="E29" s="4"/>
      <c r="F29" s="5"/>
      <c r="G29" s="5"/>
      <c r="H29" s="5"/>
      <c r="I29" s="5"/>
      <c r="J29" s="4"/>
      <c r="K29" s="4"/>
      <c r="L29" s="4"/>
      <c r="M29" s="4"/>
      <c r="N29" s="4"/>
    </row>
    <row r="30" spans="1:14" ht="13.2" x14ac:dyDescent="0.25">
      <c r="A30" s="10" t="s">
        <v>8</v>
      </c>
      <c r="B30" s="5"/>
      <c r="C30" s="4"/>
      <c r="D30" s="5"/>
      <c r="E30" s="4"/>
      <c r="F30" s="5"/>
      <c r="G30" s="5"/>
      <c r="H30" s="5"/>
      <c r="I30" s="5"/>
      <c r="J30" s="4"/>
      <c r="K30" s="4"/>
      <c r="L30" s="4"/>
      <c r="M30" s="4"/>
      <c r="N30" s="4"/>
    </row>
    <row r="31" spans="1:14" ht="15.6" customHeight="1" x14ac:dyDescent="0.25">
      <c r="B31" s="5"/>
      <c r="C31" s="4"/>
      <c r="D31" s="206" t="s">
        <v>288</v>
      </c>
      <c r="E31" s="207"/>
      <c r="F31" s="207"/>
      <c r="G31" s="207"/>
      <c r="H31" s="207"/>
      <c r="I31" s="207"/>
      <c r="J31" s="208"/>
      <c r="K31" s="4"/>
      <c r="L31" s="4"/>
      <c r="M31" s="4"/>
      <c r="N31" s="4"/>
    </row>
    <row r="32" spans="1:14" ht="17.399999999999999" customHeight="1" x14ac:dyDescent="0.25">
      <c r="A32" s="184" t="s">
        <v>9</v>
      </c>
      <c r="B32" s="183"/>
      <c r="C32" s="183"/>
      <c r="D32" s="209"/>
      <c r="E32" s="210"/>
      <c r="F32" s="210"/>
      <c r="G32" s="210"/>
      <c r="H32" s="210"/>
      <c r="I32" s="210"/>
      <c r="J32" s="211"/>
      <c r="K32" s="4"/>
      <c r="L32" s="4"/>
      <c r="M32" s="4"/>
      <c r="N32" s="4"/>
    </row>
    <row r="33" spans="1:14" ht="13.2" customHeight="1" x14ac:dyDescent="0.25">
      <c r="A33" s="4"/>
      <c r="B33" s="5"/>
      <c r="C33" s="4"/>
      <c r="D33" s="209"/>
      <c r="E33" s="210"/>
      <c r="F33" s="210"/>
      <c r="G33" s="210"/>
      <c r="H33" s="210"/>
      <c r="I33" s="210"/>
      <c r="J33" s="211"/>
      <c r="K33" s="4"/>
      <c r="L33" s="4"/>
      <c r="M33" s="4"/>
      <c r="N33" s="4"/>
    </row>
    <row r="34" spans="1:14" ht="13.2" customHeight="1" x14ac:dyDescent="0.25">
      <c r="A34" s="4"/>
      <c r="B34" s="5"/>
      <c r="C34" s="4"/>
      <c r="D34" s="209"/>
      <c r="E34" s="210"/>
      <c r="F34" s="210"/>
      <c r="G34" s="210"/>
      <c r="H34" s="210"/>
      <c r="I34" s="210"/>
      <c r="J34" s="211"/>
      <c r="K34" s="4"/>
      <c r="L34" s="4"/>
      <c r="M34" s="4"/>
      <c r="N34" s="4"/>
    </row>
    <row r="35" spans="1:14" ht="13.2" customHeight="1" x14ac:dyDescent="0.25">
      <c r="D35" s="209"/>
      <c r="E35" s="210"/>
      <c r="F35" s="210"/>
      <c r="G35" s="210"/>
      <c r="H35" s="210"/>
      <c r="I35" s="210"/>
      <c r="J35" s="211"/>
    </row>
    <row r="36" spans="1:14" ht="13.2" customHeight="1" x14ac:dyDescent="0.25">
      <c r="D36" s="209"/>
      <c r="E36" s="210"/>
      <c r="F36" s="210"/>
      <c r="G36" s="210"/>
      <c r="H36" s="210"/>
      <c r="I36" s="210"/>
      <c r="J36" s="211"/>
    </row>
    <row r="37" spans="1:14" ht="13.2" customHeight="1" x14ac:dyDescent="0.25">
      <c r="D37" s="209"/>
      <c r="E37" s="210"/>
      <c r="F37" s="210"/>
      <c r="G37" s="210"/>
      <c r="H37" s="210"/>
      <c r="I37" s="210"/>
      <c r="J37" s="211"/>
    </row>
    <row r="38" spans="1:14" ht="13.2" customHeight="1" x14ac:dyDescent="0.25">
      <c r="D38" s="209"/>
      <c r="E38" s="210"/>
      <c r="F38" s="210"/>
      <c r="G38" s="210"/>
      <c r="H38" s="210"/>
      <c r="I38" s="210"/>
      <c r="J38" s="211"/>
    </row>
    <row r="39" spans="1:14" ht="13.2" customHeight="1" x14ac:dyDescent="0.25">
      <c r="D39" s="209"/>
      <c r="E39" s="210"/>
      <c r="F39" s="210"/>
      <c r="G39" s="210"/>
      <c r="H39" s="210"/>
      <c r="I39" s="210"/>
      <c r="J39" s="211"/>
    </row>
    <row r="40" spans="1:14" ht="13.2" customHeight="1" x14ac:dyDescent="0.25">
      <c r="D40" s="209"/>
      <c r="E40" s="210"/>
      <c r="F40" s="210"/>
      <c r="G40" s="210"/>
      <c r="H40" s="210"/>
      <c r="I40" s="210"/>
      <c r="J40" s="211"/>
    </row>
    <row r="41" spans="1:14" ht="13.2" customHeight="1" x14ac:dyDescent="0.25">
      <c r="D41" s="209"/>
      <c r="E41" s="210"/>
      <c r="F41" s="210"/>
      <c r="G41" s="210"/>
      <c r="H41" s="210"/>
      <c r="I41" s="210"/>
      <c r="J41" s="211"/>
    </row>
    <row r="42" spans="1:14" ht="13.2" customHeight="1" x14ac:dyDescent="0.25">
      <c r="D42" s="209"/>
      <c r="E42" s="210"/>
      <c r="F42" s="210"/>
      <c r="G42" s="210"/>
      <c r="H42" s="210"/>
      <c r="I42" s="210"/>
      <c r="J42" s="211"/>
    </row>
    <row r="43" spans="1:14" ht="13.2" customHeight="1" x14ac:dyDescent="0.25">
      <c r="D43" s="209"/>
      <c r="E43" s="210"/>
      <c r="F43" s="210"/>
      <c r="G43" s="210"/>
      <c r="H43" s="210"/>
      <c r="I43" s="210"/>
      <c r="J43" s="211"/>
    </row>
    <row r="44" spans="1:14" ht="13.2" customHeight="1" x14ac:dyDescent="0.25">
      <c r="D44" s="209"/>
      <c r="E44" s="210"/>
      <c r="F44" s="210"/>
      <c r="G44" s="210"/>
      <c r="H44" s="210"/>
      <c r="I44" s="210"/>
      <c r="J44" s="211"/>
    </row>
    <row r="45" spans="1:14" ht="13.2" customHeight="1" x14ac:dyDescent="0.25">
      <c r="D45" s="209"/>
      <c r="E45" s="210"/>
      <c r="F45" s="210"/>
      <c r="G45" s="210"/>
      <c r="H45" s="210"/>
      <c r="I45" s="210"/>
      <c r="J45" s="211"/>
    </row>
    <row r="46" spans="1:14" ht="13.2" customHeight="1" x14ac:dyDescent="0.25">
      <c r="D46" s="209"/>
      <c r="E46" s="210"/>
      <c r="F46" s="210"/>
      <c r="G46" s="210"/>
      <c r="H46" s="210"/>
      <c r="I46" s="210"/>
      <c r="J46" s="211"/>
    </row>
    <row r="47" spans="1:14" ht="13.2" customHeight="1" x14ac:dyDescent="0.25">
      <c r="A47" s="4"/>
      <c r="B47" s="5"/>
      <c r="C47" s="4"/>
      <c r="D47" s="209"/>
      <c r="E47" s="210"/>
      <c r="F47" s="210"/>
      <c r="G47" s="210"/>
      <c r="H47" s="210"/>
      <c r="I47" s="210"/>
      <c r="J47" s="211"/>
      <c r="K47" s="4"/>
      <c r="L47" s="4"/>
      <c r="M47" s="4"/>
      <c r="N47" s="4"/>
    </row>
    <row r="48" spans="1:14" ht="13.2" customHeight="1" x14ac:dyDescent="0.25">
      <c r="D48" s="209"/>
      <c r="E48" s="210"/>
      <c r="F48" s="210"/>
      <c r="G48" s="210"/>
      <c r="H48" s="210"/>
      <c r="I48" s="210"/>
      <c r="J48" s="211"/>
    </row>
    <row r="49" spans="1:35" ht="13.2" customHeight="1" x14ac:dyDescent="0.25">
      <c r="D49" s="209"/>
      <c r="E49" s="210"/>
      <c r="F49" s="210"/>
      <c r="G49" s="210"/>
      <c r="H49" s="210"/>
      <c r="I49" s="210"/>
      <c r="J49" s="211"/>
    </row>
    <row r="50" spans="1:35" ht="13.2" customHeight="1" x14ac:dyDescent="0.25">
      <c r="D50" s="209"/>
      <c r="E50" s="210"/>
      <c r="F50" s="210"/>
      <c r="G50" s="210"/>
      <c r="H50" s="210"/>
      <c r="I50" s="210"/>
      <c r="J50" s="211"/>
    </row>
    <row r="51" spans="1:35" ht="13.2" customHeight="1" x14ac:dyDescent="0.25">
      <c r="D51" s="209"/>
      <c r="E51" s="210"/>
      <c r="F51" s="210"/>
      <c r="G51" s="210"/>
      <c r="H51" s="210"/>
      <c r="I51" s="210"/>
      <c r="J51" s="211"/>
    </row>
    <row r="52" spans="1:35" ht="13.2" customHeight="1" x14ac:dyDescent="0.25">
      <c r="D52" s="212"/>
      <c r="E52" s="213"/>
      <c r="F52" s="213"/>
      <c r="G52" s="213"/>
      <c r="H52" s="213"/>
      <c r="I52" s="213"/>
      <c r="J52" s="214"/>
    </row>
    <row r="53" spans="1:35" ht="13.2" customHeight="1" x14ac:dyDescent="0.25">
      <c r="E53" s="141" t="s">
        <v>265</v>
      </c>
      <c r="F53" s="149" t="s">
        <v>266</v>
      </c>
      <c r="G53" s="104"/>
      <c r="H53" s="104"/>
      <c r="I53" s="104"/>
    </row>
    <row r="54" spans="1:35" ht="13.2" x14ac:dyDescent="0.25">
      <c r="A54" s="11"/>
      <c r="F54" s="170" t="s">
        <v>289</v>
      </c>
    </row>
    <row r="55" spans="1:35" ht="17.399999999999999" x14ac:dyDescent="0.25">
      <c r="A55" s="182" t="s">
        <v>10</v>
      </c>
      <c r="B55" s="183"/>
      <c r="C55" s="183"/>
      <c r="D55" s="183"/>
      <c r="E55" s="183"/>
      <c r="F55" s="183"/>
      <c r="G55" s="183"/>
      <c r="H55" s="183"/>
      <c r="I55" s="6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</row>
    <row r="56" spans="1:35" ht="15.6" x14ac:dyDescent="0.25">
      <c r="A56" s="12"/>
      <c r="B56" s="12"/>
      <c r="C56" s="12"/>
      <c r="D56" s="12"/>
      <c r="E56" s="12"/>
    </row>
    <row r="57" spans="1:35" ht="13.8" x14ac:dyDescent="0.25">
      <c r="A57" s="195" t="s">
        <v>11</v>
      </c>
      <c r="B57" s="196"/>
      <c r="C57" s="196"/>
      <c r="D57" s="196"/>
      <c r="E57" s="197"/>
    </row>
    <row r="58" spans="1:35" ht="13.8" x14ac:dyDescent="0.25">
      <c r="A58" s="13"/>
      <c r="B58" s="13" t="s">
        <v>12</v>
      </c>
      <c r="C58" s="13" t="s">
        <v>13</v>
      </c>
      <c r="D58" s="13" t="s">
        <v>14</v>
      </c>
      <c r="E58" s="13" t="s">
        <v>15</v>
      </c>
    </row>
    <row r="59" spans="1:35" ht="27.6" x14ac:dyDescent="0.25">
      <c r="A59" s="14" t="s">
        <v>16</v>
      </c>
      <c r="B59" s="142" t="s">
        <v>17</v>
      </c>
      <c r="C59" s="143">
        <v>0.6</v>
      </c>
      <c r="D59" s="144">
        <f>87.671956</f>
        <v>87.671955999999994</v>
      </c>
      <c r="E59" s="15" t="s">
        <v>18</v>
      </c>
      <c r="F59" s="148" t="s">
        <v>264</v>
      </c>
    </row>
    <row r="60" spans="1:35" ht="27.6" x14ac:dyDescent="0.25">
      <c r="A60" s="14" t="s">
        <v>19</v>
      </c>
      <c r="B60" s="142" t="s">
        <v>20</v>
      </c>
      <c r="C60" s="143">
        <v>0.17</v>
      </c>
      <c r="D60" s="145">
        <v>25</v>
      </c>
      <c r="E60" s="145" t="s">
        <v>21</v>
      </c>
      <c r="F60" s="148" t="s">
        <v>264</v>
      </c>
    </row>
    <row r="61" spans="1:35" ht="27.6" customHeight="1" x14ac:dyDescent="0.25">
      <c r="A61" s="14" t="s">
        <v>22</v>
      </c>
      <c r="B61" s="142" t="s">
        <v>23</v>
      </c>
      <c r="C61" s="146">
        <v>0.05</v>
      </c>
      <c r="D61" s="147">
        <v>7.3</v>
      </c>
      <c r="E61" s="15" t="s">
        <v>24</v>
      </c>
      <c r="F61" s="148" t="s">
        <v>264</v>
      </c>
    </row>
    <row r="62" spans="1:35" ht="80.400000000000006" customHeight="1" x14ac:dyDescent="0.25">
      <c r="A62" s="171"/>
      <c r="B62" s="172"/>
      <c r="C62" s="225" t="s">
        <v>290</v>
      </c>
      <c r="D62" s="226"/>
      <c r="E62" s="226"/>
      <c r="F62" s="174"/>
      <c r="G62" s="173"/>
      <c r="H62" s="173"/>
      <c r="I62" s="173"/>
    </row>
    <row r="63" spans="1:35" ht="13.2" x14ac:dyDescent="0.25">
      <c r="G63" s="3"/>
      <c r="H63" s="3"/>
    </row>
    <row r="64" spans="1:35" ht="13.2" x14ac:dyDescent="0.25">
      <c r="G64" s="3"/>
      <c r="H64" s="3"/>
    </row>
    <row r="65" spans="1:5" ht="13.2" x14ac:dyDescent="0.25">
      <c r="A65" s="11"/>
    </row>
    <row r="66" spans="1:5" ht="13.2" x14ac:dyDescent="0.25">
      <c r="A66" s="11"/>
    </row>
    <row r="67" spans="1:5" ht="13.2" x14ac:dyDescent="0.25">
      <c r="A67" s="11"/>
    </row>
    <row r="68" spans="1:5" ht="13.2" x14ac:dyDescent="0.25">
      <c r="A68" s="11"/>
    </row>
    <row r="69" spans="1:5" ht="13.2" x14ac:dyDescent="0.25">
      <c r="A69" s="11"/>
    </row>
    <row r="70" spans="1:5" ht="13.2" x14ac:dyDescent="0.25">
      <c r="A70" s="11"/>
    </row>
    <row r="71" spans="1:5" ht="13.2" x14ac:dyDescent="0.25">
      <c r="A71" s="11"/>
    </row>
    <row r="72" spans="1:5" ht="13.2" x14ac:dyDescent="0.25">
      <c r="A72" s="11"/>
    </row>
    <row r="73" spans="1:5" ht="13.2" x14ac:dyDescent="0.25">
      <c r="A73" s="11"/>
    </row>
    <row r="74" spans="1:5" ht="13.2" x14ac:dyDescent="0.25">
      <c r="A74" s="11"/>
    </row>
    <row r="75" spans="1:5" ht="13.2" x14ac:dyDescent="0.25">
      <c r="A75" s="11"/>
    </row>
    <row r="77" spans="1:5" ht="13.2" x14ac:dyDescent="0.25">
      <c r="A77" s="11"/>
    </row>
    <row r="78" spans="1:5" ht="13.2" x14ac:dyDescent="0.25">
      <c r="A78" s="11"/>
      <c r="B78" s="11"/>
      <c r="C78" s="11"/>
      <c r="D78" s="11"/>
      <c r="E78" s="11"/>
    </row>
    <row r="79" spans="1:5" ht="13.2" x14ac:dyDescent="0.25">
      <c r="A79" s="11"/>
      <c r="B79" s="11"/>
      <c r="C79" s="11"/>
      <c r="D79" s="11"/>
      <c r="E79" s="11"/>
    </row>
    <row r="80" spans="1:5" ht="13.2" x14ac:dyDescent="0.25">
      <c r="A80" s="10" t="s">
        <v>25</v>
      </c>
      <c r="B80" s="11"/>
      <c r="C80" s="11"/>
      <c r="D80" s="11"/>
      <c r="E80" s="11"/>
    </row>
    <row r="81" spans="1:10" ht="13.2" customHeight="1" x14ac:dyDescent="0.25">
      <c r="B81" s="11"/>
      <c r="C81" s="11"/>
      <c r="E81" s="150"/>
      <c r="F81" s="150"/>
      <c r="G81" s="150"/>
      <c r="H81" s="150"/>
      <c r="I81" s="150"/>
      <c r="J81" s="150"/>
    </row>
    <row r="82" spans="1:10" ht="13.2" customHeight="1" x14ac:dyDescent="0.25">
      <c r="A82" s="11"/>
      <c r="B82" s="11"/>
      <c r="C82" s="11"/>
      <c r="D82" s="227" t="s">
        <v>26</v>
      </c>
      <c r="E82" s="227"/>
      <c r="F82" s="227"/>
      <c r="G82" s="227"/>
      <c r="H82" s="227"/>
      <c r="I82" s="227"/>
      <c r="J82" s="227"/>
    </row>
    <row r="83" spans="1:10" ht="13.2" customHeight="1" x14ac:dyDescent="0.25">
      <c r="A83" s="11"/>
      <c r="B83" s="11"/>
      <c r="C83" s="11"/>
      <c r="D83" s="227"/>
      <c r="E83" s="227"/>
      <c r="F83" s="227"/>
      <c r="G83" s="227"/>
      <c r="H83" s="227"/>
      <c r="I83" s="227"/>
      <c r="J83" s="227"/>
    </row>
    <row r="84" spans="1:10" ht="13.2" customHeight="1" x14ac:dyDescent="0.25">
      <c r="A84" s="11"/>
      <c r="D84" s="227"/>
      <c r="E84" s="227"/>
      <c r="F84" s="227"/>
      <c r="G84" s="227"/>
      <c r="H84" s="227"/>
      <c r="I84" s="227"/>
      <c r="J84" s="227"/>
    </row>
    <row r="85" spans="1:10" ht="15.75" customHeight="1" x14ac:dyDescent="0.25">
      <c r="D85" s="227"/>
      <c r="E85" s="227"/>
      <c r="F85" s="227"/>
      <c r="G85" s="227"/>
      <c r="H85" s="227"/>
      <c r="I85" s="227"/>
      <c r="J85" s="227"/>
    </row>
    <row r="86" spans="1:10" ht="15.75" customHeight="1" x14ac:dyDescent="0.25">
      <c r="D86" s="227"/>
      <c r="E86" s="227"/>
      <c r="F86" s="227"/>
      <c r="G86" s="227"/>
      <c r="H86" s="227"/>
      <c r="I86" s="227"/>
      <c r="J86" s="227"/>
    </row>
    <row r="87" spans="1:10" ht="15.75" customHeight="1" x14ac:dyDescent="0.25">
      <c r="D87" s="227"/>
      <c r="E87" s="227"/>
      <c r="F87" s="227"/>
      <c r="G87" s="227"/>
      <c r="H87" s="227"/>
      <c r="I87" s="227"/>
      <c r="J87" s="227"/>
    </row>
    <row r="88" spans="1:10" ht="15.75" customHeight="1" x14ac:dyDescent="0.25">
      <c r="D88" s="227"/>
      <c r="E88" s="227"/>
      <c r="F88" s="227"/>
      <c r="G88" s="227"/>
      <c r="H88" s="227"/>
      <c r="I88" s="227"/>
      <c r="J88" s="227"/>
    </row>
    <row r="89" spans="1:10" ht="15.75" customHeight="1" x14ac:dyDescent="0.25">
      <c r="D89" s="227"/>
      <c r="E89" s="227"/>
      <c r="F89" s="227"/>
      <c r="G89" s="227"/>
      <c r="H89" s="227"/>
      <c r="I89" s="227"/>
      <c r="J89" s="227"/>
    </row>
    <row r="90" spans="1:10" ht="15.75" customHeight="1" x14ac:dyDescent="0.25">
      <c r="D90" s="227"/>
      <c r="E90" s="227"/>
      <c r="F90" s="227"/>
      <c r="G90" s="227"/>
      <c r="H90" s="227"/>
      <c r="I90" s="227"/>
      <c r="J90" s="227"/>
    </row>
    <row r="91" spans="1:10" ht="15.75" customHeight="1" x14ac:dyDescent="0.25">
      <c r="D91" s="227"/>
      <c r="E91" s="227"/>
      <c r="F91" s="227"/>
      <c r="G91" s="227"/>
      <c r="H91" s="227"/>
      <c r="I91" s="227"/>
      <c r="J91" s="227"/>
    </row>
    <row r="92" spans="1:10" ht="15.75" customHeight="1" x14ac:dyDescent="0.25">
      <c r="D92" s="227"/>
      <c r="E92" s="227"/>
      <c r="F92" s="227"/>
      <c r="G92" s="227"/>
      <c r="H92" s="227"/>
      <c r="I92" s="227"/>
      <c r="J92" s="227"/>
    </row>
    <row r="93" spans="1:10" ht="15.75" customHeight="1" x14ac:dyDescent="0.25">
      <c r="D93" s="227"/>
      <c r="E93" s="227"/>
      <c r="F93" s="227"/>
      <c r="G93" s="227"/>
      <c r="H93" s="227"/>
      <c r="I93" s="227"/>
      <c r="J93" s="227"/>
    </row>
    <row r="94" spans="1:10" ht="15.75" customHeight="1" x14ac:dyDescent="0.25">
      <c r="D94" s="227"/>
      <c r="E94" s="227"/>
      <c r="F94" s="227"/>
      <c r="G94" s="227"/>
      <c r="H94" s="227"/>
      <c r="I94" s="227"/>
      <c r="J94" s="227"/>
    </row>
    <row r="95" spans="1:10" ht="15.75" customHeight="1" x14ac:dyDescent="0.25">
      <c r="D95" s="227"/>
      <c r="E95" s="227"/>
      <c r="F95" s="227"/>
      <c r="G95" s="227"/>
      <c r="H95" s="227"/>
      <c r="I95" s="227"/>
      <c r="J95" s="227"/>
    </row>
    <row r="96" spans="1:10" ht="15.75" customHeight="1" x14ac:dyDescent="0.25">
      <c r="D96" s="227"/>
      <c r="E96" s="227"/>
      <c r="F96" s="227"/>
      <c r="G96" s="227"/>
      <c r="H96" s="227"/>
      <c r="I96" s="227"/>
      <c r="J96" s="227"/>
    </row>
    <row r="97" spans="1:10" ht="13.2" customHeight="1" x14ac:dyDescent="0.25">
      <c r="A97" s="11"/>
      <c r="D97" s="227"/>
      <c r="E97" s="227"/>
      <c r="F97" s="227"/>
      <c r="G97" s="227"/>
      <c r="H97" s="227"/>
      <c r="I97" s="227"/>
      <c r="J97" s="227"/>
    </row>
    <row r="98" spans="1:10" ht="15.75" customHeight="1" x14ac:dyDescent="0.25">
      <c r="D98" s="227"/>
      <c r="E98" s="227"/>
      <c r="F98" s="227"/>
      <c r="G98" s="227"/>
      <c r="H98" s="227"/>
      <c r="I98" s="227"/>
      <c r="J98" s="227"/>
    </row>
    <row r="99" spans="1:10" ht="13.2" customHeight="1" x14ac:dyDescent="0.25">
      <c r="A99" s="11"/>
      <c r="D99" s="227"/>
      <c r="E99" s="227"/>
      <c r="F99" s="227"/>
      <c r="G99" s="227"/>
      <c r="H99" s="227"/>
      <c r="I99" s="227"/>
      <c r="J99" s="227"/>
    </row>
    <row r="100" spans="1:10" ht="15.75" customHeight="1" x14ac:dyDescent="0.25">
      <c r="D100" s="227"/>
      <c r="E100" s="227"/>
      <c r="F100" s="227"/>
      <c r="G100" s="227"/>
      <c r="H100" s="227"/>
      <c r="I100" s="227"/>
      <c r="J100" s="227"/>
    </row>
    <row r="101" spans="1:10" ht="13.2" customHeight="1" x14ac:dyDescent="0.25">
      <c r="A101" s="11"/>
      <c r="D101" s="227"/>
      <c r="E101" s="227"/>
      <c r="F101" s="227"/>
      <c r="G101" s="227"/>
      <c r="H101" s="227"/>
      <c r="I101" s="227"/>
      <c r="J101" s="227"/>
    </row>
    <row r="102" spans="1:10" ht="13.2" customHeight="1" x14ac:dyDescent="0.25">
      <c r="A102" s="11"/>
      <c r="D102" s="150"/>
      <c r="E102" s="150"/>
      <c r="F102" s="150"/>
      <c r="G102" s="150"/>
      <c r="H102" s="150"/>
      <c r="I102" s="150"/>
      <c r="J102" s="150"/>
    </row>
    <row r="103" spans="1:10" ht="13.8" x14ac:dyDescent="0.25">
      <c r="A103" s="19" t="s">
        <v>27</v>
      </c>
      <c r="D103" s="20"/>
      <c r="E103" s="20"/>
      <c r="F103" s="20"/>
      <c r="G103" s="20"/>
      <c r="H103" s="20"/>
    </row>
    <row r="104" spans="1:10" ht="13.8" x14ac:dyDescent="0.25">
      <c r="A104" s="21"/>
      <c r="D104" s="20"/>
      <c r="E104" s="20"/>
      <c r="F104" s="20"/>
      <c r="G104" s="20"/>
      <c r="H104" s="20"/>
    </row>
    <row r="105" spans="1:10" ht="27.6" x14ac:dyDescent="0.25">
      <c r="A105" s="22" t="s">
        <v>28</v>
      </c>
      <c r="B105" s="23" t="s">
        <v>29</v>
      </c>
      <c r="D105" s="228" t="s">
        <v>30</v>
      </c>
      <c r="E105" s="228"/>
      <c r="F105" s="228"/>
      <c r="G105" s="228"/>
      <c r="H105" s="228"/>
    </row>
    <row r="106" spans="1:10" ht="13.8" x14ac:dyDescent="0.25">
      <c r="A106" s="151" t="s">
        <v>31</v>
      </c>
      <c r="B106" s="151" t="s">
        <v>32</v>
      </c>
      <c r="D106" s="228"/>
      <c r="E106" s="228"/>
      <c r="F106" s="228"/>
      <c r="G106" s="228"/>
      <c r="H106" s="228"/>
    </row>
    <row r="107" spans="1:10" ht="13.8" x14ac:dyDescent="0.25">
      <c r="A107" s="151" t="s">
        <v>33</v>
      </c>
      <c r="B107" s="151" t="s">
        <v>34</v>
      </c>
      <c r="D107" s="228"/>
      <c r="E107" s="228"/>
      <c r="F107" s="228"/>
      <c r="G107" s="228"/>
      <c r="H107" s="228"/>
    </row>
    <row r="108" spans="1:10" ht="13.8" x14ac:dyDescent="0.25">
      <c r="A108" s="151" t="s">
        <v>35</v>
      </c>
      <c r="B108" s="151" t="s">
        <v>36</v>
      </c>
      <c r="D108" s="228"/>
      <c r="E108" s="228"/>
      <c r="F108" s="228"/>
      <c r="G108" s="228"/>
      <c r="H108" s="228"/>
    </row>
    <row r="109" spans="1:10" ht="13.8" x14ac:dyDescent="0.25">
      <c r="A109" s="151" t="s">
        <v>37</v>
      </c>
      <c r="B109" s="151" t="s">
        <v>38</v>
      </c>
      <c r="D109" s="228"/>
      <c r="E109" s="228"/>
      <c r="F109" s="228"/>
      <c r="G109" s="228"/>
      <c r="H109" s="228"/>
    </row>
    <row r="110" spans="1:10" ht="13.8" x14ac:dyDescent="0.25">
      <c r="A110" s="151" t="s">
        <v>39</v>
      </c>
      <c r="B110" s="151" t="s">
        <v>40</v>
      </c>
      <c r="D110" s="228"/>
      <c r="E110" s="228"/>
      <c r="F110" s="228"/>
      <c r="G110" s="228"/>
      <c r="H110" s="228"/>
    </row>
    <row r="111" spans="1:10" ht="13.8" x14ac:dyDescent="0.25">
      <c r="A111" s="151" t="s">
        <v>41</v>
      </c>
      <c r="B111" s="151" t="s">
        <v>42</v>
      </c>
      <c r="D111" s="228"/>
      <c r="E111" s="228"/>
      <c r="F111" s="228"/>
      <c r="G111" s="228"/>
      <c r="H111" s="228"/>
    </row>
    <row r="112" spans="1:10" ht="13.8" x14ac:dyDescent="0.25">
      <c r="A112" s="151" t="s">
        <v>43</v>
      </c>
      <c r="B112" s="151" t="s">
        <v>44</v>
      </c>
      <c r="D112" s="228"/>
      <c r="E112" s="228"/>
      <c r="F112" s="228"/>
      <c r="G112" s="228"/>
      <c r="H112" s="228"/>
    </row>
    <row r="113" spans="1:35" ht="13.8" x14ac:dyDescent="0.25">
      <c r="A113" s="151" t="s">
        <v>45</v>
      </c>
      <c r="B113" s="151" t="s">
        <v>46</v>
      </c>
      <c r="D113" s="228"/>
      <c r="E113" s="228"/>
      <c r="F113" s="228"/>
      <c r="G113" s="228"/>
      <c r="H113" s="228"/>
    </row>
    <row r="114" spans="1:35" ht="13.8" x14ac:dyDescent="0.25">
      <c r="A114" s="151" t="s">
        <v>47</v>
      </c>
      <c r="B114" s="151" t="s">
        <v>48</v>
      </c>
      <c r="D114" s="228"/>
      <c r="E114" s="228"/>
      <c r="F114" s="228"/>
      <c r="G114" s="228"/>
      <c r="H114" s="228"/>
    </row>
    <row r="115" spans="1:35" ht="13.8" x14ac:dyDescent="0.25">
      <c r="A115" s="151" t="s">
        <v>49</v>
      </c>
      <c r="B115" s="151" t="s">
        <v>50</v>
      </c>
      <c r="D115" s="228"/>
      <c r="E115" s="228"/>
      <c r="F115" s="228"/>
      <c r="G115" s="228"/>
      <c r="H115" s="228"/>
    </row>
    <row r="116" spans="1:35" ht="15" customHeight="1" x14ac:dyDescent="0.25"/>
    <row r="117" spans="1:35" ht="13.2" x14ac:dyDescent="0.25">
      <c r="A117" s="11"/>
    </row>
    <row r="118" spans="1:35" ht="17.399999999999999" x14ac:dyDescent="0.25">
      <c r="A118" s="182" t="s">
        <v>1</v>
      </c>
      <c r="B118" s="183"/>
      <c r="C118" s="183"/>
      <c r="D118" s="183"/>
      <c r="E118" s="183"/>
      <c r="F118" s="183"/>
      <c r="G118" s="183"/>
      <c r="H118" s="183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 ht="15" x14ac:dyDescent="0.25">
      <c r="A119" s="229" t="s">
        <v>6</v>
      </c>
      <c r="B119" s="183"/>
      <c r="C119" s="183"/>
      <c r="D119" s="183"/>
      <c r="E119" s="183"/>
      <c r="F119" s="183"/>
      <c r="G119" s="183"/>
      <c r="H119" s="183"/>
      <c r="I119" s="183"/>
      <c r="J119" s="183"/>
      <c r="K119" s="4"/>
      <c r="L119" s="4"/>
      <c r="M119" s="4"/>
      <c r="N119" s="4"/>
    </row>
    <row r="120" spans="1:35" ht="13.2" x14ac:dyDescent="0.25">
      <c r="K120" s="4"/>
      <c r="L120" s="4"/>
      <c r="M120" s="4"/>
      <c r="N120" s="4"/>
    </row>
    <row r="121" spans="1:35" ht="55.2" x14ac:dyDescent="0.25">
      <c r="A121" s="25" t="s">
        <v>51</v>
      </c>
      <c r="B121" s="26" t="s">
        <v>12</v>
      </c>
      <c r="C121" s="26" t="s">
        <v>52</v>
      </c>
      <c r="D121" s="26" t="s">
        <v>53</v>
      </c>
      <c r="E121" s="26" t="s">
        <v>54</v>
      </c>
      <c r="F121" s="26" t="s">
        <v>55</v>
      </c>
      <c r="G121" s="26" t="s">
        <v>56</v>
      </c>
      <c r="H121" s="26" t="s">
        <v>57</v>
      </c>
      <c r="I121" s="26" t="s">
        <v>58</v>
      </c>
      <c r="J121" s="26" t="s">
        <v>59</v>
      </c>
      <c r="K121" s="26" t="s">
        <v>60</v>
      </c>
      <c r="L121" s="180" t="s">
        <v>61</v>
      </c>
      <c r="M121" s="177"/>
      <c r="N121" s="26" t="s">
        <v>62</v>
      </c>
      <c r="O121" s="26" t="s">
        <v>63</v>
      </c>
      <c r="P121" s="27" t="s">
        <v>15</v>
      </c>
    </row>
    <row r="122" spans="1:35" ht="82.8" x14ac:dyDescent="0.25">
      <c r="A122" s="28" t="s">
        <v>64</v>
      </c>
      <c r="B122" s="139" t="s">
        <v>65</v>
      </c>
      <c r="C122" s="16" t="s">
        <v>66</v>
      </c>
      <c r="D122" s="18">
        <v>1000</v>
      </c>
      <c r="E122" s="18">
        <v>1000</v>
      </c>
      <c r="F122" s="29">
        <f t="shared" ref="F122:F124" si="0">D122*E122</f>
        <v>1000000</v>
      </c>
      <c r="G122" s="30">
        <v>100000</v>
      </c>
      <c r="H122" s="29">
        <f t="shared" ref="H122:H124" si="1">D122*G122</f>
        <v>100000000</v>
      </c>
      <c r="I122" s="29">
        <v>12</v>
      </c>
      <c r="J122" s="162" t="s">
        <v>67</v>
      </c>
      <c r="K122" s="29">
        <v>3</v>
      </c>
      <c r="L122" s="153" t="s">
        <v>68</v>
      </c>
      <c r="M122" s="31">
        <v>0.14599999999999999</v>
      </c>
      <c r="N122" s="32">
        <f>M122+1.5%</f>
        <v>0.16099999999999998</v>
      </c>
      <c r="O122" s="33">
        <v>45927</v>
      </c>
      <c r="P122" s="34" t="s">
        <v>69</v>
      </c>
      <c r="Q122" s="148" t="s">
        <v>264</v>
      </c>
    </row>
    <row r="123" spans="1:35" ht="69" x14ac:dyDescent="0.25">
      <c r="A123" s="28" t="s">
        <v>70</v>
      </c>
      <c r="B123" s="139" t="s">
        <v>71</v>
      </c>
      <c r="C123" s="16" t="s">
        <v>66</v>
      </c>
      <c r="D123" s="16">
        <f t="shared" ref="D123:D124" si="2">D122</f>
        <v>1000</v>
      </c>
      <c r="E123" s="18">
        <v>1000</v>
      </c>
      <c r="F123" s="29">
        <f t="shared" si="0"/>
        <v>1000000</v>
      </c>
      <c r="G123" s="30">
        <v>100000</v>
      </c>
      <c r="H123" s="29">
        <f t="shared" si="1"/>
        <v>100000000</v>
      </c>
      <c r="I123" s="29">
        <v>12</v>
      </c>
      <c r="J123" s="162" t="s">
        <v>67</v>
      </c>
      <c r="K123" s="29">
        <v>3</v>
      </c>
      <c r="L123" s="153" t="s">
        <v>72</v>
      </c>
      <c r="M123" s="31">
        <v>0.17</v>
      </c>
      <c r="N123" s="35">
        <f>M124+2%</f>
        <v>0.19</v>
      </c>
      <c r="O123" s="33">
        <v>45927</v>
      </c>
      <c r="P123" s="34" t="s">
        <v>73</v>
      </c>
      <c r="Q123" s="148" t="s">
        <v>264</v>
      </c>
    </row>
    <row r="124" spans="1:35" ht="55.8" thickBot="1" x14ac:dyDescent="0.3">
      <c r="A124" s="36" t="s">
        <v>74</v>
      </c>
      <c r="B124" s="152" t="s">
        <v>75</v>
      </c>
      <c r="C124" s="37" t="s">
        <v>76</v>
      </c>
      <c r="D124" s="38">
        <f t="shared" si="2"/>
        <v>1000</v>
      </c>
      <c r="E124" s="39">
        <v>1000</v>
      </c>
      <c r="F124" s="40">
        <f t="shared" si="0"/>
        <v>1000000</v>
      </c>
      <c r="G124" s="41">
        <v>100000</v>
      </c>
      <c r="H124" s="40">
        <f t="shared" si="1"/>
        <v>100000000</v>
      </c>
      <c r="I124" s="40">
        <v>12</v>
      </c>
      <c r="J124" s="163" t="s">
        <v>67</v>
      </c>
      <c r="K124" s="40">
        <v>3</v>
      </c>
      <c r="L124" s="152" t="s">
        <v>77</v>
      </c>
      <c r="M124" s="42">
        <v>0.17</v>
      </c>
      <c r="N124" s="43">
        <f>M124+3%</f>
        <v>0.2</v>
      </c>
      <c r="O124" s="44">
        <v>45927</v>
      </c>
      <c r="P124" s="45" t="s">
        <v>78</v>
      </c>
      <c r="Q124" s="148" t="s">
        <v>264</v>
      </c>
    </row>
    <row r="125" spans="1:35" ht="27.6" x14ac:dyDescent="0.25">
      <c r="A125" s="46" t="s">
        <v>79</v>
      </c>
      <c r="B125" s="47"/>
      <c r="C125" s="48"/>
      <c r="D125" s="48"/>
      <c r="E125" s="48">
        <f t="shared" ref="E125:H125" si="3">SUM(E122:E124)</f>
        <v>3000</v>
      </c>
      <c r="F125" s="48">
        <f t="shared" si="3"/>
        <v>3000000</v>
      </c>
      <c r="G125" s="48">
        <f t="shared" si="3"/>
        <v>300000</v>
      </c>
      <c r="H125" s="48">
        <f t="shared" si="3"/>
        <v>300000000</v>
      </c>
      <c r="I125" s="49"/>
      <c r="J125" s="50" t="s">
        <v>80</v>
      </c>
      <c r="K125" s="51"/>
      <c r="L125" s="52" t="s">
        <v>81</v>
      </c>
      <c r="M125" s="52">
        <f>H122*N122+H123*N123+H124*N124</f>
        <v>55100000</v>
      </c>
      <c r="N125" s="49"/>
      <c r="O125" s="49"/>
      <c r="P125" s="53"/>
    </row>
    <row r="126" spans="1:35" ht="15" customHeight="1" x14ac:dyDescent="0.25">
      <c r="A126" s="54" t="s">
        <v>82</v>
      </c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</row>
    <row r="127" spans="1:35" ht="32.4" customHeight="1" x14ac:dyDescent="0.25">
      <c r="A127" s="193" t="s">
        <v>83</v>
      </c>
      <c r="B127" s="183"/>
      <c r="C127" s="183"/>
      <c r="D127" s="183"/>
      <c r="E127" s="183"/>
      <c r="F127" s="183"/>
      <c r="G127" s="20"/>
      <c r="H127" s="20"/>
      <c r="I127" s="51"/>
      <c r="J127" s="51"/>
      <c r="K127" s="51"/>
      <c r="L127" s="51"/>
      <c r="M127" s="51"/>
      <c r="N127" s="51"/>
      <c r="O127" s="51"/>
    </row>
    <row r="128" spans="1:35" ht="30" customHeight="1" x14ac:dyDescent="0.25">
      <c r="A128" s="193" t="s">
        <v>84</v>
      </c>
      <c r="B128" s="183"/>
      <c r="C128" s="183"/>
      <c r="D128" s="183"/>
      <c r="E128" s="183"/>
      <c r="F128" s="183"/>
      <c r="G128" s="20"/>
      <c r="H128" s="20"/>
      <c r="I128" s="51"/>
      <c r="J128" s="51"/>
      <c r="K128" s="51"/>
      <c r="L128" s="51"/>
      <c r="M128" s="51"/>
      <c r="N128" s="51"/>
      <c r="O128" s="51"/>
    </row>
    <row r="129" spans="1:35" ht="13.8" x14ac:dyDescent="0.25">
      <c r="A129" s="20"/>
      <c r="B129" s="20"/>
      <c r="C129" s="20"/>
      <c r="D129" s="20"/>
      <c r="E129" s="20"/>
      <c r="F129" s="20"/>
      <c r="G129" s="20"/>
      <c r="H129" s="20"/>
      <c r="I129" s="51"/>
      <c r="J129" s="51"/>
      <c r="K129" s="51"/>
      <c r="L129" s="51"/>
      <c r="M129" s="51"/>
      <c r="N129" s="51"/>
      <c r="O129" s="51"/>
    </row>
    <row r="130" spans="1:35" ht="30.6" customHeight="1" x14ac:dyDescent="0.25">
      <c r="A130" s="193" t="s">
        <v>85</v>
      </c>
      <c r="B130" s="183"/>
      <c r="C130" s="183"/>
      <c r="D130" s="183"/>
      <c r="E130" s="183"/>
      <c r="F130" s="183"/>
      <c r="G130" s="20"/>
      <c r="H130" s="20"/>
      <c r="I130" s="51"/>
      <c r="J130" s="51"/>
      <c r="K130" s="51"/>
      <c r="L130" s="51"/>
      <c r="M130" s="51"/>
      <c r="N130" s="51"/>
      <c r="O130" s="51"/>
    </row>
    <row r="131" spans="1:35" ht="13.2" x14ac:dyDescent="0.25">
      <c r="A131" s="194" t="s">
        <v>86</v>
      </c>
      <c r="B131" s="183"/>
      <c r="C131" s="183"/>
      <c r="D131" s="183"/>
      <c r="E131" s="183"/>
      <c r="F131" s="183"/>
    </row>
    <row r="132" spans="1:35" ht="15.75" customHeight="1" x14ac:dyDescent="0.25">
      <c r="A132" s="183"/>
      <c r="B132" s="183"/>
      <c r="C132" s="183"/>
      <c r="D132" s="183"/>
      <c r="E132" s="183"/>
      <c r="F132" s="183"/>
    </row>
    <row r="133" spans="1:35" ht="15.75" customHeight="1" x14ac:dyDescent="0.25">
      <c r="A133" s="183"/>
      <c r="B133" s="183"/>
      <c r="C133" s="183"/>
      <c r="D133" s="183"/>
      <c r="E133" s="183"/>
      <c r="F133" s="183"/>
    </row>
    <row r="134" spans="1:35" ht="15.75" customHeight="1" x14ac:dyDescent="0.25">
      <c r="A134" s="183"/>
      <c r="B134" s="183"/>
      <c r="C134" s="183"/>
      <c r="D134" s="183"/>
      <c r="E134" s="183"/>
      <c r="F134" s="183"/>
    </row>
    <row r="135" spans="1:35" ht="15.75" customHeight="1" x14ac:dyDescent="0.25">
      <c r="A135" s="183"/>
      <c r="B135" s="183"/>
      <c r="C135" s="183"/>
      <c r="D135" s="183"/>
      <c r="E135" s="183"/>
      <c r="F135" s="183"/>
    </row>
    <row r="136" spans="1:35" ht="15.75" customHeight="1" x14ac:dyDescent="0.25">
      <c r="A136" s="183"/>
      <c r="B136" s="183"/>
      <c r="C136" s="183"/>
      <c r="D136" s="183"/>
      <c r="E136" s="183"/>
      <c r="F136" s="183"/>
    </row>
    <row r="137" spans="1:35" ht="15.75" customHeight="1" x14ac:dyDescent="0.25">
      <c r="A137" s="183"/>
      <c r="B137" s="183"/>
      <c r="C137" s="183"/>
      <c r="D137" s="183"/>
      <c r="E137" s="183"/>
      <c r="F137" s="183"/>
    </row>
    <row r="138" spans="1:35" ht="13.2" x14ac:dyDescent="0.25">
      <c r="A138" s="10" t="s">
        <v>87</v>
      </c>
    </row>
    <row r="139" spans="1:35" ht="13.2" x14ac:dyDescent="0.25">
      <c r="A139" s="11"/>
    </row>
    <row r="140" spans="1:35" ht="17.399999999999999" x14ac:dyDescent="0.25">
      <c r="A140" s="182" t="s">
        <v>88</v>
      </c>
      <c r="B140" s="183"/>
      <c r="C140" s="183"/>
      <c r="D140" s="183"/>
      <c r="E140" s="183"/>
      <c r="F140" s="183"/>
      <c r="G140" s="183"/>
      <c r="H140" s="183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spans="1:35" ht="26.4" x14ac:dyDescent="0.25">
      <c r="A141" s="55"/>
      <c r="B141" s="56" t="s">
        <v>89</v>
      </c>
      <c r="C141" s="181" t="s">
        <v>90</v>
      </c>
      <c r="D141" s="177"/>
      <c r="E141" s="181" t="s">
        <v>91</v>
      </c>
      <c r="F141" s="177"/>
      <c r="G141" s="181" t="s">
        <v>92</v>
      </c>
      <c r="H141" s="177"/>
      <c r="I141" s="181" t="s">
        <v>15</v>
      </c>
      <c r="J141" s="177"/>
    </row>
    <row r="142" spans="1:35" ht="82.2" customHeight="1" x14ac:dyDescent="0.25">
      <c r="A142" s="164" t="s">
        <v>93</v>
      </c>
      <c r="B142" s="57" t="s">
        <v>94</v>
      </c>
      <c r="C142" s="176" t="s">
        <v>95</v>
      </c>
      <c r="D142" s="177"/>
      <c r="E142" s="176" t="s">
        <v>96</v>
      </c>
      <c r="F142" s="177"/>
      <c r="G142" s="176" t="s">
        <v>97</v>
      </c>
      <c r="H142" s="177"/>
      <c r="I142" s="176" t="s">
        <v>98</v>
      </c>
      <c r="J142" s="177"/>
    </row>
    <row r="143" spans="1:35" ht="54" customHeight="1" x14ac:dyDescent="0.25">
      <c r="A143" s="164" t="s">
        <v>99</v>
      </c>
      <c r="B143" s="57" t="s">
        <v>100</v>
      </c>
      <c r="C143" s="176" t="s">
        <v>101</v>
      </c>
      <c r="D143" s="177"/>
      <c r="E143" s="176" t="s">
        <v>102</v>
      </c>
      <c r="F143" s="177"/>
      <c r="G143" s="230"/>
      <c r="H143" s="177"/>
      <c r="I143" s="230"/>
      <c r="J143" s="177"/>
    </row>
    <row r="144" spans="1:35" ht="121.2" customHeight="1" x14ac:dyDescent="0.25">
      <c r="A144" s="164" t="s">
        <v>103</v>
      </c>
      <c r="B144" s="57" t="s">
        <v>104</v>
      </c>
      <c r="C144" s="176" t="s">
        <v>105</v>
      </c>
      <c r="D144" s="177"/>
      <c r="E144" s="176" t="s">
        <v>106</v>
      </c>
      <c r="F144" s="177"/>
      <c r="G144" s="176" t="s">
        <v>107</v>
      </c>
      <c r="H144" s="177"/>
      <c r="I144" s="176"/>
      <c r="J144" s="177"/>
    </row>
    <row r="146" spans="1:21" ht="17.399999999999999" x14ac:dyDescent="0.25">
      <c r="A146" s="184" t="s">
        <v>108</v>
      </c>
      <c r="B146" s="183"/>
      <c r="C146" s="183"/>
      <c r="D146" s="183"/>
      <c r="E146" s="183"/>
    </row>
    <row r="147" spans="1:21" ht="13.8" x14ac:dyDescent="0.25">
      <c r="A147" s="58" t="s">
        <v>109</v>
      </c>
      <c r="B147" s="58" t="s">
        <v>110</v>
      </c>
      <c r="C147" s="185" t="s">
        <v>12</v>
      </c>
      <c r="D147" s="179"/>
      <c r="E147" s="177"/>
    </row>
    <row r="148" spans="1:21" ht="41.4" x14ac:dyDescent="0.25">
      <c r="A148" s="59" t="s">
        <v>111</v>
      </c>
      <c r="B148" s="17">
        <v>0.14000000000000001</v>
      </c>
      <c r="C148" s="186" t="s">
        <v>112</v>
      </c>
      <c r="D148" s="187"/>
      <c r="E148" s="188"/>
    </row>
    <row r="149" spans="1:21" ht="41.4" x14ac:dyDescent="0.25">
      <c r="A149" s="59" t="s">
        <v>113</v>
      </c>
      <c r="B149" s="17">
        <v>7.0000000000000007E-2</v>
      </c>
      <c r="C149" s="189"/>
      <c r="D149" s="190"/>
      <c r="E149" s="191"/>
    </row>
    <row r="150" spans="1:21" ht="72" customHeight="1" x14ac:dyDescent="0.25">
      <c r="A150" s="59" t="s">
        <v>114</v>
      </c>
      <c r="B150" s="17">
        <f>(B149+B148)/2+4%</f>
        <v>0.14500000000000002</v>
      </c>
      <c r="C150" s="192" t="s">
        <v>115</v>
      </c>
      <c r="D150" s="179"/>
      <c r="E150" s="177"/>
    </row>
    <row r="151" spans="1:21" ht="86.4" customHeight="1" x14ac:dyDescent="0.25">
      <c r="A151" s="59" t="s">
        <v>116</v>
      </c>
      <c r="B151" s="17">
        <f>B150+6%</f>
        <v>0.20500000000000002</v>
      </c>
      <c r="C151" s="192" t="s">
        <v>117</v>
      </c>
      <c r="D151" s="179"/>
      <c r="E151" s="177"/>
    </row>
    <row r="152" spans="1:21" ht="33" customHeight="1" x14ac:dyDescent="0.25">
      <c r="A152" s="59" t="s">
        <v>118</v>
      </c>
      <c r="B152" s="17">
        <v>0.06</v>
      </c>
      <c r="C152" s="178" t="s">
        <v>119</v>
      </c>
      <c r="D152" s="179"/>
      <c r="E152" s="177"/>
      <c r="F152" s="60"/>
      <c r="G152" s="60"/>
      <c r="H152" s="60"/>
      <c r="I152" s="60"/>
    </row>
    <row r="153" spans="1:21" ht="41.4" x14ac:dyDescent="0.25">
      <c r="A153" s="24" t="s">
        <v>120</v>
      </c>
      <c r="B153" s="61">
        <v>0.5</v>
      </c>
      <c r="C153" s="192"/>
      <c r="D153" s="179"/>
      <c r="E153" s="177"/>
      <c r="F153" s="60"/>
      <c r="G153" s="60"/>
      <c r="H153" s="60"/>
      <c r="I153" s="60"/>
    </row>
    <row r="155" spans="1:21" ht="17.399999999999999" x14ac:dyDescent="0.25">
      <c r="A155" s="184" t="s">
        <v>121</v>
      </c>
      <c r="B155" s="183"/>
      <c r="C155" s="183"/>
      <c r="D155" s="183"/>
      <c r="E155" s="183"/>
      <c r="F155" s="183"/>
      <c r="G155" s="183"/>
      <c r="H155" s="183"/>
    </row>
    <row r="156" spans="1:21" ht="13.8" x14ac:dyDescent="0.25">
      <c r="A156" s="58" t="s">
        <v>122</v>
      </c>
      <c r="B156" s="58" t="s">
        <v>123</v>
      </c>
      <c r="C156" s="223" t="s">
        <v>90</v>
      </c>
      <c r="D156" s="179"/>
      <c r="E156" s="179"/>
      <c r="F156" s="177"/>
      <c r="G156" s="223" t="s">
        <v>124</v>
      </c>
      <c r="H156" s="177"/>
    </row>
    <row r="157" spans="1:21" ht="70.2" customHeight="1" x14ac:dyDescent="0.25">
      <c r="A157" s="58" t="s">
        <v>125</v>
      </c>
      <c r="B157" s="62">
        <v>0.1</v>
      </c>
      <c r="C157" s="192" t="s">
        <v>126</v>
      </c>
      <c r="D157" s="179"/>
      <c r="E157" s="179"/>
      <c r="F157" s="177"/>
      <c r="G157" s="192" t="s">
        <v>127</v>
      </c>
      <c r="H157" s="177"/>
    </row>
    <row r="158" spans="1:21" ht="58.2" customHeight="1" x14ac:dyDescent="0.25">
      <c r="A158" s="58" t="s">
        <v>128</v>
      </c>
      <c r="B158" s="62">
        <v>0.15</v>
      </c>
      <c r="C158" s="192" t="s">
        <v>129</v>
      </c>
      <c r="D158" s="179"/>
      <c r="E158" s="179"/>
      <c r="F158" s="177"/>
      <c r="G158" s="192" t="s">
        <v>130</v>
      </c>
      <c r="H158" s="177"/>
    </row>
    <row r="159" spans="1:21" ht="70.2" customHeight="1" x14ac:dyDescent="0.25">
      <c r="A159" s="58" t="s">
        <v>131</v>
      </c>
      <c r="B159" s="63">
        <v>0</v>
      </c>
      <c r="C159" s="224" t="s">
        <v>132</v>
      </c>
      <c r="D159" s="179"/>
      <c r="E159" s="179"/>
      <c r="F159" s="177"/>
      <c r="G159" s="192" t="s">
        <v>133</v>
      </c>
      <c r="H159" s="177"/>
      <c r="K159" s="64"/>
      <c r="L159" s="64"/>
      <c r="M159" s="64"/>
      <c r="N159" s="64"/>
      <c r="O159" s="64"/>
      <c r="P159" s="64"/>
      <c r="Q159" s="64"/>
    </row>
    <row r="160" spans="1:21" ht="57.6" customHeight="1" x14ac:dyDescent="0.25">
      <c r="A160" s="58" t="s">
        <v>134</v>
      </c>
      <c r="B160" s="62">
        <v>-0.1</v>
      </c>
      <c r="C160" s="192" t="s">
        <v>135</v>
      </c>
      <c r="D160" s="179"/>
      <c r="E160" s="179"/>
      <c r="F160" s="177"/>
      <c r="G160" s="192" t="s">
        <v>136</v>
      </c>
      <c r="H160" s="177"/>
      <c r="J160" s="64"/>
      <c r="K160" s="64"/>
      <c r="L160" s="64"/>
      <c r="M160" s="65"/>
      <c r="N160" s="64"/>
      <c r="O160" s="64"/>
      <c r="P160" s="64"/>
      <c r="Q160" s="64"/>
      <c r="R160" s="64"/>
      <c r="S160" s="64"/>
      <c r="T160" s="64"/>
      <c r="U160" s="64"/>
    </row>
    <row r="161" spans="1:21" ht="13.2" x14ac:dyDescent="0.25">
      <c r="G161" s="64"/>
      <c r="I161" s="66"/>
      <c r="J161" s="64"/>
      <c r="K161" s="64"/>
      <c r="L161" s="64"/>
      <c r="M161" s="65"/>
      <c r="N161" s="64"/>
      <c r="O161" s="64"/>
      <c r="P161" s="64"/>
      <c r="Q161" s="64"/>
      <c r="R161" s="64"/>
      <c r="S161" s="64"/>
      <c r="T161" s="64"/>
      <c r="U161" s="64"/>
    </row>
    <row r="162" spans="1:21" ht="13.2" x14ac:dyDescent="0.25">
      <c r="G162" s="64"/>
      <c r="I162" s="66"/>
      <c r="J162" s="64"/>
      <c r="K162" s="64"/>
      <c r="L162" s="64"/>
      <c r="M162" s="65"/>
      <c r="N162" s="64"/>
      <c r="O162" s="64"/>
      <c r="P162" s="64"/>
      <c r="Q162" s="64"/>
      <c r="R162" s="64"/>
      <c r="S162" s="64"/>
      <c r="T162" s="64"/>
      <c r="U162" s="64"/>
    </row>
    <row r="163" spans="1:21" ht="17.399999999999999" x14ac:dyDescent="0.25">
      <c r="A163" s="184" t="s">
        <v>267</v>
      </c>
      <c r="B163" s="183"/>
      <c r="C163" s="183"/>
      <c r="D163" s="183"/>
      <c r="E163" s="183"/>
      <c r="F163" s="183"/>
      <c r="G163" s="183"/>
      <c r="H163" s="183"/>
      <c r="I163" s="66"/>
      <c r="J163" s="64"/>
      <c r="K163" s="64"/>
      <c r="L163" s="64"/>
      <c r="M163" s="65"/>
      <c r="N163" s="64"/>
      <c r="O163" s="64"/>
      <c r="P163" s="64"/>
      <c r="Q163" s="64"/>
      <c r="R163" s="64"/>
      <c r="S163" s="64"/>
      <c r="T163" s="64"/>
      <c r="U163" s="64"/>
    </row>
    <row r="164" spans="1:21" ht="92.4" customHeight="1" x14ac:dyDescent="0.25">
      <c r="A164" s="222" t="s">
        <v>137</v>
      </c>
      <c r="B164" s="179"/>
      <c r="C164" s="179"/>
      <c r="D164" s="179"/>
      <c r="E164" s="179"/>
      <c r="F164" s="179"/>
      <c r="G164" s="179"/>
      <c r="H164" s="177"/>
      <c r="I164" s="66"/>
      <c r="J164" s="64"/>
      <c r="K164" s="64"/>
      <c r="L164" s="64"/>
      <c r="N164" s="64"/>
      <c r="O164" s="64"/>
      <c r="P164" s="64"/>
      <c r="Q164" s="64"/>
      <c r="R164" s="64"/>
      <c r="S164" s="64"/>
      <c r="T164" s="64"/>
      <c r="U164" s="64"/>
    </row>
    <row r="165" spans="1:21" ht="33.6" customHeight="1" x14ac:dyDescent="0.25">
      <c r="A165" s="222" t="s">
        <v>138</v>
      </c>
      <c r="B165" s="179"/>
      <c r="C165" s="179"/>
      <c r="D165" s="179"/>
      <c r="E165" s="179"/>
      <c r="F165" s="179"/>
      <c r="G165" s="179"/>
      <c r="H165" s="177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</row>
    <row r="166" spans="1:21" ht="31.2" customHeight="1" x14ac:dyDescent="0.25">
      <c r="A166" s="222" t="s">
        <v>139</v>
      </c>
      <c r="B166" s="179"/>
      <c r="C166" s="179"/>
      <c r="D166" s="179"/>
      <c r="E166" s="179"/>
      <c r="F166" s="179"/>
      <c r="G166" s="179"/>
      <c r="H166" s="177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</row>
    <row r="167" spans="1:21" ht="32.4" customHeight="1" x14ac:dyDescent="0.25">
      <c r="A167" s="222" t="s">
        <v>140</v>
      </c>
      <c r="B167" s="179"/>
      <c r="C167" s="179"/>
      <c r="D167" s="179"/>
      <c r="E167" s="179"/>
      <c r="F167" s="179"/>
      <c r="G167" s="179"/>
      <c r="H167" s="177"/>
    </row>
    <row r="170" spans="1:21" ht="17.399999999999999" x14ac:dyDescent="0.25">
      <c r="A170" s="184" t="s">
        <v>141</v>
      </c>
      <c r="B170" s="183"/>
      <c r="C170" s="183"/>
      <c r="D170" s="183"/>
      <c r="E170" s="183"/>
      <c r="F170" s="183"/>
      <c r="G170" s="183"/>
      <c r="H170" s="183"/>
    </row>
    <row r="171" spans="1:21" ht="27.6" x14ac:dyDescent="0.25">
      <c r="A171" s="51"/>
      <c r="B171" s="25" t="s">
        <v>142</v>
      </c>
      <c r="C171" s="25" t="s">
        <v>143</v>
      </c>
      <c r="D171" s="26" t="s">
        <v>144</v>
      </c>
      <c r="E171" s="215" t="s">
        <v>90</v>
      </c>
      <c r="F171" s="179"/>
      <c r="G171" s="177"/>
      <c r="H171" s="26" t="s">
        <v>145</v>
      </c>
    </row>
    <row r="172" spans="1:21" ht="20.25" customHeight="1" x14ac:dyDescent="0.25">
      <c r="A172" s="67" t="s">
        <v>146</v>
      </c>
      <c r="B172" s="68">
        <v>8.5999999999999993E-2</v>
      </c>
      <c r="C172" s="62">
        <v>0.03</v>
      </c>
      <c r="D172" s="32">
        <f t="shared" ref="D172:D174" si="4">SUM(B172:C172)</f>
        <v>0.11599999999999999</v>
      </c>
      <c r="E172" s="216" t="s">
        <v>147</v>
      </c>
      <c r="F172" s="187"/>
      <c r="G172" s="188"/>
      <c r="H172" s="219" t="s">
        <v>148</v>
      </c>
    </row>
    <row r="173" spans="1:21" ht="20.25" customHeight="1" x14ac:dyDescent="0.25">
      <c r="A173" s="67" t="s">
        <v>149</v>
      </c>
      <c r="B173" s="68">
        <v>4.9000000000000002E-2</v>
      </c>
      <c r="C173" s="17">
        <v>0.03</v>
      </c>
      <c r="D173" s="32">
        <f t="shared" si="4"/>
        <v>7.9000000000000001E-2</v>
      </c>
      <c r="E173" s="217"/>
      <c r="F173" s="183"/>
      <c r="G173" s="218"/>
      <c r="H173" s="220"/>
    </row>
    <row r="174" spans="1:21" ht="21" customHeight="1" x14ac:dyDescent="0.25">
      <c r="A174" s="67" t="s">
        <v>150</v>
      </c>
      <c r="B174" s="68">
        <v>0.04</v>
      </c>
      <c r="C174" s="17">
        <v>0.03</v>
      </c>
      <c r="D174" s="32">
        <f t="shared" si="4"/>
        <v>7.0000000000000007E-2</v>
      </c>
      <c r="E174" s="189"/>
      <c r="F174" s="190"/>
      <c r="G174" s="191"/>
      <c r="H174" s="221"/>
    </row>
  </sheetData>
  <mergeCells count="64">
    <mergeCell ref="C62:E62"/>
    <mergeCell ref="D82:J101"/>
    <mergeCell ref="D105:H115"/>
    <mergeCell ref="C156:F156"/>
    <mergeCell ref="C157:F157"/>
    <mergeCell ref="G157:H157"/>
    <mergeCell ref="C143:D143"/>
    <mergeCell ref="A119:J119"/>
    <mergeCell ref="E142:F142"/>
    <mergeCell ref="G142:H142"/>
    <mergeCell ref="I142:J142"/>
    <mergeCell ref="E143:F143"/>
    <mergeCell ref="G143:H143"/>
    <mergeCell ref="I143:J143"/>
    <mergeCell ref="C153:E153"/>
    <mergeCell ref="A155:H155"/>
    <mergeCell ref="G156:H156"/>
    <mergeCell ref="C158:F158"/>
    <mergeCell ref="G158:H158"/>
    <mergeCell ref="C159:F159"/>
    <mergeCell ref="G159:H159"/>
    <mergeCell ref="A170:H170"/>
    <mergeCell ref="E171:G171"/>
    <mergeCell ref="E172:G174"/>
    <mergeCell ref="H172:H174"/>
    <mergeCell ref="C160:F160"/>
    <mergeCell ref="G160:H160"/>
    <mergeCell ref="A163:H163"/>
    <mergeCell ref="A164:H164"/>
    <mergeCell ref="A165:H165"/>
    <mergeCell ref="A166:H166"/>
    <mergeCell ref="A167:H167"/>
    <mergeCell ref="A8:H8"/>
    <mergeCell ref="A32:C32"/>
    <mergeCell ref="A55:H55"/>
    <mergeCell ref="A57:E57"/>
    <mergeCell ref="A1:J1"/>
    <mergeCell ref="A2:J2"/>
    <mergeCell ref="A3:J3"/>
    <mergeCell ref="A4:J4"/>
    <mergeCell ref="A6:J6"/>
    <mergeCell ref="D31:J52"/>
    <mergeCell ref="G144:H144"/>
    <mergeCell ref="A118:H118"/>
    <mergeCell ref="A127:F127"/>
    <mergeCell ref="A128:F128"/>
    <mergeCell ref="A130:F130"/>
    <mergeCell ref="A131:F137"/>
    <mergeCell ref="I144:J144"/>
    <mergeCell ref="C152:E152"/>
    <mergeCell ref="L121:M121"/>
    <mergeCell ref="E141:F141"/>
    <mergeCell ref="G141:H141"/>
    <mergeCell ref="I141:J141"/>
    <mergeCell ref="A140:H140"/>
    <mergeCell ref="C141:D141"/>
    <mergeCell ref="A146:E146"/>
    <mergeCell ref="C147:E147"/>
    <mergeCell ref="C148:E149"/>
    <mergeCell ref="C150:E150"/>
    <mergeCell ref="C151:E151"/>
    <mergeCell ref="C142:D142"/>
    <mergeCell ref="C144:D144"/>
    <mergeCell ref="E144:F144"/>
  </mergeCells>
  <hyperlinks>
    <hyperlink ref="A30" r:id="rId1" xr:uid="{00000000-0004-0000-0100-000000000000}"/>
    <hyperlink ref="E59" r:id="rId2" xr:uid="{00000000-0004-0000-0100-000002000000}"/>
    <hyperlink ref="E61" r:id="rId3" xr:uid="{00000000-0004-0000-0100-000003000000}"/>
    <hyperlink ref="A80" r:id="rId4" xr:uid="{00000000-0004-0000-0100-000004000000}"/>
    <hyperlink ref="A103" r:id="rId5" xr:uid="{00000000-0004-0000-0100-000005000000}"/>
    <hyperlink ref="P122" r:id="rId6" xr:uid="{00000000-0004-0000-0100-000006000000}"/>
    <hyperlink ref="P123" r:id="rId7" xr:uid="{00000000-0004-0000-0100-000007000000}"/>
    <hyperlink ref="P124" r:id="rId8" xr:uid="{00000000-0004-0000-0100-000008000000}"/>
    <hyperlink ref="A138" r:id="rId9" xr:uid="{00000000-0004-0000-0100-000009000000}"/>
    <hyperlink ref="C152" r:id="rId10" xr:uid="{00000000-0004-0000-0100-00000A000000}"/>
    <hyperlink ref="H172" r:id="rId11" xr:uid="{00000000-0004-0000-0100-00000B000000}"/>
    <hyperlink ref="F53" r:id="rId12" xr:uid="{962F7A4A-AD29-483F-8176-C3ECD2E3F93E}"/>
    <hyperlink ref="F54" r:id="rId13" xr:uid="{92B6DFD1-B86F-452F-81C8-63B445C424C3}"/>
  </hyperlinks>
  <pageMargins left="0.7" right="0.7" top="0.75" bottom="0.75" header="0.3" footer="0.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7"/>
  <sheetViews>
    <sheetView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6640625" defaultRowHeight="15.75" customHeight="1" x14ac:dyDescent="0.25"/>
  <cols>
    <col min="1" max="1" width="30.21875" customWidth="1"/>
    <col min="2" max="2" width="44.88671875" customWidth="1"/>
    <col min="3" max="3" width="15.6640625" customWidth="1"/>
    <col min="4" max="4" width="15.109375" customWidth="1"/>
    <col min="5" max="5" width="66.21875" customWidth="1"/>
    <col min="6" max="6" width="42.77734375" customWidth="1"/>
  </cols>
  <sheetData>
    <row r="1" spans="1:26" ht="25.2" customHeight="1" x14ac:dyDescent="0.25">
      <c r="A1" s="198" t="s">
        <v>151</v>
      </c>
      <c r="B1" s="179"/>
      <c r="C1" s="179"/>
      <c r="D1" s="179"/>
      <c r="E1" s="179"/>
      <c r="F1" s="69"/>
      <c r="G1" s="70"/>
      <c r="H1" s="70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31.2" customHeight="1" x14ac:dyDescent="0.25">
      <c r="A2" s="71" t="s">
        <v>152</v>
      </c>
      <c r="B2" s="71" t="s">
        <v>12</v>
      </c>
      <c r="C2" s="72" t="s">
        <v>153</v>
      </c>
      <c r="D2" s="72" t="s">
        <v>154</v>
      </c>
      <c r="E2" s="71" t="s">
        <v>155</v>
      </c>
      <c r="F2" s="71" t="s">
        <v>156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3.8" x14ac:dyDescent="0.25">
      <c r="A3" s="73" t="s">
        <v>157</v>
      </c>
      <c r="B3" s="74"/>
      <c r="C3" s="75">
        <f t="shared" ref="C3:D3" si="0">SUM(C4:C6)</f>
        <v>0</v>
      </c>
      <c r="D3" s="75">
        <f t="shared" si="0"/>
        <v>-400000</v>
      </c>
      <c r="E3" s="76"/>
      <c r="F3" s="77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58.2" customHeight="1" x14ac:dyDescent="0.25">
      <c r="A4" s="78" t="s">
        <v>0</v>
      </c>
      <c r="B4" s="78" t="s">
        <v>158</v>
      </c>
      <c r="C4" s="79">
        <v>0</v>
      </c>
      <c r="D4" s="80">
        <v>-100000</v>
      </c>
      <c r="E4" s="78" t="s">
        <v>159</v>
      </c>
      <c r="F4" s="81" t="s">
        <v>160</v>
      </c>
      <c r="G4" s="51" t="s">
        <v>161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45" customHeight="1" x14ac:dyDescent="0.25">
      <c r="A5" s="83" t="s">
        <v>162</v>
      </c>
      <c r="B5" s="83" t="s">
        <v>163</v>
      </c>
      <c r="C5" s="84">
        <v>0</v>
      </c>
      <c r="D5" s="85">
        <v>-150000</v>
      </c>
      <c r="E5" s="83" t="s">
        <v>164</v>
      </c>
      <c r="F5" s="86" t="s">
        <v>160</v>
      </c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57.6" customHeight="1" x14ac:dyDescent="0.25">
      <c r="A6" s="87" t="s">
        <v>165</v>
      </c>
      <c r="B6" s="87" t="s">
        <v>166</v>
      </c>
      <c r="C6" s="88">
        <v>0</v>
      </c>
      <c r="D6" s="89">
        <v>-150000</v>
      </c>
      <c r="E6" s="87" t="s">
        <v>167</v>
      </c>
      <c r="F6" s="90" t="s">
        <v>168</v>
      </c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3.8" x14ac:dyDescent="0.25">
      <c r="A7" s="73" t="s">
        <v>169</v>
      </c>
      <c r="B7" s="74"/>
      <c r="C7" s="75">
        <f t="shared" ref="C7:D7" si="1">SUM(C8:C10)</f>
        <v>0</v>
      </c>
      <c r="D7" s="75">
        <f t="shared" si="1"/>
        <v>-1100000</v>
      </c>
      <c r="E7" s="74"/>
      <c r="F7" s="77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70.8" customHeight="1" x14ac:dyDescent="0.25">
      <c r="A8" s="78" t="s">
        <v>170</v>
      </c>
      <c r="B8" s="78" t="s">
        <v>171</v>
      </c>
      <c r="C8" s="80">
        <v>0</v>
      </c>
      <c r="D8" s="80">
        <v>-500000</v>
      </c>
      <c r="E8" s="78" t="s">
        <v>172</v>
      </c>
      <c r="F8" s="78" t="s">
        <v>173</v>
      </c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70.2" customHeight="1" x14ac:dyDescent="0.25">
      <c r="A9" s="83" t="s">
        <v>174</v>
      </c>
      <c r="B9" s="83" t="s">
        <v>175</v>
      </c>
      <c r="C9" s="85">
        <v>0</v>
      </c>
      <c r="D9" s="85">
        <v>-500000</v>
      </c>
      <c r="E9" s="83" t="s">
        <v>176</v>
      </c>
      <c r="F9" s="82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45.6" customHeight="1" x14ac:dyDescent="0.25">
      <c r="A10" s="87" t="s">
        <v>177</v>
      </c>
      <c r="B10" s="87" t="s">
        <v>178</v>
      </c>
      <c r="C10" s="89">
        <v>0</v>
      </c>
      <c r="D10" s="89">
        <v>-100000</v>
      </c>
      <c r="E10" s="87" t="s">
        <v>179</v>
      </c>
      <c r="F10" s="87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3.8" x14ac:dyDescent="0.25">
      <c r="A11" s="91" t="s">
        <v>180</v>
      </c>
      <c r="B11" s="74"/>
      <c r="C11" s="92">
        <f t="shared" ref="C11:D11" si="2">SUM(C12:C13)</f>
        <v>-250000</v>
      </c>
      <c r="D11" s="92">
        <f t="shared" si="2"/>
        <v>-2500000</v>
      </c>
      <c r="E11" s="74"/>
      <c r="F11" s="93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10.4" customHeight="1" x14ac:dyDescent="0.25">
      <c r="A12" s="78" t="s">
        <v>181</v>
      </c>
      <c r="B12" s="78" t="s">
        <v>182</v>
      </c>
      <c r="C12" s="80">
        <v>-50000</v>
      </c>
      <c r="D12" s="80">
        <v>-1500000</v>
      </c>
      <c r="E12" s="78" t="s">
        <v>183</v>
      </c>
      <c r="F12" s="78" t="s">
        <v>184</v>
      </c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58.8" customHeight="1" x14ac:dyDescent="0.25">
      <c r="A13" s="87" t="s">
        <v>185</v>
      </c>
      <c r="B13" s="87" t="s">
        <v>186</v>
      </c>
      <c r="C13" s="89">
        <v>-200000</v>
      </c>
      <c r="D13" s="89">
        <v>-1000000</v>
      </c>
      <c r="E13" s="87" t="s">
        <v>187</v>
      </c>
      <c r="F13" s="90" t="s">
        <v>188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3.8" x14ac:dyDescent="0.25">
      <c r="A14" s="91" t="s">
        <v>189</v>
      </c>
      <c r="B14" s="94"/>
      <c r="C14" s="94"/>
      <c r="D14" s="94"/>
      <c r="E14" s="94"/>
      <c r="F14" s="95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44.4" customHeight="1" x14ac:dyDescent="0.25">
      <c r="A15" s="78" t="s">
        <v>190</v>
      </c>
      <c r="B15" s="78" t="s">
        <v>191</v>
      </c>
      <c r="C15" s="233">
        <v>-500000</v>
      </c>
      <c r="D15" s="191"/>
      <c r="E15" s="78"/>
      <c r="F15" s="78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3.8" x14ac:dyDescent="0.25">
      <c r="A16" s="234" t="s">
        <v>192</v>
      </c>
      <c r="B16" s="179"/>
      <c r="C16" s="179"/>
      <c r="D16" s="179"/>
      <c r="E16" s="179"/>
      <c r="F16" s="177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00.8" customHeight="1" x14ac:dyDescent="0.25">
      <c r="A17" s="96" t="s">
        <v>193</v>
      </c>
      <c r="B17" s="97" t="s">
        <v>194</v>
      </c>
      <c r="C17" s="235">
        <v>0.02</v>
      </c>
      <c r="D17" s="177"/>
      <c r="E17" s="83" t="s">
        <v>195</v>
      </c>
      <c r="F17" s="236" t="s">
        <v>196</v>
      </c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30.6" customHeight="1" x14ac:dyDescent="0.25">
      <c r="A18" s="240" t="s">
        <v>197</v>
      </c>
      <c r="B18" s="177"/>
      <c r="C18" s="237" t="s">
        <v>198</v>
      </c>
      <c r="D18" s="177"/>
      <c r="E18" s="238" t="s">
        <v>199</v>
      </c>
      <c r="F18" s="220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3.8" x14ac:dyDescent="0.25">
      <c r="A19" s="240" t="s">
        <v>200</v>
      </c>
      <c r="B19" s="177"/>
      <c r="C19" s="237" t="s">
        <v>198</v>
      </c>
      <c r="D19" s="177"/>
      <c r="E19" s="239"/>
      <c r="F19" s="220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3.8" x14ac:dyDescent="0.25">
      <c r="A20" s="240" t="s">
        <v>201</v>
      </c>
      <c r="B20" s="177"/>
      <c r="C20" s="237" t="s">
        <v>198</v>
      </c>
      <c r="D20" s="177"/>
      <c r="E20" s="239"/>
      <c r="F20" s="22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3.8" x14ac:dyDescent="0.25">
      <c r="A21" s="98" t="s">
        <v>202</v>
      </c>
      <c r="B21" s="98"/>
      <c r="C21" s="231">
        <v>0.05</v>
      </c>
      <c r="D21" s="177"/>
      <c r="E21" s="98"/>
      <c r="F21" s="98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57" customHeight="1" x14ac:dyDescent="0.25">
      <c r="A22" s="99" t="s">
        <v>203</v>
      </c>
      <c r="B22" s="98"/>
      <c r="C22" s="231">
        <v>0.05</v>
      </c>
      <c r="D22" s="177"/>
      <c r="E22" s="98"/>
      <c r="F22" s="83" t="s">
        <v>204</v>
      </c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25.4" customHeight="1" x14ac:dyDescent="0.25">
      <c r="A23" s="100"/>
      <c r="B23" s="101"/>
      <c r="C23" s="100"/>
      <c r="D23" s="100"/>
      <c r="E23" s="100"/>
      <c r="F23" s="100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25.4" customHeight="1" x14ac:dyDescent="0.25">
      <c r="A24" s="102" t="s">
        <v>205</v>
      </c>
      <c r="B24" s="101"/>
      <c r="C24" s="100"/>
      <c r="D24" s="100"/>
      <c r="E24" s="100"/>
      <c r="F24" s="100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25.4" customHeight="1" x14ac:dyDescent="0.25">
      <c r="A25" s="83" t="s">
        <v>206</v>
      </c>
      <c r="B25" s="83" t="s">
        <v>207</v>
      </c>
      <c r="C25" s="232" t="s">
        <v>208</v>
      </c>
      <c r="D25" s="177"/>
      <c r="E25" s="98"/>
      <c r="F25" s="98" t="s">
        <v>209</v>
      </c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25.4" customHeight="1" x14ac:dyDescent="0.25">
      <c r="A26" s="98" t="s">
        <v>210</v>
      </c>
      <c r="B26" s="98"/>
      <c r="C26" s="98" t="s">
        <v>211</v>
      </c>
      <c r="D26" s="98"/>
      <c r="E26" s="98"/>
      <c r="F26" s="103" t="s">
        <v>212</v>
      </c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3.8" x14ac:dyDescent="0.25">
      <c r="A27" s="104"/>
      <c r="B27" s="104"/>
      <c r="C27" s="105"/>
      <c r="D27" s="105"/>
      <c r="E27" s="104"/>
      <c r="F27" s="104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3.8" x14ac:dyDescent="0.2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3.8" x14ac:dyDescent="0.25">
      <c r="A29" s="100"/>
      <c r="B29" s="101"/>
      <c r="C29" s="100"/>
      <c r="D29" s="100"/>
      <c r="E29" s="100"/>
      <c r="F29" s="100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3.8" x14ac:dyDescent="0.2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3.8" x14ac:dyDescent="0.2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3.8" x14ac:dyDescent="0.2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3.8" x14ac:dyDescent="0.25">
      <c r="A33" s="106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3.8" x14ac:dyDescent="0.2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3.8" x14ac:dyDescent="0.2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3.8" x14ac:dyDescent="0.2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3.8" x14ac:dyDescent="0.2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3.8" x14ac:dyDescent="0.2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3.8" x14ac:dyDescent="0.25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3.8" x14ac:dyDescent="0.25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3.8" x14ac:dyDescent="0.25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3.8" x14ac:dyDescent="0.25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3.8" x14ac:dyDescent="0.25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3.8" x14ac:dyDescent="0.25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3.8" x14ac:dyDescent="0.2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3.8" x14ac:dyDescent="0.25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3.8" x14ac:dyDescent="0.25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3.8" x14ac:dyDescent="0.25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3.8" x14ac:dyDescent="0.25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3.8" x14ac:dyDescent="0.25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3.8" x14ac:dyDescent="0.25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3.8" x14ac:dyDescent="0.25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3.8" x14ac:dyDescent="0.25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3.8" x14ac:dyDescent="0.25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3.8" x14ac:dyDescent="0.2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3.8" x14ac:dyDescent="0.25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3.8" x14ac:dyDescent="0.25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3.8" x14ac:dyDescent="0.25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3.8" x14ac:dyDescent="0.2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3.8" x14ac:dyDescent="0.25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3.8" x14ac:dyDescent="0.25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3.8" x14ac:dyDescent="0.25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3.8" x14ac:dyDescent="0.25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3.8" x14ac:dyDescent="0.25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3.8" x14ac:dyDescent="0.2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3.8" x14ac:dyDescent="0.25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3.8" x14ac:dyDescent="0.25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3.8" x14ac:dyDescent="0.25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3.8" x14ac:dyDescent="0.25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3.8" x14ac:dyDescent="0.25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3.8" x14ac:dyDescent="0.2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3.8" x14ac:dyDescent="0.2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3.8" x14ac:dyDescent="0.25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3.8" x14ac:dyDescent="0.25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3.8" x14ac:dyDescent="0.2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3.8" x14ac:dyDescent="0.25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3.8" x14ac:dyDescent="0.25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3.8" x14ac:dyDescent="0.25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3.8" x14ac:dyDescent="0.2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3.8" x14ac:dyDescent="0.25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3.8" x14ac:dyDescent="0.25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3.8" x14ac:dyDescent="0.25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3.8" x14ac:dyDescent="0.25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3.8" x14ac:dyDescent="0.25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3.8" x14ac:dyDescent="0.2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3.8" x14ac:dyDescent="0.25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3.8" x14ac:dyDescent="0.25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3.8" x14ac:dyDescent="0.25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3.8" x14ac:dyDescent="0.25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3.8" x14ac:dyDescent="0.25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3.8" x14ac:dyDescent="0.25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3.8" x14ac:dyDescent="0.25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3.8" x14ac:dyDescent="0.25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3.8" x14ac:dyDescent="0.25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3.8" x14ac:dyDescent="0.2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3.8" x14ac:dyDescent="0.25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3.8" x14ac:dyDescent="0.25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3.8" x14ac:dyDescent="0.25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3.8" x14ac:dyDescent="0.25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3.8" x14ac:dyDescent="0.25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3.8" x14ac:dyDescent="0.25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3.8" x14ac:dyDescent="0.25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3.8" x14ac:dyDescent="0.25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3.8" x14ac:dyDescent="0.25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3.8" x14ac:dyDescent="0.2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3.8" x14ac:dyDescent="0.25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3.8" x14ac:dyDescent="0.25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3.8" x14ac:dyDescent="0.25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3.8" x14ac:dyDescent="0.25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3.8" x14ac:dyDescent="0.25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3.8" x14ac:dyDescent="0.25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3.8" x14ac:dyDescent="0.25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3.8" x14ac:dyDescent="0.25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3.8" x14ac:dyDescent="0.25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3.8" x14ac:dyDescent="0.2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3.8" x14ac:dyDescent="0.25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3.8" x14ac:dyDescent="0.25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3.8" x14ac:dyDescent="0.25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3.8" x14ac:dyDescent="0.25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3.8" x14ac:dyDescent="0.2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3.8" x14ac:dyDescent="0.25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3.8" x14ac:dyDescent="0.25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3.8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3.8" x14ac:dyDescent="0.25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3.8" x14ac:dyDescent="0.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3.8" x14ac:dyDescent="0.25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3.8" x14ac:dyDescent="0.25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3.8" x14ac:dyDescent="0.25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3.8" x14ac:dyDescent="0.2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3.8" x14ac:dyDescent="0.25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3.8" x14ac:dyDescent="0.25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3.8" x14ac:dyDescent="0.25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3.8" x14ac:dyDescent="0.25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3.8" x14ac:dyDescent="0.2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3.8" x14ac:dyDescent="0.2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3.8" x14ac:dyDescent="0.25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3.8" x14ac:dyDescent="0.25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3.8" x14ac:dyDescent="0.25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3.8" x14ac:dyDescent="0.25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3.8" x14ac:dyDescent="0.25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3.8" x14ac:dyDescent="0.25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3.8" x14ac:dyDescent="0.25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3.8" x14ac:dyDescent="0.25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3.8" x14ac:dyDescent="0.25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3.8" x14ac:dyDescent="0.2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3.8" x14ac:dyDescent="0.25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3.8" x14ac:dyDescent="0.25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3.8" x14ac:dyDescent="0.25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3.8" x14ac:dyDescent="0.25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3.8" x14ac:dyDescent="0.25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3.8" x14ac:dyDescent="0.25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3.8" x14ac:dyDescent="0.25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3.8" x14ac:dyDescent="0.25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3.8" x14ac:dyDescent="0.25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3.8" x14ac:dyDescent="0.2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3.8" x14ac:dyDescent="0.25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3.8" x14ac:dyDescent="0.25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3.8" x14ac:dyDescent="0.25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3.8" x14ac:dyDescent="0.25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3.8" x14ac:dyDescent="0.25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3.8" x14ac:dyDescent="0.25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3.8" x14ac:dyDescent="0.25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3.8" x14ac:dyDescent="0.25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3.8" x14ac:dyDescent="0.25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3.8" x14ac:dyDescent="0.2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3.8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3.8" x14ac:dyDescent="0.25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3.8" x14ac:dyDescent="0.25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3.8" x14ac:dyDescent="0.25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3.8" x14ac:dyDescent="0.25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3.8" x14ac:dyDescent="0.25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3.8" x14ac:dyDescent="0.25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3.8" x14ac:dyDescent="0.25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3.8" x14ac:dyDescent="0.25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3.8" x14ac:dyDescent="0.2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3.8" x14ac:dyDescent="0.25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3.8" x14ac:dyDescent="0.25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3.8" x14ac:dyDescent="0.25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3.8" x14ac:dyDescent="0.25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3.8" x14ac:dyDescent="0.25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3.8" x14ac:dyDescent="0.25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3.8" x14ac:dyDescent="0.25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3.8" x14ac:dyDescent="0.25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3.8" x14ac:dyDescent="0.25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3.8" x14ac:dyDescent="0.2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3.8" x14ac:dyDescent="0.25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3.8" x14ac:dyDescent="0.25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3.8" x14ac:dyDescent="0.25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3.8" x14ac:dyDescent="0.25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3.8" x14ac:dyDescent="0.25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3.8" x14ac:dyDescent="0.25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3.8" x14ac:dyDescent="0.25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3.8" x14ac:dyDescent="0.25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3.8" x14ac:dyDescent="0.25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3.8" x14ac:dyDescent="0.2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3.8" x14ac:dyDescent="0.25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3.8" x14ac:dyDescent="0.25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3.8" x14ac:dyDescent="0.25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3.8" x14ac:dyDescent="0.25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3.8" x14ac:dyDescent="0.25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3.8" x14ac:dyDescent="0.25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3.8" x14ac:dyDescent="0.25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3.8" x14ac:dyDescent="0.25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3.8" x14ac:dyDescent="0.25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3.8" x14ac:dyDescent="0.2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3.8" x14ac:dyDescent="0.25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3.8" x14ac:dyDescent="0.25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3.8" x14ac:dyDescent="0.25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3.8" x14ac:dyDescent="0.25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3.8" x14ac:dyDescent="0.25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3.8" x14ac:dyDescent="0.25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3.8" x14ac:dyDescent="0.25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3.8" x14ac:dyDescent="0.25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3.8" x14ac:dyDescent="0.25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3.8" x14ac:dyDescent="0.2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3.8" x14ac:dyDescent="0.25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3.8" x14ac:dyDescent="0.25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3.8" x14ac:dyDescent="0.25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3.8" x14ac:dyDescent="0.25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3.8" x14ac:dyDescent="0.25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3.8" x14ac:dyDescent="0.25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3.8" x14ac:dyDescent="0.25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3.8" x14ac:dyDescent="0.25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3.8" x14ac:dyDescent="0.25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3.8" x14ac:dyDescent="0.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3.8" x14ac:dyDescent="0.25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3.8" x14ac:dyDescent="0.25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3.8" x14ac:dyDescent="0.25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3.8" x14ac:dyDescent="0.25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3.8" x14ac:dyDescent="0.25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3.8" x14ac:dyDescent="0.25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3.8" x14ac:dyDescent="0.25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3.8" x14ac:dyDescent="0.25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3.8" x14ac:dyDescent="0.25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3.8" x14ac:dyDescent="0.2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3.8" x14ac:dyDescent="0.25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3.8" x14ac:dyDescent="0.25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3.8" x14ac:dyDescent="0.25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3.8" x14ac:dyDescent="0.25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3.8" x14ac:dyDescent="0.25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3.8" x14ac:dyDescent="0.25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3.8" x14ac:dyDescent="0.25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3.8" x14ac:dyDescent="0.25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3.8" x14ac:dyDescent="0.25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3.8" x14ac:dyDescent="0.2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3.8" x14ac:dyDescent="0.25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3.8" x14ac:dyDescent="0.25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3.8" x14ac:dyDescent="0.25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3.8" x14ac:dyDescent="0.25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3.8" x14ac:dyDescent="0.25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3.8" x14ac:dyDescent="0.25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3.8" x14ac:dyDescent="0.25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3.8" x14ac:dyDescent="0.25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3.8" x14ac:dyDescent="0.25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3.8" x14ac:dyDescent="0.2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3.8" x14ac:dyDescent="0.25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3.8" x14ac:dyDescent="0.25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3.8" x14ac:dyDescent="0.25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3.8" x14ac:dyDescent="0.25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3.8" x14ac:dyDescent="0.25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3.8" x14ac:dyDescent="0.25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3.8" x14ac:dyDescent="0.25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3.8" x14ac:dyDescent="0.25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3.8" x14ac:dyDescent="0.25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3.8" x14ac:dyDescent="0.2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3.8" x14ac:dyDescent="0.25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3.8" x14ac:dyDescent="0.25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3.8" x14ac:dyDescent="0.25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3.8" x14ac:dyDescent="0.25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3.8" x14ac:dyDescent="0.25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3.8" x14ac:dyDescent="0.25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3.8" x14ac:dyDescent="0.25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3.8" x14ac:dyDescent="0.25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3.8" x14ac:dyDescent="0.25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3.8" x14ac:dyDescent="0.2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3.8" x14ac:dyDescent="0.25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3.8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3.8" x14ac:dyDescent="0.2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3.8" x14ac:dyDescent="0.25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3.8" x14ac:dyDescent="0.25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3.8" x14ac:dyDescent="0.25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3.8" x14ac:dyDescent="0.25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3.8" x14ac:dyDescent="0.25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3.8" x14ac:dyDescent="0.25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3.8" x14ac:dyDescent="0.2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3.8" x14ac:dyDescent="0.25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3.8" x14ac:dyDescent="0.25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3.8" x14ac:dyDescent="0.25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3.8" x14ac:dyDescent="0.25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3.8" x14ac:dyDescent="0.25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3.8" x14ac:dyDescent="0.25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3.8" x14ac:dyDescent="0.25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3.8" x14ac:dyDescent="0.25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3.8" x14ac:dyDescent="0.25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3.8" x14ac:dyDescent="0.2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3.8" x14ac:dyDescent="0.25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3.8" x14ac:dyDescent="0.25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3.8" x14ac:dyDescent="0.25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3.8" x14ac:dyDescent="0.25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3.8" x14ac:dyDescent="0.25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3.8" x14ac:dyDescent="0.25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3.8" x14ac:dyDescent="0.25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3.8" x14ac:dyDescent="0.25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3.8" x14ac:dyDescent="0.25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3.8" x14ac:dyDescent="0.2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3.8" x14ac:dyDescent="0.25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3.8" x14ac:dyDescent="0.25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3.8" x14ac:dyDescent="0.25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3.8" x14ac:dyDescent="0.25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3.8" x14ac:dyDescent="0.25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3.8" x14ac:dyDescent="0.25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3.8" x14ac:dyDescent="0.25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3.8" x14ac:dyDescent="0.25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3.8" x14ac:dyDescent="0.25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3.8" x14ac:dyDescent="0.2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3.8" x14ac:dyDescent="0.25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3.8" x14ac:dyDescent="0.25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3.8" x14ac:dyDescent="0.25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3.8" x14ac:dyDescent="0.25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3.8" x14ac:dyDescent="0.25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3.8" x14ac:dyDescent="0.25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3.8" x14ac:dyDescent="0.25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3.8" x14ac:dyDescent="0.25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3.8" x14ac:dyDescent="0.25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3.8" x14ac:dyDescent="0.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3.8" x14ac:dyDescent="0.25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3.8" x14ac:dyDescent="0.25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3.8" x14ac:dyDescent="0.25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3.8" x14ac:dyDescent="0.25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3.8" x14ac:dyDescent="0.25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3.8" x14ac:dyDescent="0.25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3.8" x14ac:dyDescent="0.25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3.8" x14ac:dyDescent="0.25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3.8" x14ac:dyDescent="0.25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3.8" x14ac:dyDescent="0.2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3.8" x14ac:dyDescent="0.25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3.8" x14ac:dyDescent="0.25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3.8" x14ac:dyDescent="0.25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3.8" x14ac:dyDescent="0.25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3.8" x14ac:dyDescent="0.25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3.8" x14ac:dyDescent="0.25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3.8" x14ac:dyDescent="0.25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3.8" x14ac:dyDescent="0.25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3.8" x14ac:dyDescent="0.25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3.8" x14ac:dyDescent="0.2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3.8" x14ac:dyDescent="0.25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3.8" x14ac:dyDescent="0.25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3.8" x14ac:dyDescent="0.25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3.8" x14ac:dyDescent="0.25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3.8" x14ac:dyDescent="0.25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3.8" x14ac:dyDescent="0.25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3.8" x14ac:dyDescent="0.25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3.8" x14ac:dyDescent="0.25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3.8" x14ac:dyDescent="0.25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3.8" x14ac:dyDescent="0.2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3.8" x14ac:dyDescent="0.25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3.8" x14ac:dyDescent="0.25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3.8" x14ac:dyDescent="0.25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3.8" x14ac:dyDescent="0.25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3.8" x14ac:dyDescent="0.25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3.8" x14ac:dyDescent="0.25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3.8" x14ac:dyDescent="0.25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3.8" x14ac:dyDescent="0.25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3.8" x14ac:dyDescent="0.25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3.8" x14ac:dyDescent="0.2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3.8" x14ac:dyDescent="0.25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3.8" x14ac:dyDescent="0.25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3.8" x14ac:dyDescent="0.25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3.8" x14ac:dyDescent="0.25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3.8" x14ac:dyDescent="0.25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3.8" x14ac:dyDescent="0.25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3.8" x14ac:dyDescent="0.25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3.8" x14ac:dyDescent="0.25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3.8" x14ac:dyDescent="0.25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3.8" x14ac:dyDescent="0.2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3.8" x14ac:dyDescent="0.25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3.8" x14ac:dyDescent="0.25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3.8" x14ac:dyDescent="0.25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3.8" x14ac:dyDescent="0.25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3.8" x14ac:dyDescent="0.25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3.8" x14ac:dyDescent="0.25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3.8" x14ac:dyDescent="0.25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3.8" x14ac:dyDescent="0.25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3.8" x14ac:dyDescent="0.25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3.8" x14ac:dyDescent="0.2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3.8" x14ac:dyDescent="0.25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3.8" x14ac:dyDescent="0.25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3.8" x14ac:dyDescent="0.25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3.8" x14ac:dyDescent="0.25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3.8" x14ac:dyDescent="0.25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3.8" x14ac:dyDescent="0.25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3.8" x14ac:dyDescent="0.25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3.8" x14ac:dyDescent="0.25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3.8" x14ac:dyDescent="0.25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3.8" x14ac:dyDescent="0.2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3.8" x14ac:dyDescent="0.25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3.8" x14ac:dyDescent="0.25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3.8" x14ac:dyDescent="0.25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3.8" x14ac:dyDescent="0.25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3.8" x14ac:dyDescent="0.25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3.8" x14ac:dyDescent="0.25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3.8" x14ac:dyDescent="0.25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3.8" x14ac:dyDescent="0.25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3.8" x14ac:dyDescent="0.25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3.8" x14ac:dyDescent="0.2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3.8" x14ac:dyDescent="0.25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3.8" x14ac:dyDescent="0.25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3.8" x14ac:dyDescent="0.25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3.8" x14ac:dyDescent="0.25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3.8" x14ac:dyDescent="0.25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3.8" x14ac:dyDescent="0.25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3.8" x14ac:dyDescent="0.25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3.8" x14ac:dyDescent="0.25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3.8" x14ac:dyDescent="0.25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3.8" x14ac:dyDescent="0.2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3.8" x14ac:dyDescent="0.25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3.8" x14ac:dyDescent="0.25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3.8" x14ac:dyDescent="0.25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3.8" x14ac:dyDescent="0.25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3.8" x14ac:dyDescent="0.25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3.8" x14ac:dyDescent="0.25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3.8" x14ac:dyDescent="0.25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3.8" x14ac:dyDescent="0.25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3.8" x14ac:dyDescent="0.25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3.8" x14ac:dyDescent="0.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3.8" x14ac:dyDescent="0.25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3.8" x14ac:dyDescent="0.25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3.8" x14ac:dyDescent="0.25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3.8" x14ac:dyDescent="0.25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3.8" x14ac:dyDescent="0.25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3.8" x14ac:dyDescent="0.25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3.8" x14ac:dyDescent="0.25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3.8" x14ac:dyDescent="0.25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3.8" x14ac:dyDescent="0.25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3.8" x14ac:dyDescent="0.2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3.8" x14ac:dyDescent="0.25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3.8" x14ac:dyDescent="0.25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3.8" x14ac:dyDescent="0.25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3.8" x14ac:dyDescent="0.25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3.8" x14ac:dyDescent="0.25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3.8" x14ac:dyDescent="0.25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3.8" x14ac:dyDescent="0.25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3.8" x14ac:dyDescent="0.25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3.8" x14ac:dyDescent="0.25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3.8" x14ac:dyDescent="0.2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3.8" x14ac:dyDescent="0.25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3.8" x14ac:dyDescent="0.25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3.8" x14ac:dyDescent="0.25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3.8" x14ac:dyDescent="0.25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3.8" x14ac:dyDescent="0.25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3.8" x14ac:dyDescent="0.25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3.8" x14ac:dyDescent="0.25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3.8" x14ac:dyDescent="0.25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3.8" x14ac:dyDescent="0.25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3.8" x14ac:dyDescent="0.2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3.8" x14ac:dyDescent="0.25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3.8" x14ac:dyDescent="0.25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3.8" x14ac:dyDescent="0.25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3.8" x14ac:dyDescent="0.25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3.8" x14ac:dyDescent="0.25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3.8" x14ac:dyDescent="0.25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3.8" x14ac:dyDescent="0.25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3.8" x14ac:dyDescent="0.25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3.8" x14ac:dyDescent="0.25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3.8" x14ac:dyDescent="0.2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3.8" x14ac:dyDescent="0.25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3.8" x14ac:dyDescent="0.25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3.8" x14ac:dyDescent="0.25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3.8" x14ac:dyDescent="0.25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3.8" x14ac:dyDescent="0.25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3.8" x14ac:dyDescent="0.25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3.8" x14ac:dyDescent="0.25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3.8" x14ac:dyDescent="0.25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3.8" x14ac:dyDescent="0.25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3.8" x14ac:dyDescent="0.2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3.8" x14ac:dyDescent="0.25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3.8" x14ac:dyDescent="0.25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3.8" x14ac:dyDescent="0.25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3.8" x14ac:dyDescent="0.25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3.8" x14ac:dyDescent="0.25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3.8" x14ac:dyDescent="0.25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3.8" x14ac:dyDescent="0.25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3.8" x14ac:dyDescent="0.25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3.8" x14ac:dyDescent="0.25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3.8" x14ac:dyDescent="0.2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3.8" x14ac:dyDescent="0.25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3.8" x14ac:dyDescent="0.25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3.8" x14ac:dyDescent="0.25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3.8" x14ac:dyDescent="0.25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3.8" x14ac:dyDescent="0.25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3.8" x14ac:dyDescent="0.25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3.8" x14ac:dyDescent="0.25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3.8" x14ac:dyDescent="0.25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3.8" x14ac:dyDescent="0.25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3.8" x14ac:dyDescent="0.2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3.8" x14ac:dyDescent="0.25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3.8" x14ac:dyDescent="0.25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3.8" x14ac:dyDescent="0.25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3.8" x14ac:dyDescent="0.25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3.8" x14ac:dyDescent="0.25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3.8" x14ac:dyDescent="0.25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3.8" x14ac:dyDescent="0.25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3.8" x14ac:dyDescent="0.25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3.8" x14ac:dyDescent="0.25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3.8" x14ac:dyDescent="0.2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3.8" x14ac:dyDescent="0.25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3.8" x14ac:dyDescent="0.25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3.8" x14ac:dyDescent="0.25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3.8" x14ac:dyDescent="0.25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3.8" x14ac:dyDescent="0.25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3.8" x14ac:dyDescent="0.25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3.8" x14ac:dyDescent="0.25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3.8" x14ac:dyDescent="0.25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3.8" x14ac:dyDescent="0.25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3.8" x14ac:dyDescent="0.2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3.8" x14ac:dyDescent="0.25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3.8" x14ac:dyDescent="0.25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3.8" x14ac:dyDescent="0.25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3.8" x14ac:dyDescent="0.25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3.8" x14ac:dyDescent="0.25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3.8" x14ac:dyDescent="0.25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3.8" x14ac:dyDescent="0.25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3.8" x14ac:dyDescent="0.25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3.8" x14ac:dyDescent="0.25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3.8" x14ac:dyDescent="0.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3.8" x14ac:dyDescent="0.25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3.8" x14ac:dyDescent="0.25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3.8" x14ac:dyDescent="0.25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3.8" x14ac:dyDescent="0.25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3.8" x14ac:dyDescent="0.25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3.8" x14ac:dyDescent="0.25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3.8" x14ac:dyDescent="0.25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3.8" x14ac:dyDescent="0.25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3.8" x14ac:dyDescent="0.25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3.8" x14ac:dyDescent="0.2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3.8" x14ac:dyDescent="0.25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3.8" x14ac:dyDescent="0.25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3.8" x14ac:dyDescent="0.25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3.8" x14ac:dyDescent="0.25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3.8" x14ac:dyDescent="0.25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3.8" x14ac:dyDescent="0.25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3.8" x14ac:dyDescent="0.25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3.8" x14ac:dyDescent="0.25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3.8" x14ac:dyDescent="0.25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3.8" x14ac:dyDescent="0.2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3.8" x14ac:dyDescent="0.25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3.8" x14ac:dyDescent="0.25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3.8" x14ac:dyDescent="0.25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3.8" x14ac:dyDescent="0.25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3.8" x14ac:dyDescent="0.25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3.8" x14ac:dyDescent="0.25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3.8" x14ac:dyDescent="0.25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3.8" x14ac:dyDescent="0.25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3.8" x14ac:dyDescent="0.25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3.8" x14ac:dyDescent="0.2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3.8" x14ac:dyDescent="0.25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3.8" x14ac:dyDescent="0.25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3.8" x14ac:dyDescent="0.25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3.8" x14ac:dyDescent="0.25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3.8" x14ac:dyDescent="0.25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3.8" x14ac:dyDescent="0.25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3.8" x14ac:dyDescent="0.25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3.8" x14ac:dyDescent="0.25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3.8" x14ac:dyDescent="0.25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3.8" x14ac:dyDescent="0.2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3.8" x14ac:dyDescent="0.25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3.8" x14ac:dyDescent="0.25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3.8" x14ac:dyDescent="0.25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3.8" x14ac:dyDescent="0.25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3.8" x14ac:dyDescent="0.25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3.8" x14ac:dyDescent="0.25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3.8" x14ac:dyDescent="0.25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3.8" x14ac:dyDescent="0.25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3.8" x14ac:dyDescent="0.25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3.8" x14ac:dyDescent="0.2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3.8" x14ac:dyDescent="0.25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3.8" x14ac:dyDescent="0.25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3.8" x14ac:dyDescent="0.25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3.8" x14ac:dyDescent="0.25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3.8" x14ac:dyDescent="0.25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3.8" x14ac:dyDescent="0.25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3.8" x14ac:dyDescent="0.25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3.8" x14ac:dyDescent="0.25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3.8" x14ac:dyDescent="0.25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3.8" x14ac:dyDescent="0.2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3.8" x14ac:dyDescent="0.25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3.8" x14ac:dyDescent="0.25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3.8" x14ac:dyDescent="0.25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3.8" x14ac:dyDescent="0.25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3.8" x14ac:dyDescent="0.25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3.8" x14ac:dyDescent="0.25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3.8" x14ac:dyDescent="0.25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3.8" x14ac:dyDescent="0.25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3.8" x14ac:dyDescent="0.25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3.8" x14ac:dyDescent="0.2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3.8" x14ac:dyDescent="0.25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3.8" x14ac:dyDescent="0.25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3.8" x14ac:dyDescent="0.25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3.8" x14ac:dyDescent="0.25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3.8" x14ac:dyDescent="0.25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3.8" x14ac:dyDescent="0.25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3.8" x14ac:dyDescent="0.25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3.8" x14ac:dyDescent="0.25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3.8" x14ac:dyDescent="0.25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3.8" x14ac:dyDescent="0.2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3.8" x14ac:dyDescent="0.25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3.8" x14ac:dyDescent="0.25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3.8" x14ac:dyDescent="0.25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3.8" x14ac:dyDescent="0.25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3.8" x14ac:dyDescent="0.25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3.8" x14ac:dyDescent="0.25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3.8" x14ac:dyDescent="0.25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3.8" x14ac:dyDescent="0.25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3.8" x14ac:dyDescent="0.25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3.8" x14ac:dyDescent="0.2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3.8" x14ac:dyDescent="0.25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3.8" x14ac:dyDescent="0.25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3.8" x14ac:dyDescent="0.25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3.8" x14ac:dyDescent="0.25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3.8" x14ac:dyDescent="0.25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3.8" x14ac:dyDescent="0.25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3.8" x14ac:dyDescent="0.25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3.8" x14ac:dyDescent="0.25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3.8" x14ac:dyDescent="0.25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3.8" x14ac:dyDescent="0.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3.8" x14ac:dyDescent="0.25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3.8" x14ac:dyDescent="0.25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3.8" x14ac:dyDescent="0.25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3.8" x14ac:dyDescent="0.25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3.8" x14ac:dyDescent="0.25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3.8" x14ac:dyDescent="0.25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3.8" x14ac:dyDescent="0.25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3.8" x14ac:dyDescent="0.25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3.8" x14ac:dyDescent="0.25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3.8" x14ac:dyDescent="0.2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3.8" x14ac:dyDescent="0.25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3.8" x14ac:dyDescent="0.25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3.8" x14ac:dyDescent="0.25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3.8" x14ac:dyDescent="0.25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3.8" x14ac:dyDescent="0.25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3.8" x14ac:dyDescent="0.25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3.8" x14ac:dyDescent="0.25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3.8" x14ac:dyDescent="0.25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3.8" x14ac:dyDescent="0.25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3.8" x14ac:dyDescent="0.2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3.8" x14ac:dyDescent="0.25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3.8" x14ac:dyDescent="0.25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3.8" x14ac:dyDescent="0.25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3.8" x14ac:dyDescent="0.25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3.8" x14ac:dyDescent="0.25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3.8" x14ac:dyDescent="0.25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3.8" x14ac:dyDescent="0.25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3.8" x14ac:dyDescent="0.25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3.8" x14ac:dyDescent="0.25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3.8" x14ac:dyDescent="0.2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3.8" x14ac:dyDescent="0.25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3.8" x14ac:dyDescent="0.25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3.8" x14ac:dyDescent="0.25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3.8" x14ac:dyDescent="0.25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3.8" x14ac:dyDescent="0.25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3.8" x14ac:dyDescent="0.25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3.8" x14ac:dyDescent="0.25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3.8" x14ac:dyDescent="0.25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3.8" x14ac:dyDescent="0.25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3.8" x14ac:dyDescent="0.2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3.8" x14ac:dyDescent="0.25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3.8" x14ac:dyDescent="0.25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3.8" x14ac:dyDescent="0.25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3.8" x14ac:dyDescent="0.25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3.8" x14ac:dyDescent="0.25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3.8" x14ac:dyDescent="0.25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3.8" x14ac:dyDescent="0.25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3.8" x14ac:dyDescent="0.25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3.8" x14ac:dyDescent="0.25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3.8" x14ac:dyDescent="0.2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3.8" x14ac:dyDescent="0.25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3.8" x14ac:dyDescent="0.25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3.8" x14ac:dyDescent="0.25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3.8" x14ac:dyDescent="0.25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3.8" x14ac:dyDescent="0.25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3.8" x14ac:dyDescent="0.25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3.8" x14ac:dyDescent="0.25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3.8" x14ac:dyDescent="0.25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3.8" x14ac:dyDescent="0.25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3.8" x14ac:dyDescent="0.2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3.8" x14ac:dyDescent="0.25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3.8" x14ac:dyDescent="0.25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3.8" x14ac:dyDescent="0.25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3.8" x14ac:dyDescent="0.25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3.8" x14ac:dyDescent="0.25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3.8" x14ac:dyDescent="0.25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3.8" x14ac:dyDescent="0.25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3.8" x14ac:dyDescent="0.25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3.8" x14ac:dyDescent="0.25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3.8" x14ac:dyDescent="0.2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3.8" x14ac:dyDescent="0.25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3.8" x14ac:dyDescent="0.25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3.8" x14ac:dyDescent="0.25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3.8" x14ac:dyDescent="0.25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3.8" x14ac:dyDescent="0.25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3.8" x14ac:dyDescent="0.25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3.8" x14ac:dyDescent="0.25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3.8" x14ac:dyDescent="0.25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3.8" x14ac:dyDescent="0.25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3.8" x14ac:dyDescent="0.2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3.8" x14ac:dyDescent="0.25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3.8" x14ac:dyDescent="0.25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3.8" x14ac:dyDescent="0.25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3.8" x14ac:dyDescent="0.25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3.8" x14ac:dyDescent="0.25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3.8" x14ac:dyDescent="0.25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3.8" x14ac:dyDescent="0.25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3.8" x14ac:dyDescent="0.25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3.8" x14ac:dyDescent="0.25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3.8" x14ac:dyDescent="0.2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3.8" x14ac:dyDescent="0.25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3.8" x14ac:dyDescent="0.25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3.8" x14ac:dyDescent="0.25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3.8" x14ac:dyDescent="0.25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3.8" x14ac:dyDescent="0.25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3.8" x14ac:dyDescent="0.25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3.8" x14ac:dyDescent="0.25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3.8" x14ac:dyDescent="0.25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3.8" x14ac:dyDescent="0.25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3.8" x14ac:dyDescent="0.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3.8" x14ac:dyDescent="0.25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3.8" x14ac:dyDescent="0.25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3.8" x14ac:dyDescent="0.25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3.8" x14ac:dyDescent="0.25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3.8" x14ac:dyDescent="0.25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3.8" x14ac:dyDescent="0.25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3.8" x14ac:dyDescent="0.25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3.8" x14ac:dyDescent="0.25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3.8" x14ac:dyDescent="0.25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3.8" x14ac:dyDescent="0.2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3.8" x14ac:dyDescent="0.25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3.8" x14ac:dyDescent="0.25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3.8" x14ac:dyDescent="0.25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3.8" x14ac:dyDescent="0.25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3.8" x14ac:dyDescent="0.25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3.8" x14ac:dyDescent="0.25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3.8" x14ac:dyDescent="0.25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3.8" x14ac:dyDescent="0.25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3.8" x14ac:dyDescent="0.25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3.8" x14ac:dyDescent="0.2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3.8" x14ac:dyDescent="0.25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3.8" x14ac:dyDescent="0.25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3.8" x14ac:dyDescent="0.25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3.8" x14ac:dyDescent="0.25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3.8" x14ac:dyDescent="0.25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3.8" x14ac:dyDescent="0.25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3.8" x14ac:dyDescent="0.25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3.8" x14ac:dyDescent="0.25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3.8" x14ac:dyDescent="0.25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3.8" x14ac:dyDescent="0.2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3.8" x14ac:dyDescent="0.25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3.8" x14ac:dyDescent="0.25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3.8" x14ac:dyDescent="0.25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3.8" x14ac:dyDescent="0.25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3.8" x14ac:dyDescent="0.25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3.8" x14ac:dyDescent="0.25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3.8" x14ac:dyDescent="0.25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3.8" x14ac:dyDescent="0.25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3.8" x14ac:dyDescent="0.25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3.8" x14ac:dyDescent="0.2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3.8" x14ac:dyDescent="0.25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3.8" x14ac:dyDescent="0.25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3.8" x14ac:dyDescent="0.25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3.8" x14ac:dyDescent="0.25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3.8" x14ac:dyDescent="0.25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3.8" x14ac:dyDescent="0.25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3.8" x14ac:dyDescent="0.25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3.8" x14ac:dyDescent="0.25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3.8" x14ac:dyDescent="0.25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3.8" x14ac:dyDescent="0.2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3.8" x14ac:dyDescent="0.25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3.8" x14ac:dyDescent="0.25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3.8" x14ac:dyDescent="0.25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3.8" x14ac:dyDescent="0.25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3.8" x14ac:dyDescent="0.25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3.8" x14ac:dyDescent="0.25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3.8" x14ac:dyDescent="0.25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3.8" x14ac:dyDescent="0.25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3.8" x14ac:dyDescent="0.25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3.8" x14ac:dyDescent="0.2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3.8" x14ac:dyDescent="0.25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3.8" x14ac:dyDescent="0.25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3.8" x14ac:dyDescent="0.25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3.8" x14ac:dyDescent="0.25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3.8" x14ac:dyDescent="0.25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3.8" x14ac:dyDescent="0.25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3.8" x14ac:dyDescent="0.25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3.8" x14ac:dyDescent="0.25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3.8" x14ac:dyDescent="0.25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3.8" x14ac:dyDescent="0.2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3.8" x14ac:dyDescent="0.25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3.8" x14ac:dyDescent="0.25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3.8" x14ac:dyDescent="0.25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3.8" x14ac:dyDescent="0.25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3.8" x14ac:dyDescent="0.25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3.8" x14ac:dyDescent="0.25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3.8" x14ac:dyDescent="0.25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3.8" x14ac:dyDescent="0.25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3.8" x14ac:dyDescent="0.25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3.8" x14ac:dyDescent="0.2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3.8" x14ac:dyDescent="0.25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3.8" x14ac:dyDescent="0.25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3.8" x14ac:dyDescent="0.25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3.8" x14ac:dyDescent="0.25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3.8" x14ac:dyDescent="0.25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3.8" x14ac:dyDescent="0.25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3.8" x14ac:dyDescent="0.25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3.8" x14ac:dyDescent="0.25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3.8" x14ac:dyDescent="0.25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3.8" x14ac:dyDescent="0.2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3.8" x14ac:dyDescent="0.25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3.8" x14ac:dyDescent="0.25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3.8" x14ac:dyDescent="0.25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3.8" x14ac:dyDescent="0.25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3.8" x14ac:dyDescent="0.25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3.8" x14ac:dyDescent="0.25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3.8" x14ac:dyDescent="0.25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3.8" x14ac:dyDescent="0.25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3.8" x14ac:dyDescent="0.25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3.8" x14ac:dyDescent="0.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3.8" x14ac:dyDescent="0.25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3.8" x14ac:dyDescent="0.25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3.8" x14ac:dyDescent="0.25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3.8" x14ac:dyDescent="0.25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3.8" x14ac:dyDescent="0.25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3.8" x14ac:dyDescent="0.25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3.8" x14ac:dyDescent="0.25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3.8" x14ac:dyDescent="0.25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3.8" x14ac:dyDescent="0.25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3.8" x14ac:dyDescent="0.2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3.8" x14ac:dyDescent="0.25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3.8" x14ac:dyDescent="0.25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3.8" x14ac:dyDescent="0.25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3.8" x14ac:dyDescent="0.25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3.8" x14ac:dyDescent="0.25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3.8" x14ac:dyDescent="0.25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3.8" x14ac:dyDescent="0.25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3.8" x14ac:dyDescent="0.25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3.8" x14ac:dyDescent="0.25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3.8" x14ac:dyDescent="0.2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3.8" x14ac:dyDescent="0.25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3.8" x14ac:dyDescent="0.25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3.8" x14ac:dyDescent="0.25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3.8" x14ac:dyDescent="0.25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3.8" x14ac:dyDescent="0.25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3.8" x14ac:dyDescent="0.25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3.8" x14ac:dyDescent="0.25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3.8" x14ac:dyDescent="0.25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3.8" x14ac:dyDescent="0.25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3.8" x14ac:dyDescent="0.2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3.8" x14ac:dyDescent="0.25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3.8" x14ac:dyDescent="0.25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3.8" x14ac:dyDescent="0.25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3.8" x14ac:dyDescent="0.25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3.8" x14ac:dyDescent="0.25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3.8" x14ac:dyDescent="0.25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3.8" x14ac:dyDescent="0.25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3.8" x14ac:dyDescent="0.25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3.8" x14ac:dyDescent="0.25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3.8" x14ac:dyDescent="0.2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3.8" x14ac:dyDescent="0.25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3.8" x14ac:dyDescent="0.25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3.8" x14ac:dyDescent="0.25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3.8" x14ac:dyDescent="0.25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3.8" x14ac:dyDescent="0.25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3.8" x14ac:dyDescent="0.25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3.8" x14ac:dyDescent="0.25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3.8" x14ac:dyDescent="0.25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3.8" x14ac:dyDescent="0.25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3.8" x14ac:dyDescent="0.2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3.8" x14ac:dyDescent="0.25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3.8" x14ac:dyDescent="0.25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3.8" x14ac:dyDescent="0.25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3.8" x14ac:dyDescent="0.25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3.8" x14ac:dyDescent="0.25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3.8" x14ac:dyDescent="0.25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3.8" x14ac:dyDescent="0.25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3.8" x14ac:dyDescent="0.25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3.8" x14ac:dyDescent="0.25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3.8" x14ac:dyDescent="0.2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3.8" x14ac:dyDescent="0.25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3.8" x14ac:dyDescent="0.25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3.8" x14ac:dyDescent="0.25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3.8" x14ac:dyDescent="0.25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3.8" x14ac:dyDescent="0.25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3.8" x14ac:dyDescent="0.25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3.8" x14ac:dyDescent="0.25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3.8" x14ac:dyDescent="0.25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3.8" x14ac:dyDescent="0.25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3.8" x14ac:dyDescent="0.2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3.8" x14ac:dyDescent="0.25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3.8" x14ac:dyDescent="0.25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3.8" x14ac:dyDescent="0.25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3.8" x14ac:dyDescent="0.25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3.8" x14ac:dyDescent="0.25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3.8" x14ac:dyDescent="0.25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3.8" x14ac:dyDescent="0.25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3.8" x14ac:dyDescent="0.25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3.8" x14ac:dyDescent="0.25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3.8" x14ac:dyDescent="0.2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3.8" x14ac:dyDescent="0.25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3.8" x14ac:dyDescent="0.25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3.8" x14ac:dyDescent="0.25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3.8" x14ac:dyDescent="0.25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3.8" x14ac:dyDescent="0.25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3.8" x14ac:dyDescent="0.25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3.8" x14ac:dyDescent="0.25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3.8" x14ac:dyDescent="0.25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3.8" x14ac:dyDescent="0.25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3.8" x14ac:dyDescent="0.2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3.8" x14ac:dyDescent="0.25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3.8" x14ac:dyDescent="0.25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3.8" x14ac:dyDescent="0.25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3.8" x14ac:dyDescent="0.25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3.8" x14ac:dyDescent="0.25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3.8" x14ac:dyDescent="0.25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3.8" x14ac:dyDescent="0.25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3.8" x14ac:dyDescent="0.25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3.8" x14ac:dyDescent="0.25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3.8" x14ac:dyDescent="0.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3.8" x14ac:dyDescent="0.25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3.8" x14ac:dyDescent="0.25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3.8" x14ac:dyDescent="0.25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3.8" x14ac:dyDescent="0.25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3.8" x14ac:dyDescent="0.25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3.8" x14ac:dyDescent="0.25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3.8" x14ac:dyDescent="0.25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3.8" x14ac:dyDescent="0.25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3.8" x14ac:dyDescent="0.25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3.8" x14ac:dyDescent="0.2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3.8" x14ac:dyDescent="0.25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3.8" x14ac:dyDescent="0.25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3.8" x14ac:dyDescent="0.25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3.8" x14ac:dyDescent="0.25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3.8" x14ac:dyDescent="0.25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3.8" x14ac:dyDescent="0.25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3.8" x14ac:dyDescent="0.25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3.8" x14ac:dyDescent="0.25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3.8" x14ac:dyDescent="0.25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3.8" x14ac:dyDescent="0.2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3.8" x14ac:dyDescent="0.25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3.8" x14ac:dyDescent="0.25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3.8" x14ac:dyDescent="0.25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3.8" x14ac:dyDescent="0.25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3.8" x14ac:dyDescent="0.25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3.8" x14ac:dyDescent="0.25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3.8" x14ac:dyDescent="0.25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3.8" x14ac:dyDescent="0.25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3.8" x14ac:dyDescent="0.25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3.8" x14ac:dyDescent="0.2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3.8" x14ac:dyDescent="0.25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3.8" x14ac:dyDescent="0.25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3.8" x14ac:dyDescent="0.25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3.8" x14ac:dyDescent="0.25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3.8" x14ac:dyDescent="0.25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3.8" x14ac:dyDescent="0.25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3.8" x14ac:dyDescent="0.25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3.8" x14ac:dyDescent="0.25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3.8" x14ac:dyDescent="0.25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3.8" x14ac:dyDescent="0.2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3.8" x14ac:dyDescent="0.25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3.8" x14ac:dyDescent="0.25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3.8" x14ac:dyDescent="0.25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3.8" x14ac:dyDescent="0.25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3.8" x14ac:dyDescent="0.25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3.8" x14ac:dyDescent="0.25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3.8" x14ac:dyDescent="0.25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3.8" x14ac:dyDescent="0.25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3.8" x14ac:dyDescent="0.25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3.8" x14ac:dyDescent="0.2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3.8" x14ac:dyDescent="0.25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3.8" x14ac:dyDescent="0.25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3.8" x14ac:dyDescent="0.25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3.8" x14ac:dyDescent="0.25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3.8" x14ac:dyDescent="0.25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3.8" x14ac:dyDescent="0.25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3.8" x14ac:dyDescent="0.25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3.8" x14ac:dyDescent="0.25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3.8" x14ac:dyDescent="0.25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3.8" x14ac:dyDescent="0.2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3.8" x14ac:dyDescent="0.25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3.8" x14ac:dyDescent="0.25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3.8" x14ac:dyDescent="0.25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3.8" x14ac:dyDescent="0.25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3.8" x14ac:dyDescent="0.25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3.8" x14ac:dyDescent="0.25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3.8" x14ac:dyDescent="0.25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3.8" x14ac:dyDescent="0.25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3.8" x14ac:dyDescent="0.25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3.8" x14ac:dyDescent="0.2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3.8" x14ac:dyDescent="0.25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3.8" x14ac:dyDescent="0.25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3.8" x14ac:dyDescent="0.25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3.8" x14ac:dyDescent="0.25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3.8" x14ac:dyDescent="0.25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spans="1:26" ht="13.8" x14ac:dyDescent="0.25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  <row r="1002" spans="1:26" ht="13.8" x14ac:dyDescent="0.25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</row>
    <row r="1003" spans="1:26" ht="13.8" x14ac:dyDescent="0.25">
      <c r="A1003" s="51"/>
      <c r="B1003" s="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</row>
    <row r="1004" spans="1:26" ht="13.8" x14ac:dyDescent="0.25">
      <c r="A1004" s="51"/>
      <c r="B1004" s="51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</row>
    <row r="1005" spans="1:26" ht="13.8" x14ac:dyDescent="0.25">
      <c r="A1005" s="51"/>
      <c r="B1005" s="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</row>
    <row r="1006" spans="1:26" ht="13.8" x14ac:dyDescent="0.25">
      <c r="A1006" s="51"/>
      <c r="B1006" s="51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</row>
    <row r="1007" spans="1:26" ht="13.8" x14ac:dyDescent="0.25">
      <c r="A1007" s="51"/>
      <c r="B1007" s="51"/>
      <c r="C1007" s="51"/>
      <c r="D1007" s="51"/>
      <c r="E1007" s="5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</row>
  </sheetData>
  <mergeCells count="15">
    <mergeCell ref="C21:D21"/>
    <mergeCell ref="C22:D22"/>
    <mergeCell ref="C25:D25"/>
    <mergeCell ref="A1:E1"/>
    <mergeCell ref="C15:D15"/>
    <mergeCell ref="A16:F16"/>
    <mergeCell ref="C17:D17"/>
    <mergeCell ref="F17:F20"/>
    <mergeCell ref="C18:D18"/>
    <mergeCell ref="E18:E20"/>
    <mergeCell ref="A18:B18"/>
    <mergeCell ref="A19:B19"/>
    <mergeCell ref="C19:D19"/>
    <mergeCell ref="A20:B20"/>
    <mergeCell ref="C20:D20"/>
  </mergeCells>
  <hyperlinks>
    <hyperlink ref="F4" r:id="rId1" xr:uid="{00000000-0004-0000-0200-000000000000}"/>
    <hyperlink ref="F5" r:id="rId2" xr:uid="{00000000-0004-0000-0200-000001000000}"/>
    <hyperlink ref="F6" r:id="rId3" xr:uid="{00000000-0004-0000-0200-000002000000}"/>
    <hyperlink ref="F13" r:id="rId4" xr:uid="{00000000-0004-0000-0200-000003000000}"/>
    <hyperlink ref="F26" r:id="rId5" xr:uid="{00000000-0004-0000-02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O49"/>
  <sheetViews>
    <sheetView zoomScaleNormal="100" workbookViewId="0">
      <pane xSplit="1" ySplit="2" topLeftCell="B31" activePane="bottomRight" state="frozen"/>
      <selection pane="topRight" activeCell="B1" sqref="B1"/>
      <selection pane="bottomLeft" activeCell="A3" sqref="A3"/>
      <selection pane="bottomRight" activeCell="B36" sqref="B36:K36"/>
    </sheetView>
  </sheetViews>
  <sheetFormatPr defaultColWidth="12.6640625" defaultRowHeight="15.75" customHeight="1" x14ac:dyDescent="0.25"/>
  <cols>
    <col min="1" max="1" width="58.44140625" customWidth="1"/>
    <col min="2" max="38" width="11.77734375" bestFit="1" customWidth="1"/>
  </cols>
  <sheetData>
    <row r="1" spans="1:41" ht="24" customHeight="1" x14ac:dyDescent="0.25">
      <c r="A1" s="198" t="s">
        <v>213</v>
      </c>
      <c r="B1" s="179"/>
      <c r="C1" s="179"/>
      <c r="D1" s="179"/>
      <c r="E1" s="179"/>
      <c r="F1" s="179"/>
      <c r="G1" s="179"/>
      <c r="H1" s="177"/>
      <c r="I1" s="64"/>
      <c r="J1" s="64"/>
      <c r="K1" s="64"/>
      <c r="L1" s="64"/>
      <c r="M1" s="65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</row>
    <row r="2" spans="1:41" ht="13.2" x14ac:dyDescent="0.25">
      <c r="A2" s="108" t="s">
        <v>214</v>
      </c>
      <c r="B2" s="109">
        <v>1</v>
      </c>
      <c r="C2" s="109">
        <v>2</v>
      </c>
      <c r="D2" s="109">
        <v>3</v>
      </c>
      <c r="E2" s="109">
        <v>4</v>
      </c>
      <c r="F2" s="109">
        <v>5</v>
      </c>
      <c r="G2" s="109">
        <v>6</v>
      </c>
      <c r="H2" s="109">
        <v>7</v>
      </c>
      <c r="I2" s="109">
        <v>8</v>
      </c>
      <c r="J2" s="109">
        <v>9</v>
      </c>
      <c r="K2" s="109">
        <v>10</v>
      </c>
      <c r="L2" s="109">
        <v>11</v>
      </c>
      <c r="M2" s="109">
        <v>12</v>
      </c>
      <c r="N2" s="109">
        <v>13</v>
      </c>
      <c r="O2" s="109">
        <v>14</v>
      </c>
      <c r="P2" s="109">
        <v>15</v>
      </c>
      <c r="Q2" s="109">
        <v>16</v>
      </c>
      <c r="R2" s="109">
        <v>17</v>
      </c>
      <c r="S2" s="109">
        <v>18</v>
      </c>
      <c r="T2" s="109">
        <v>19</v>
      </c>
      <c r="U2" s="109">
        <v>20</v>
      </c>
      <c r="V2" s="109">
        <v>21</v>
      </c>
      <c r="W2" s="109">
        <v>22</v>
      </c>
      <c r="X2" s="109">
        <v>23</v>
      </c>
      <c r="Y2" s="109">
        <v>24</v>
      </c>
      <c r="Z2" s="109">
        <v>25</v>
      </c>
      <c r="AA2" s="109">
        <v>26</v>
      </c>
      <c r="AB2" s="109">
        <v>27</v>
      </c>
      <c r="AC2" s="109">
        <v>28</v>
      </c>
      <c r="AD2" s="109">
        <v>29</v>
      </c>
      <c r="AE2" s="109">
        <v>30</v>
      </c>
      <c r="AF2" s="109">
        <v>31</v>
      </c>
      <c r="AG2" s="109">
        <v>32</v>
      </c>
      <c r="AH2" s="109">
        <v>33</v>
      </c>
      <c r="AI2" s="109">
        <v>34</v>
      </c>
      <c r="AJ2" s="109">
        <v>35</v>
      </c>
      <c r="AK2" s="109">
        <v>36</v>
      </c>
      <c r="AL2" s="109">
        <v>37</v>
      </c>
      <c r="AM2" s="64"/>
      <c r="AN2" s="64"/>
      <c r="AO2" s="64"/>
    </row>
    <row r="3" spans="1:41" ht="13.2" x14ac:dyDescent="0.25">
      <c r="A3" s="108" t="s">
        <v>215</v>
      </c>
      <c r="B3" s="110">
        <f>IF(OR(B2=1,B2=2,B2=12,B2=13,B2=14,B2=24,B2=25,B2=26,B2=36),1+Предпосылки!$B$158,IF(OR(B2=9,B2=10,B2=11,B2=21,B2=22,B2=23,B2=33,B2=34,B2=35),1+Предпосылки!$B$157,IF(OR(B2=6,B2=7,B2=8),1+Предпосылки!$B$160,IF(OR(B2=3,B2=4,B2=5,B2=15,B2=16,B2=17,B2=27,B2=28,B2=29),Предпосылки!$B$159+1,1))))</f>
        <v>1.1499999999999999</v>
      </c>
      <c r="C3" s="110">
        <f>IF(OR(C2=1,C2=2,C2=12,C2=13,C2=14,C2=24,C2=25,C2=26,C2=36),1+Предпосылки!$B$158,IF(OR(C2=9,C2=10,C2=11,C2=21,C2=22,C2=23,C2=33,C2=34,C2=35),1+Предпосылки!$B$157,IF(OR(C2=6,C2=7,C2=8),1+Предпосылки!$B$160,IF(OR(C2=3,C2=4,C2=5,C2=15,C2=16,C2=17,C2=27,C2=28,C2=29),Предпосылки!$B$159+1,1))))</f>
        <v>1.1499999999999999</v>
      </c>
      <c r="D3" s="110">
        <f>IF(OR(D2=1,D2=2,D2=12,D2=13,D2=14,D2=24,D2=25,D2=26,D2=36),1+Предпосылки!$B$158,IF(OR(D2=9,D2=10,D2=11,D2=21,D2=22,D2=23,D2=33,D2=34,D2=35),1+Предпосылки!$B$157,IF(OR(D2=6,D2=7,D2=8),1+Предпосылки!$B$160,IF(OR(D2=3,D2=4,D2=5,D2=15,D2=16,D2=17,D2=27,D2=28,D2=29),Предпосылки!$B$159+1,1))))</f>
        <v>1</v>
      </c>
      <c r="E3" s="110">
        <f>IF(OR(E2=1,E2=2,E2=12,E2=13,E2=14,E2=24,E2=25,E2=26,E2=36),1+Предпосылки!$B$158,IF(OR(E2=9,E2=10,E2=11,E2=21,E2=22,E2=23,E2=33,E2=34,E2=35),1+Предпосылки!$B$157,IF(OR(E2=6,E2=7,E2=8),1+Предпосылки!$B$160,IF(OR(E2=3,E2=4,E2=5,E2=15,E2=16,E2=17,E2=27,E2=28,E2=29),Предпосылки!$B$159+1,1))))</f>
        <v>1</v>
      </c>
      <c r="F3" s="110">
        <f>IF(OR(F2=1,F2=2,F2=12,F2=13,F2=14,F2=24,F2=25,F2=26,F2=36),1+Предпосылки!$B$158,IF(OR(F2=9,F2=10,F2=11,F2=21,F2=22,F2=23,F2=33,F2=34,F2=35),1+Предпосылки!$B$157,IF(OR(F2=6,F2=7,F2=8),1+Предпосылки!$B$160,IF(OR(F2=3,F2=4,F2=5,F2=15,F2=16,F2=17,F2=27,F2=28,F2=29),Предпосылки!$B$159+1,1))))</f>
        <v>1</v>
      </c>
      <c r="G3" s="110">
        <f>IF(OR(G2=1,G2=2,G2=12,G2=13,G2=14,G2=24,G2=25,G2=26,G2=36),1+Предпосылки!$B$158,IF(OR(G2=9,G2=10,G2=11,G2=21,G2=22,G2=23,G2=33,G2=34,G2=35),1+Предпосылки!$B$157,IF(OR(G2=6,G2=7,G2=8),1+Предпосылки!$B$160,IF(OR(G2=3,G2=4,G2=5,G2=15,G2=16,G2=17,G2=27,G2=28,G2=29),Предпосылки!$B$159+1,1))))</f>
        <v>0.9</v>
      </c>
      <c r="H3" s="110">
        <f>IF(OR(H2=1,H2=2,H2=12,H2=13,H2=14,H2=24,H2=25,H2=26,H2=36),1+Предпосылки!$B$158,IF(OR(H2=9,H2=10,H2=11,H2=21,H2=22,H2=23,H2=33,H2=34,H2=35),1+Предпосылки!$B$157,IF(OR(H2=6,H2=7,H2=8),1+Предпосылки!$B$160,IF(OR(H2=3,H2=4,H2=5,H2=15,H2=16,H2=17,H2=27,H2=28,H2=29),Предпосылки!$B$159+1,1))))</f>
        <v>0.9</v>
      </c>
      <c r="I3" s="110">
        <f>IF(OR(I2=1,I2=2,I2=12,I2=13,I2=14,I2=24,I2=25,I2=26,I2=36),1+Предпосылки!$B$158,IF(OR(I2=9,I2=10,I2=11,I2=21,I2=22,I2=23,I2=33,I2=34,I2=35),1+Предпосылки!$B$157,IF(OR(I2=6,I2=7,I2=8),1+Предпосылки!$B$160,IF(OR(I2=3,I2=4,I2=5,I2=15,I2=16,I2=17,I2=27,I2=28,I2=29),Предпосылки!$B$159+1,1))))</f>
        <v>0.9</v>
      </c>
      <c r="J3" s="110">
        <f>IF(OR(J2=1,J2=2,J2=12,J2=13,J2=14,J2=24,J2=25,J2=26,J2=36),1+Предпосылки!$B$158,IF(OR(J2=9,J2=10,J2=11,J2=21,J2=22,J2=23,J2=33,J2=34,J2=35),1+Предпосылки!$B$157,IF(OR(J2=6,J2=7,J2=8),1+Предпосылки!$B$160,IF(OR(J2=3,J2=4,J2=5,J2=15,J2=16,J2=17,J2=27,J2=28,J2=29),Предпосылки!$B$159+1,1))))</f>
        <v>1.1000000000000001</v>
      </c>
      <c r="K3" s="110">
        <f>IF(OR(K2=1,K2=2,K2=12,K2=13,K2=14,K2=24,K2=25,K2=26,K2=36),1+Предпосылки!$B$158,IF(OR(K2=9,K2=10,K2=11,K2=21,K2=22,K2=23,K2=33,K2=34,K2=35),1+Предпосылки!$B$157,IF(OR(K2=6,K2=7,K2=8),1+Предпосылки!$B$160,IF(OR(K2=3,K2=4,K2=5,K2=15,K2=16,K2=17,K2=27,K2=28,K2=29),Предпосылки!$B$159+1,1))))</f>
        <v>1.1000000000000001</v>
      </c>
      <c r="L3" s="110">
        <f>IF(OR(L2=1,L2=2,L2=12,L2=13,L2=14,L2=24,L2=25,L2=26,L2=36),1+Предпосылки!$B$158,IF(OR(L2=9,L2=10,L2=11,L2=21,L2=22,L2=23,L2=33,L2=34,L2=35),1+Предпосылки!$B$157,IF(OR(L2=6,L2=7,L2=8),1+Предпосылки!$B$160,IF(OR(L2=3,L2=4,L2=5,L2=15,L2=16,L2=17,L2=27,L2=28,L2=29),Предпосылки!$B$159+1,1))))</f>
        <v>1.1000000000000001</v>
      </c>
      <c r="M3" s="110">
        <f>IF(OR(M2=1,M2=2,M2=12,M2=13,M2=14,M2=24,M2=25,M2=26,M2=36),1+Предпосылки!$B$158,IF(OR(M2=9,M2=10,M2=11,M2=21,M2=22,M2=23,M2=33,M2=34,M2=35),1+Предпосылки!$B$157,IF(OR(M2=6,M2=7,M2=8),1+Предпосылки!$B$160,IF(OR(M2=3,M2=4,M2=5,M2=15,M2=16,M2=17,M2=27,M2=28,M2=29),Предпосылки!$B$159+1,1))))</f>
        <v>1.1499999999999999</v>
      </c>
      <c r="N3" s="110">
        <f>IF(OR(N2=1,N2=2,N2=12,N2=13,N2=14,N2=24,N2=25,N2=26,N2=36),1+Предпосылки!$B$158,IF(OR(N2=9,N2=10,N2=11,N2=21,N2=22,N2=23,N2=33,N2=34,N2=35),1+Предпосылки!$B$157,IF(OR(N2=6,N2=7,N2=8),1+Предпосылки!$B$160,IF(OR(N2=3,N2=4,N2=5,N2=15,N2=16,N2=17,N2=27,N2=28,N2=29),Предпосылки!$B$159+1,1))))</f>
        <v>1.1499999999999999</v>
      </c>
      <c r="O3" s="110">
        <f>IF(OR(O2=1,O2=2,O2=12,O2=13,O2=14,O2=24,O2=25,O2=26,O2=36),1+Предпосылки!$B$158,IF(OR(O2=9,O2=10,O2=11,O2=21,O2=22,O2=23,O2=33,O2=34,O2=35),1+Предпосылки!$B$157,IF(OR(O2=6,O2=7,O2=8),1+Предпосылки!$B$160,IF(OR(O2=3,O2=4,O2=5,O2=15,O2=16,O2=17,O2=27,O2=28,O2=29),Предпосылки!$B$159+1,1))))</f>
        <v>1.1499999999999999</v>
      </c>
      <c r="P3" s="110">
        <f>IF(OR(P2=1,P2=2,P2=12,P2=13,P2=14,P2=24,P2=25,P2=26,P2=36),1+Предпосылки!$B$158,IF(OR(P2=9,P2=10,P2=11,P2=21,P2=22,P2=23,P2=33,P2=34,P2=35),1+Предпосылки!$B$157,IF(OR(P2=6,P2=7,P2=8),1+Предпосылки!$B$160,IF(OR(P2=3,P2=4,P2=5,P2=15,P2=16,P2=17,P2=27,P2=28,P2=29),Предпосылки!$B$159+1,1))))</f>
        <v>1</v>
      </c>
      <c r="Q3" s="110">
        <f>IF(OR(Q2=1,Q2=2,Q2=12,Q2=13,Q2=14,Q2=24,Q2=25,Q2=26,Q2=36),1+Предпосылки!$B$158,IF(OR(Q2=9,Q2=10,Q2=11,Q2=21,Q2=22,Q2=23,Q2=33,Q2=34,Q2=35),1+Предпосылки!$B$157,IF(OR(Q2=6,Q2=7,Q2=8),1+Предпосылки!$B$160,IF(OR(Q2=3,Q2=4,Q2=5,Q2=15,Q2=16,Q2=17,Q2=27,Q2=28,Q2=29),Предпосылки!$B$159+1,1))))</f>
        <v>1</v>
      </c>
      <c r="R3" s="110">
        <f>IF(OR(R2=1,R2=2,R2=12,R2=13,R2=14,R2=24,R2=25,R2=26,R2=36),1+Предпосылки!$B$158,IF(OR(R2=9,R2=10,R2=11,R2=21,R2=22,R2=23,R2=33,R2=34,R2=35),1+Предпосылки!$B$157,IF(OR(R2=6,R2=7,R2=8),1+Предпосылки!$B$160,IF(OR(R2=3,R2=4,R2=5,R2=15,R2=16,R2=17,R2=27,R2=28,R2=29),Предпосылки!$B$159+1,1))))</f>
        <v>1</v>
      </c>
      <c r="S3" s="110">
        <f>IF(OR(S2=1,S2=2,S2=12,S2=13,S2=14,S2=24,S2=25,S2=26,S2=36),1+Предпосылки!$B$158,IF(OR(S2=9,S2=10,S2=11,S2=21,S2=22,S2=23,S2=33,S2=34,S2=35),1+Предпосылки!$B$157,IF(OR(S2=6,S2=7,S2=8),1+Предпосылки!$B$160,IF(OR(S2=3,S2=4,S2=5,S2=15,S2=16,S2=17,S2=27,S2=28,S2=29),Предпосылки!$B$159+1,1))))</f>
        <v>1</v>
      </c>
      <c r="T3" s="110">
        <f>IF(OR(T2=1,T2=2,T2=12,T2=13,T2=14,T2=24,T2=25,T2=26,T2=36),1+Предпосылки!$B$158,IF(OR(T2=9,T2=10,T2=11,T2=21,T2=22,T2=23,T2=33,T2=34,T2=35),1+Предпосылки!$B$157,IF(OR(T2=6,T2=7,T2=8),1+Предпосылки!$B$160,IF(OR(T2=3,T2=4,T2=5,T2=15,T2=16,T2=17,T2=27,T2=28,T2=29),Предпосылки!$B$159+1,1))))</f>
        <v>1</v>
      </c>
      <c r="U3" s="110">
        <f>IF(OR(U2=1,U2=2,U2=12,U2=13,U2=14,U2=24,U2=25,U2=26,U2=36),1+Предпосылки!$B$158,IF(OR(U2=9,U2=10,U2=11,U2=21,U2=22,U2=23,U2=33,U2=34,U2=35),1+Предпосылки!$B$157,IF(OR(U2=6,U2=7,U2=8),1+Предпосылки!$B$160,IF(OR(U2=3,U2=4,U2=5,U2=15,U2=16,U2=17,U2=27,U2=28,U2=29),Предпосылки!$B$159+1,1))))</f>
        <v>1</v>
      </c>
      <c r="V3" s="110">
        <f>IF(OR(V2=1,V2=2,V2=12,V2=13,V2=14,V2=24,V2=25,V2=26,V2=36),1+Предпосылки!$B$158,IF(OR(V2=9,V2=10,V2=11,V2=21,V2=22,V2=23,V2=33,V2=34,V2=35),1+Предпосылки!$B$157,IF(OR(V2=6,V2=7,V2=8),1+Предпосылки!$B$160,IF(OR(V2=6,V2=7,V2=8),1+Предпосылки!$B$160,IF(OR(V2=3,V2=4,V2=5,V2=15,V2=16,V2=17,V2=27,V2=28,V2=29),Предпосылки!$B$159+1,1)))))</f>
        <v>1.1000000000000001</v>
      </c>
      <c r="W3" s="110">
        <f>IF(OR(W2=1,W2=2,W2=12,W2=13,W2=14,W2=24,W2=25,W2=26,W2=36),1+Предпосылки!$B$158,IF(OR(W2=9,W2=10,W2=11,W2=21,W2=22,W2=23,W2=33,W2=34,W2=35),1+Предпосылки!$B$157,IF(OR(W2=6,W2=7,W2=8),1+Предпосылки!$B$160,IF(OR(W2=6,W2=7,W2=8),1+Предпосылки!$B$160,IF(OR(W2=3,W2=4,W2=5,W2=15,W2=16,W2=17,W2=27,W2=28,W2=29),Предпосылки!$B$159+1,1)))))</f>
        <v>1.1000000000000001</v>
      </c>
      <c r="X3" s="110">
        <f>IF(OR(X2=1,X2=2,X2=12,X2=13,X2=14,X2=24,X2=25,X2=26,X2=36),1+Предпосылки!$B$158,IF(OR(X2=9,X2=10,X2=11,X2=21,X2=22,X2=23,X2=33,X2=34,X2=35),1+Предпосылки!$B$157,IF(OR(X2=6,X2=7,X2=8),1+Предпосылки!$B$160,IF(OR(X2=6,X2=7,X2=8),1+Предпосылки!$B$160,IF(OR(X2=3,X2=4,X2=5,X2=15,X2=16,X2=17,X2=27,X2=28,X2=29),Предпосылки!$B$159+1,1)))))</f>
        <v>1.1000000000000001</v>
      </c>
      <c r="Y3" s="110">
        <f>IF(OR(Y2=1,Y2=2,Y2=12,Y2=13,Y2=14,Y2=24,Y2=25,Y2=26,Y2=36),1+Предпосылки!$B$158,IF(OR(Y2=9,Y2=10,Y2=11,Y2=21,Y2=22,Y2=23,Y2=33,Y2=34,Y2=35),1+Предпосылки!$B$157,IF(OR(Y2=6,Y2=7,Y2=8),1+Предпосылки!$B$160,IF(OR(Y2=6,Y2=7,Y2=8),1+Предпосылки!$B$160,IF(OR(Y2=3,Y2=4,Y2=5,Y2=15,Y2=16,Y2=17,Y2=27,Y2=28,Y2=29),Предпосылки!$B$159+1,1)))))</f>
        <v>1.1499999999999999</v>
      </c>
      <c r="Z3" s="110">
        <f>IF(OR(Z2=1,Z2=2,Z2=12,Z2=13,Z2=14,Z2=24,Z2=25,Z2=26,Z2=36),1+Предпосылки!$B$158,IF(OR(Z2=9,Z2=10,Z2=11,Z2=21,Z2=22,Z2=23,Z2=33,Z2=34,Z2=35),1+Предпосылки!$B$157,IF(OR(Z2=6,Z2=7,Z2=8),1+Предпосылки!$B$160,IF(OR(Z2=6,Z2=7,Z2=8),1+Предпосылки!$B$160,IF(OR(Z2=3,Z2=4,Z2=5,Z2=15,Z2=16,Z2=17,Z2=27,Z2=28,Z2=29),Предпосылки!$B$159+1,1)))))</f>
        <v>1.1499999999999999</v>
      </c>
      <c r="AA3" s="110">
        <f>IF(OR(AA2=1,AA2=2,AA2=12,AA2=13,AA2=14,AA2=24,AA2=25,AA2=26,AA2=36),1+Предпосылки!$B$158,IF(OR(AA2=9,AA2=10,AA2=11,AA2=21,AA2=22,AA2=23,AA2=33,AA2=34,AA2=35),1+Предпосылки!$B$157,IF(OR(AA2=6,AA2=7,AA2=8),1+Предпосылки!$B$160,IF(OR(AA2=6,AA2=7,AA2=8),1+Предпосылки!$B$160,IF(OR(AA2=3,AA2=4,AA2=5,AA2=15,AA2=16,AA2=17,AA2=27,AA2=28,AA2=29),Предпосылки!$B$159+1,1)))))</f>
        <v>1.1499999999999999</v>
      </c>
      <c r="AB3" s="110">
        <f>IF(OR(AB2=1,AB2=2,AB2=12,AB2=13,AB2=14,AB2=24,AB2=25,AB2=26,AB2=36),1+Предпосылки!$B$158,IF(OR(AB2=9,AB2=10,AB2=11,AB2=21,AB2=22,AB2=23,AB2=33,AB2=34,AB2=35),1+Предпосылки!$B$157,IF(OR(AB2=6,AB2=7,AB2=8),1+Предпосылки!$B$160,IF(OR(AB2=6,AB2=7,AB2=8),1+Предпосылки!$B$160,IF(OR(AB2=3,AB2=4,AB2=5,AB2=15,AB2=16,AB2=17,AB2=27,AB2=28,AB2=29),Предпосылки!$B$159+1,1)))))</f>
        <v>1</v>
      </c>
      <c r="AC3" s="110">
        <f>IF(OR(AC2=1,AC2=2,AC2=12,AC2=13,AC2=14,AC2=24,AC2=25,AC2=26,AC2=36),1+Предпосылки!$B$158,IF(OR(AC2=9,AC2=10,AC2=11,AC2=21,AC2=22,AC2=23,AC2=33,AC2=34,AC2=35),1+Предпосылки!$B$157,IF(OR(AC2=6,AC2=7,AC2=8),1+Предпосылки!$B$160,IF(OR(AC2=6,AC2=7,AC2=8),1+Предпосылки!$B$160,IF(OR(AC2=3,AC2=4,AC2=5,AC2=15,AC2=16,AC2=17,AC2=27,AC2=28,AC2=29),Предпосылки!$B$159+1,1)))))</f>
        <v>1</v>
      </c>
      <c r="AD3" s="110">
        <f>IF(OR(AD2=1,AD2=2,AD2=12,AD2=13,AD2=14,AD2=24,AD2=25,AD2=26,AD2=36),1+Предпосылки!$B$158,IF(OR(AD2=9,AD2=10,AD2=11,AD2=21,AD2=22,AD2=23,AD2=33,AD2=34,AD2=35),1+Предпосылки!$B$157,IF(OR(AD2=6,AD2=7,AD2=8),1+Предпосылки!$B$160,IF(OR(AD2=6,AD2=7,AD2=8),1+Предпосылки!$B$160,IF(OR(AD2=3,AD2=4,AD2=5,AD2=15,AD2=16,AD2=17,AD2=27,AD2=28,AD2=29),Предпосылки!$B$159+1,1)))))</f>
        <v>1</v>
      </c>
      <c r="AE3" s="110">
        <f>IF(OR(AE2=1,AE2=2,AE2=12,AE2=13,AE2=14,AE2=24,AE2=25,AE2=26,AE2=36),1+Предпосылки!$B$158,IF(OR(AE2=9,AE2=10,AE2=11,AE2=21,AE2=22,AE2=23,AE2=33,AE2=34,AE2=35),1+Предпосылки!$B$157,IF(OR(AE2=6,AE2=7,AE2=8),1+Предпосылки!$B$160,IF(OR(AE2=6,AE2=7,AE2=8),1+Предпосылки!$B$160,IF(OR(AE2=3,AE2=4,AE2=5,AE2=15,AE2=16,AE2=17,AE2=27,AE2=28,AE2=29),Предпосылки!$B$159+1,1)))))</f>
        <v>1</v>
      </c>
      <c r="AF3" s="110">
        <f>IF(OR(AF2=1,AF2=2,AF2=12,AF2=13,AF2=14,AF2=24,AF2=25,AF2=26,AF2=36),1+Предпосылки!$B$158,IF(OR(AF2=9,AF2=10,AF2=11,AF2=21,AF2=22,AF2=23,AF2=33,AF2=34,AF2=35),1+Предпосылки!$B$157,IF(OR(AF2=6,AF2=7,AF2=8),1+Предпосылки!$B$160,IF(OR(AF2=6,AF2=7,AF2=8),1+Предпосылки!$B$160,IF(OR(AF2=3,AF2=4,AF2=5,AF2=15,AF2=16,AF2=17,AF2=27,AF2=28,AF2=29),Предпосылки!$B$159+1,1)))))</f>
        <v>1</v>
      </c>
      <c r="AG3" s="110">
        <f>IF(OR(AG2=1,AG2=2,AG2=12,AG2=13,AG2=14,AG2=24,AG2=25,AG2=26,AG2=36),1+Предпосылки!$B$158,IF(OR(AG2=9,AG2=10,AG2=11,AG2=21,AG2=22,AG2=23,AG2=33,AG2=34,AG2=35),1+Предпосылки!$B$157,IF(OR(AG2=6,AG2=7,AG2=8),1+Предпосылки!$B$160,IF(OR(AG2=6,AG2=7,AG2=8),1+Предпосылки!$B$160,IF(OR(AG2=3,AG2=4,AG2=5,AG2=15,AG2=16,AG2=17,AG2=27,AG2=28,AG2=29),Предпосылки!$B$159+1,1)))))</f>
        <v>1</v>
      </c>
      <c r="AH3" s="110">
        <f>IF(OR(AH2=1,AH2=2,AH2=12,AH2=13,AH2=14,AH2=24,AH2=25,AH2=26,AH2=36),1+Предпосылки!$B$158,IF(OR(AH2=9,AH2=10,AH2=11,AH2=21,AH2=22,AH2=23,AH2=33,AH2=34,AH2=35),1+Предпосылки!$B$157,IF(OR(AH2=6,AH2=7,AH2=8),1+Предпосылки!$B$160,IF(OR(AH2=6,AH2=7,AH2=8),1+Предпосылки!$B$160,IF(OR(AH2=3,AH2=4,AH2=5,AH2=15,AH2=16,AH2=17,AH2=27,AH2=28,AH2=29),Предпосылки!$B$159+1,1)))))</f>
        <v>1.1000000000000001</v>
      </c>
      <c r="AI3" s="110">
        <f>IF(OR(AI2=1,AI2=2,AI2=12,AI2=13,AI2=14,AI2=24,AI2=25,AI2=26,AI2=36),1+Предпосылки!$B$158,IF(OR(AI2=9,AI2=10,AI2=11,AI2=21,AI2=22,AI2=23,AI2=33,AI2=34,AI2=35),1+Предпосылки!$B$157,IF(OR(AI2=6,AI2=7,AI2=8),1+Предпосылки!$B$160,IF(OR(AI2=6,AI2=7,AI2=8),1+Предпосылки!$B$160,IF(OR(AI2=3,AI2=4,AI2=5,AI2=15,AI2=16,AI2=17,AI2=27,AI2=28,AI2=29),Предпосылки!$B$159+1,1)))))</f>
        <v>1.1000000000000001</v>
      </c>
      <c r="AJ3" s="110">
        <f>IF(OR(AJ2=1,AJ2=2,AJ2=12,AJ2=13,AJ2=14,AJ2=24,AJ2=25,AJ2=26,AJ2=36),1+Предпосылки!$B$158,IF(OR(AJ2=9,AJ2=10,AJ2=11,AJ2=21,AJ2=22,AJ2=23,AJ2=33,AJ2=34,AJ2=35),1+Предпосылки!$B$157,IF(OR(AJ2=6,AJ2=7,AJ2=8),1+Предпосылки!$B$160,IF(OR(AJ2=6,AJ2=7,AJ2=8),1+Предпосылки!$B$160,IF(OR(AJ2=3,AJ2=4,AJ2=5,AJ2=15,AJ2=16,AJ2=17,AJ2=27,AJ2=28,AJ2=29),Предпосылки!$B$159+1,1)))))</f>
        <v>1.1000000000000001</v>
      </c>
      <c r="AK3" s="110">
        <f>IF(OR(AK2=1,AK2=2,AK2=12,AK2=13,AK2=14,AK2=24,AK2=25,AK2=26,AK2=36),1+Предпосылки!$B$158,IF(OR(AK2=9,AK2=10,AK2=11,AK2=21,AK2=22,AK2=23,AK2=33,AK2=34,AK2=35),1+Предпосылки!$B$157,IF(OR(AK2=6,AK2=7,AK2=8),1+Предпосылки!$B$160,IF(OR(AK2=6,AK2=7,AK2=8),1+Предпосылки!$B$160,IF(OR(AK2=3,AK2=4,AK2=5,AK2=15,AK2=16,AK2=17,AK2=27,AK2=28,AK2=29),Предпосылки!$B$159+1,1)))))</f>
        <v>1.1499999999999999</v>
      </c>
      <c r="AL3" s="110"/>
      <c r="AM3" s="111"/>
      <c r="AN3" s="111"/>
      <c r="AO3" s="111"/>
    </row>
    <row r="4" spans="1:41" ht="13.2" x14ac:dyDescent="0.25">
      <c r="A4" s="57" t="s">
        <v>216</v>
      </c>
      <c r="B4" s="112">
        <f>Предпосылки!$H$125</f>
        <v>300000000</v>
      </c>
      <c r="C4" s="112">
        <f t="shared" ref="C4:U4" si="0">B$4-B$13</f>
        <v>299483000</v>
      </c>
      <c r="D4" s="112">
        <f t="shared" si="0"/>
        <v>298977000</v>
      </c>
      <c r="E4" s="112">
        <f t="shared" si="0"/>
        <v>298542000</v>
      </c>
      <c r="F4" s="112">
        <f t="shared" si="0"/>
        <v>298102000</v>
      </c>
      <c r="G4" s="112">
        <f t="shared" si="0"/>
        <v>297662000</v>
      </c>
      <c r="H4" s="112">
        <f t="shared" si="0"/>
        <v>297272000</v>
      </c>
      <c r="I4" s="112">
        <f t="shared" si="0"/>
        <v>296876000</v>
      </c>
      <c r="J4" s="112">
        <f t="shared" si="0"/>
        <v>296480000</v>
      </c>
      <c r="K4" s="112">
        <f t="shared" si="0"/>
        <v>295783000</v>
      </c>
      <c r="L4" s="112">
        <f t="shared" si="0"/>
        <v>295306000</v>
      </c>
      <c r="M4" s="112">
        <f t="shared" si="0"/>
        <v>294829000</v>
      </c>
      <c r="N4" s="112">
        <f t="shared" si="0"/>
        <v>294323000</v>
      </c>
      <c r="O4" s="112">
        <f t="shared" si="0"/>
        <v>293825000</v>
      </c>
      <c r="P4" s="112">
        <f t="shared" si="0"/>
        <v>293327000</v>
      </c>
      <c r="Q4" s="112">
        <f t="shared" si="0"/>
        <v>292887000</v>
      </c>
      <c r="R4" s="112">
        <f t="shared" si="0"/>
        <v>292452000</v>
      </c>
      <c r="S4" s="112">
        <f t="shared" si="0"/>
        <v>292017000</v>
      </c>
      <c r="T4" s="112">
        <f t="shared" si="0"/>
        <v>291577000</v>
      </c>
      <c r="U4" s="112">
        <f t="shared" si="0"/>
        <v>291142000</v>
      </c>
      <c r="V4" s="112">
        <f t="shared" ref="V4:AL4" si="1">U4-U13</f>
        <v>290707000</v>
      </c>
      <c r="W4" s="112">
        <f t="shared" si="1"/>
        <v>289955000</v>
      </c>
      <c r="X4" s="112">
        <f t="shared" si="1"/>
        <v>289448000</v>
      </c>
      <c r="Y4" s="112">
        <f t="shared" si="1"/>
        <v>288924000</v>
      </c>
      <c r="Z4" s="112">
        <f t="shared" si="1"/>
        <v>288396000</v>
      </c>
      <c r="AA4" s="112">
        <f t="shared" si="1"/>
        <v>287868000</v>
      </c>
      <c r="AB4" s="112">
        <f t="shared" si="1"/>
        <v>287289000</v>
      </c>
      <c r="AC4" s="112">
        <f t="shared" si="1"/>
        <v>286803000</v>
      </c>
      <c r="AD4" s="112">
        <f t="shared" si="1"/>
        <v>286317000</v>
      </c>
      <c r="AE4" s="112">
        <f t="shared" si="1"/>
        <v>285593000</v>
      </c>
      <c r="AF4" s="112">
        <f t="shared" si="1"/>
        <v>284869000</v>
      </c>
      <c r="AG4" s="112">
        <f t="shared" si="1"/>
        <v>284383000</v>
      </c>
      <c r="AH4" s="112">
        <f t="shared" si="1"/>
        <v>283878000</v>
      </c>
      <c r="AI4" s="112">
        <f t="shared" si="1"/>
        <v>283341000</v>
      </c>
      <c r="AJ4" s="112">
        <f t="shared" si="1"/>
        <v>282804000</v>
      </c>
      <c r="AK4" s="112">
        <f t="shared" si="1"/>
        <v>282248000</v>
      </c>
      <c r="AL4" s="112">
        <f t="shared" si="1"/>
        <v>281687000</v>
      </c>
    </row>
    <row r="5" spans="1:41" ht="13.2" x14ac:dyDescent="0.25">
      <c r="A5" s="57" t="s">
        <v>217</v>
      </c>
      <c r="B5" s="113"/>
      <c r="C5" s="114">
        <f t="shared" ref="C5:U5" si="2">B$13+B5</f>
        <v>517000</v>
      </c>
      <c r="D5" s="114">
        <f t="shared" si="2"/>
        <v>1023000</v>
      </c>
      <c r="E5" s="114">
        <f t="shared" si="2"/>
        <v>1458000</v>
      </c>
      <c r="F5" s="114">
        <f t="shared" si="2"/>
        <v>1898000</v>
      </c>
      <c r="G5" s="114">
        <f t="shared" si="2"/>
        <v>2338000</v>
      </c>
      <c r="H5" s="114">
        <f t="shared" si="2"/>
        <v>2728000</v>
      </c>
      <c r="I5" s="114">
        <f t="shared" si="2"/>
        <v>3124000</v>
      </c>
      <c r="J5" s="114">
        <f t="shared" si="2"/>
        <v>3520000</v>
      </c>
      <c r="K5" s="114">
        <f t="shared" si="2"/>
        <v>4217000</v>
      </c>
      <c r="L5" s="114">
        <f t="shared" si="2"/>
        <v>4694000</v>
      </c>
      <c r="M5" s="114">
        <f t="shared" si="2"/>
        <v>5171000</v>
      </c>
      <c r="N5" s="114">
        <f t="shared" si="2"/>
        <v>5677000</v>
      </c>
      <c r="O5" s="114">
        <f t="shared" si="2"/>
        <v>6175000</v>
      </c>
      <c r="P5" s="114">
        <f t="shared" si="2"/>
        <v>6673000</v>
      </c>
      <c r="Q5" s="114">
        <f t="shared" si="2"/>
        <v>7113000</v>
      </c>
      <c r="R5" s="114">
        <f t="shared" si="2"/>
        <v>7548000</v>
      </c>
      <c r="S5" s="114">
        <f t="shared" si="2"/>
        <v>7983000</v>
      </c>
      <c r="T5" s="114">
        <f t="shared" si="2"/>
        <v>8423000</v>
      </c>
      <c r="U5" s="114">
        <f t="shared" si="2"/>
        <v>8858000</v>
      </c>
      <c r="V5" s="115">
        <f>V13+U5</f>
        <v>9610000</v>
      </c>
      <c r="W5" s="115">
        <f t="shared" ref="W5:AK5" si="3">V13+V5</f>
        <v>10362000</v>
      </c>
      <c r="X5" s="115">
        <f t="shared" si="3"/>
        <v>10869000</v>
      </c>
      <c r="Y5" s="115">
        <f t="shared" si="3"/>
        <v>11393000</v>
      </c>
      <c r="Z5" s="115">
        <f t="shared" si="3"/>
        <v>11921000</v>
      </c>
      <c r="AA5" s="115">
        <f t="shared" si="3"/>
        <v>12449000</v>
      </c>
      <c r="AB5" s="115">
        <f t="shared" si="3"/>
        <v>13028000</v>
      </c>
      <c r="AC5" s="115">
        <f t="shared" si="3"/>
        <v>13514000</v>
      </c>
      <c r="AD5" s="115">
        <f t="shared" si="3"/>
        <v>14000000</v>
      </c>
      <c r="AE5" s="115">
        <f t="shared" si="3"/>
        <v>14724000</v>
      </c>
      <c r="AF5" s="115">
        <f t="shared" si="3"/>
        <v>15448000</v>
      </c>
      <c r="AG5" s="115">
        <f t="shared" si="3"/>
        <v>15934000</v>
      </c>
      <c r="AH5" s="115">
        <f t="shared" si="3"/>
        <v>16439000</v>
      </c>
      <c r="AI5" s="115">
        <f t="shared" si="3"/>
        <v>16976000</v>
      </c>
      <c r="AJ5" s="115">
        <f t="shared" si="3"/>
        <v>17513000</v>
      </c>
      <c r="AK5" s="115">
        <f t="shared" si="3"/>
        <v>18069000</v>
      </c>
      <c r="AL5" s="115"/>
      <c r="AM5" s="116"/>
      <c r="AN5" s="116"/>
      <c r="AO5" s="116"/>
    </row>
    <row r="6" spans="1:41" ht="13.2" x14ac:dyDescent="0.25">
      <c r="A6" s="57" t="s">
        <v>218</v>
      </c>
      <c r="B6" s="3">
        <v>0</v>
      </c>
      <c r="C6" s="112">
        <f>(B6+B10*Предпосылки!$D$122)/(1+Предпосылки!$D$172/12)^(C$2-1)</f>
        <v>159458.56718388907</v>
      </c>
      <c r="D6" s="112">
        <f>(C6+C10*Предпосылки!$D$122)/(1+Предпосылки!$D$172/12)^(D$2-1)</f>
        <v>314351.72605770512</v>
      </c>
      <c r="E6" s="112">
        <f>(D6+D10*Предпосылки!$D$122)/(1+Предпосылки!$D$172/12)^(E$2-1)</f>
        <v>446283.97925706615</v>
      </c>
      <c r="F6" s="112">
        <f>(E6+E10*Предпосылки!$D$122)/(1+Предпосылки!$D$172/12)^(F$2-1)</f>
        <v>564151.76654915197</v>
      </c>
      <c r="G6" s="112">
        <f>(F6+F10*Предпосылки!$D$122)/(1+Предпосылки!$D$172/12)^(G$2-1)</f>
        <v>671082.91156876355</v>
      </c>
      <c r="H6" s="112">
        <f>(G6+G10*Предпосылки!$D$122)/(1+Предпосылки!$D$172/12)^(H$2-1)</f>
        <v>756152.43656590511</v>
      </c>
      <c r="I6" s="112">
        <f>(H6+H10*Предпосылки!$D$122)/(1+Предпосылки!$D$172/12)^(I$2-1)</f>
        <v>824702.87339889375</v>
      </c>
      <c r="J6" s="112">
        <f>(I6+I10*Предпосылки!$D$122)/(1+Предпосылки!$D$172/12)^(J$2-1)</f>
        <v>880279.64090440597</v>
      </c>
      <c r="K6" s="112">
        <f>(J6+J10*Предпосылки!$D$122)/(1+Предпосылки!$D$172/12)^(K$2-1)</f>
        <v>1013607.9377630714</v>
      </c>
      <c r="L6" s="112">
        <f>(K6+K10*Предпосылки!$D$122)/(1+Предпосылки!$D$172/12)^(L$2-1)</f>
        <v>1065056.4911894316</v>
      </c>
      <c r="M6" s="112">
        <f>(L6+L10*Предпосылки!$D$122)/(1+Предпосылки!$D$172/12)^(M$2-1)</f>
        <v>1101141.8191113463</v>
      </c>
      <c r="N6" s="112">
        <f>(M6+M10*Предпосылки!$D$122)/(1+Предпосылки!$D$172/12)^(N$2-1)</f>
        <v>1124532.2976095814</v>
      </c>
      <c r="O6" s="112">
        <f>(N10*Предпосылки!$D$122)/(1+Предпосылки!$D$92/12)^(O$2-1)</f>
        <v>166000</v>
      </c>
      <c r="P6" s="112">
        <f>(O10*Предпосылки!$D$122)/(1+Предпосылки!$D$92/12)^(P$2-1)</f>
        <v>166000</v>
      </c>
      <c r="Q6" s="112">
        <f>(P10*Предпосылки!$D$122)/(1+Предпосылки!$D$92/12)^(Q$2-1)</f>
        <v>140000</v>
      </c>
      <c r="R6" s="112">
        <f>(Q10*Предпосылки!$D$122)/(1+Предпосылки!$D$92/12)^(R$2-1)</f>
        <v>145000</v>
      </c>
      <c r="S6" s="112">
        <f>(R10*Предпосылки!$D$122)/(1+Предпосылки!$D$92/12)^(S$2-1)</f>
        <v>145000</v>
      </c>
      <c r="T6" s="112">
        <f>(S10*Предпосылки!$D$122)/(1+Предпосылки!$D$92/12)^(T$2-1)</f>
        <v>140000</v>
      </c>
      <c r="U6" s="112">
        <f>(T10*Предпосылки!$D$122)/(1+Предпосылки!$D$92/12)^(U$2-1)</f>
        <v>145000</v>
      </c>
      <c r="V6" s="112">
        <f>(U6+U10*Предпосылки!$D$122)/(1+Предпосылки!$D$173/12)^(U$2-1)</f>
        <v>256007.7005019325</v>
      </c>
      <c r="W6" s="112">
        <f>(V6+V10*Предпосылки!$D$122)/(1+Предпосылки!$D$173/12)^(C$2-1)</f>
        <v>491770.21326460718</v>
      </c>
      <c r="X6" s="112">
        <f>(W6+W10*Предпосылки!$D$122)/(1+Предпосылки!$D$173/12)^(D$2-1)</f>
        <v>652155.23804122664</v>
      </c>
      <c r="Y6" s="112">
        <f>(X6+X10*Предпосылки!$D$122)/(1+Предпосылки!$D$173/12)^(E$2-1)</f>
        <v>799265.5933449103</v>
      </c>
      <c r="Z6" s="112">
        <f>(Y6+Y10*Предпосылки!$D$122)/(1+Предпосылки!$D$173/12)^(F$2-1)</f>
        <v>950000.78032870125</v>
      </c>
      <c r="AA6" s="112">
        <f>(Z10*Предпосылки!$D$122)/(1+Предпосылки!$D$174/12)^(G$2-1)</f>
        <v>170955.29138537752</v>
      </c>
      <c r="AB6" s="112">
        <f>(AA6+AA10*Предпосылки!$D$122)/(1+Предпосылки!$D$174/12)^(H$2-1)</f>
        <v>338918.79247209808</v>
      </c>
      <c r="AC6" s="112">
        <f>(AB6+AB10*Предпосылки!$D$122)/(1+Предпосылки!$D$174/12)^(I$2-1)</f>
        <v>480933.64087169128</v>
      </c>
      <c r="AD6" s="112">
        <f>(AC6+AC10*Предпосылки!$D$122)/(1+Предпосылки!$D$174/12)^(J$2-1)</f>
        <v>613702.59262315044</v>
      </c>
      <c r="AE6" s="112">
        <f>(AD6+AD10*Предпосылки!$D$122)/(1+Предпосылки!$D$174/12)^(K$2-1)</f>
        <v>800672.96971780818</v>
      </c>
      <c r="AF6" s="112">
        <f>(AE6+AE10*Предпосылки!$D$122)/(1+Предпосылки!$D$174/12)^(L$2-1)</f>
        <v>972435.14401997498</v>
      </c>
      <c r="AG6" s="112">
        <f>(AF6+AF10*Предпосылки!$D$122)/(1+Предпосылки!$D$174/12)^(M$2-1)</f>
        <v>1064126.8652312327</v>
      </c>
      <c r="AH6" s="112">
        <f>(AG6+AG10*Предпосылки!$D$122)/(1+Предпосылки!$D$174/12)^(N$2-1)</f>
        <v>1138802.7242181974</v>
      </c>
      <c r="AI6" s="112">
        <f>(AH6+AH10*Предпосылки!$D$122)/(1+Предпосылки!$D$174/12)^(O$2-1)</f>
        <v>1221833.6687882214</v>
      </c>
      <c r="AJ6" s="112">
        <f>(AI6+AI10*Предпосылки!$D$122)/(1+Предпосылки!$D$174/12)^(P$2-1)</f>
        <v>1291285.3822180391</v>
      </c>
      <c r="AK6" s="112">
        <f>(AJ6+AJ10*Предпосылки!$D$122)/(1+Предпосылки!$D$174/12)^(Q$2-1)</f>
        <v>1341947.0073183596</v>
      </c>
      <c r="AL6" s="112">
        <f>(AK6+AK10*Предпосылки!$D$122)/(1+Предпосылки!$D$174/12)^(R$2-1)</f>
        <v>1393079.9716581861</v>
      </c>
      <c r="AM6" s="112"/>
      <c r="AN6" s="112"/>
      <c r="AO6" s="112"/>
    </row>
    <row r="7" spans="1:41" ht="13.2" x14ac:dyDescent="0.25">
      <c r="A7" s="57" t="s">
        <v>219</v>
      </c>
      <c r="B7" s="3">
        <v>0</v>
      </c>
      <c r="C7" s="112">
        <f>(B7+B11*Предпосылки!$D$122)/(1+Предпосылки!$D$172/12)^(C$2-1)</f>
        <v>159458.56718388907</v>
      </c>
      <c r="D7" s="112">
        <f>(C7+C11*Предпосылки!$D$122)/(1+Предпосылки!$D$172/12)^(D$2-1)</f>
        <v>314351.72605770512</v>
      </c>
      <c r="E7" s="112">
        <f>(D7+D11*Предпосылки!$D$122)/(1+Предпосылки!$D$172/12)^(E$2-1)</f>
        <v>446283.97925706615</v>
      </c>
      <c r="F7" s="112">
        <f>(E7+E11*Предпосылки!$D$122)/(1+Предпосылки!$D$172/12)^(F$2-1)</f>
        <v>564151.76654915197</v>
      </c>
      <c r="G7" s="112">
        <f>(F7+F11*Предпосылки!$D$122)/(1+Предпосылки!$D$172/12)^(G$2-1)</f>
        <v>671082.91156876355</v>
      </c>
      <c r="H7" s="112">
        <f>(G7+G11*Предпосылки!$D$122)/(1+Предпосылки!$D$172/12)^(H$2-1)</f>
        <v>756152.43656590511</v>
      </c>
      <c r="I7" s="112">
        <f>(H7+H11*Предпосылки!$D$122)/(1+Предпосылки!$D$172/12)^(I$2-1)</f>
        <v>824702.87339889375</v>
      </c>
      <c r="J7" s="112">
        <f>(I7+I11*Предпосылки!$D$122)/(1+Предпосылки!$D$172/12)^(J$2-1)</f>
        <v>880279.64090440597</v>
      </c>
      <c r="K7" s="112">
        <f>(J7+J11*Предпосылки!$D$122)/(1+Предпосылки!$D$172/12)^(K$2-1)</f>
        <v>1013607.9377630714</v>
      </c>
      <c r="L7" s="112">
        <f>(K7+K11*Предпосылки!$D$122)/(1+Предпосылки!$D$172/12)^(L$2-1)</f>
        <v>1065056.4911894316</v>
      </c>
      <c r="M7" s="112">
        <f>(L7+L11*Предпосылки!$D$122)/(1+Предпосылки!$D$172/12)^(M$2-1)</f>
        <v>1101141.8191113463</v>
      </c>
      <c r="N7" s="112">
        <f>(M7+M11*Предпосылки!$D$122)/(1+Предпосылки!$D$172/12)^(N$2-1)</f>
        <v>1124532.2976095814</v>
      </c>
      <c r="O7" s="112">
        <f>(N11*Предпосылки!$D$122)/(1+Предпосылки!$D$173/12)^(O$2-1)</f>
        <v>152426.86945925024</v>
      </c>
      <c r="P7" s="112">
        <f>(O11*Предпосылки!$D$122)/(1+Предпосылки!$D$173/12)^(P$2-1)</f>
        <v>151429.95558498244</v>
      </c>
      <c r="Q7" s="112">
        <f>(P11*Предпосылки!$D$122)/(1+Предпосылки!$D$173/12)^(Q$2-1)</f>
        <v>126876.73887009441</v>
      </c>
      <c r="R7" s="112">
        <f>(Q11*Предпосылки!$D$122)/(1+Предпосылки!$D$173/12)^(R$2-1)</f>
        <v>130548.60598320834</v>
      </c>
      <c r="S7" s="112">
        <f>(R11*Предпосылки!$D$122)/(1+Предпосылки!$D$173/12)^(S$2-1)</f>
        <v>129694.78200169718</v>
      </c>
      <c r="T7" s="112">
        <f>(S11*Предпосылки!$D$122)/(1+Предпосылки!$D$173/12)^(T$2-1)</f>
        <v>124403.5580490799</v>
      </c>
      <c r="U7" s="112">
        <f>(T11*Предпосылки!$D$122)/(1+Предпосылки!$D$173/12)^(U$2-1)</f>
        <v>128003.85025096625</v>
      </c>
      <c r="V7" s="112">
        <f>(U7+U11*Предпосылки!$D$122)/(1+Предпосылки!$D$173/12)^(U$2-1)</f>
        <v>241003.75148594414</v>
      </c>
      <c r="W7" s="112">
        <f>(V7+V11*Предпосылки!$D$122)/(1+Предпосылки!$D$173/12)^(C$2-1)</f>
        <v>476864.39422396966</v>
      </c>
      <c r="X7" s="112">
        <f>(W7+W11*Предпосылки!$D$122)/(1+Предпосылки!$D$173/12)^(D$2-1)</f>
        <v>637443.75775730284</v>
      </c>
      <c r="Y7" s="112">
        <f>(X7+X11*Предпосылки!$D$122)/(1+Предпосылки!$D$173/12)^(E$2-1)</f>
        <v>784840.88076333259</v>
      </c>
      <c r="Z7" s="112">
        <f>(Y7+Y11*Предпосылки!$D$122)/(1+Предпосылки!$D$173/12)^(F$2-1)</f>
        <v>935949.74817702186</v>
      </c>
      <c r="AA7" s="112">
        <f>(Z11*Предпосылки!$D$122)/(1+Предпосылки!$D$174/12)^(G$2-1)</f>
        <v>170955.29138537752</v>
      </c>
      <c r="AB7" s="112">
        <f>AA7+(AA11*Предпосылки!$D$122)/(1+Предпосылки!$D$174/12)^(H$2-1)</f>
        <v>344781.94150984811</v>
      </c>
      <c r="AC7" s="112">
        <f>AB7+(AB11*Предпосылки!$D$122)/(1+Предпосылки!$D$174/12)^(I$2-1)</f>
        <v>500318.62927656586</v>
      </c>
      <c r="AD7" s="112">
        <f>AC7+(AC11*Предпосылки!$D$122)/(1+Предпосылки!$D$174/12)^(J$2-1)</f>
        <v>654953.28157156275</v>
      </c>
      <c r="AE7" s="112">
        <f>AD7+(AD11*Предпосылки!$D$122)/(1+Предпосылки!$D$174/12)^(K$2-1)</f>
        <v>873223.0660255152</v>
      </c>
      <c r="AF7" s="112">
        <f>AE7+(AE11*Предпосылки!$D$122)/(1+Предпосылки!$D$174/12)^(L$2-1)</f>
        <v>1090226.9942315989</v>
      </c>
      <c r="AG7" s="112">
        <f>AF7+(AF11*Предпосылки!$D$122)/(1+Предпосылки!$D$174/12)^(M$2-1)</f>
        <v>1242186.8070743014</v>
      </c>
      <c r="AH7" s="112">
        <f>AG7+(AG11*Предпосылки!$D$122)/(1+Предпосылки!$D$174/12)^(N$2-1)</f>
        <v>1388602.4112125339</v>
      </c>
      <c r="AI7" s="112">
        <f>AH7+(AH11*Предпосылки!$D$122)/(1+Предпосылки!$D$174/12)^(O$2-1)</f>
        <v>1554566.7264273495</v>
      </c>
      <c r="AJ7" s="112">
        <f>AI7+(AI11*Предпосылки!$D$122)/(1+Предпосылки!$D$174/12)^(P$2-1)</f>
        <v>1719568.5311148216</v>
      </c>
      <c r="AK7" s="112">
        <f>AJ7+(AJ11*Предпосылки!$D$122)/(1+Предпосылки!$D$174/12)^(Q$2-1)</f>
        <v>1878114.6964220342</v>
      </c>
      <c r="AL7" s="112">
        <f>AK7+(AK11*Предпосылки!$D$122)/(1+Предпосылки!$D$174/12)^(R$2-1)</f>
        <v>2048497.2887899578</v>
      </c>
      <c r="AM7" s="112"/>
      <c r="AN7" s="112"/>
      <c r="AO7" s="112"/>
    </row>
    <row r="8" spans="1:41" ht="13.2" x14ac:dyDescent="0.25">
      <c r="A8" s="57" t="s">
        <v>220</v>
      </c>
      <c r="B8" s="113">
        <v>0</v>
      </c>
      <c r="C8" s="115">
        <f>(B8+B12*Предпосылки!$D$122)/(1+Предпосылки!$D$172/12)^(C$2-1)</f>
        <v>193133.04721030043</v>
      </c>
      <c r="D8" s="115">
        <f>(C8+C12*Предпосылки!$D$122)/(1+Предпосылки!$D$172/12)^(D$2-1)</f>
        <v>369946.18488676846</v>
      </c>
      <c r="E8" s="115">
        <f>(D8+D12*Предпосылки!$D$122)/(1+Предпосылки!$D$172/12)^(E$2-1)</f>
        <v>500296.87374167447</v>
      </c>
      <c r="F8" s="115">
        <f>(E8+E12*Предпосылки!$D$122)/(1+Предпосылки!$D$172/12)^(F$2-1)</f>
        <v>635370.67521491263</v>
      </c>
      <c r="G8" s="115">
        <f>(F8+F12*Предпосылки!$D$122)/(1+Предпосылки!$D$172/12)^(G$2-1)</f>
        <v>758017.93570076756</v>
      </c>
      <c r="H8" s="115">
        <f>(G8+G12*Предпосылки!$D$122)/(1+Предпосылки!$D$172/12)^(H$2-1)</f>
        <v>838211.52105142898</v>
      </c>
      <c r="I8" s="115">
        <f>(H8+H12*Предпосылки!$D$122)/(1+Предпосылки!$D$172/12)^(I$2-1)</f>
        <v>918245.67968088866</v>
      </c>
      <c r="J8" s="115">
        <f>(I8+I12*Предпосылки!$D$122)/(1+Предпосылки!$D$172/12)^(J$2-1)</f>
        <v>983559.92353187443</v>
      </c>
      <c r="K8" s="115">
        <f>(J8+J12*Предпосылки!$D$122)/(1+Предпосылки!$D$172/12)^(K$2-1)</f>
        <v>1128497.4953165755</v>
      </c>
      <c r="L8" s="115">
        <f>(K8+K12*Предпосылки!$D$122)/(1+Предпосылки!$D$172/12)^(L$2-1)</f>
        <v>1169408.3935615656</v>
      </c>
      <c r="M8" s="115">
        <f>(L8+L12*Предпосылки!$D$122)/(1+Предпосылки!$D$172/12)^(M$2-1)</f>
        <v>1195015.1365871807</v>
      </c>
      <c r="N8" s="115">
        <f>(M8+M12*Предпосылки!$D$122)/(1+Предпосылки!$D$172/12)^(N$2-1)</f>
        <v>1228663.0840555057</v>
      </c>
      <c r="O8" s="115">
        <f>(N12*Предпосылки!$D$122)/(1+Предпосылки!$D$173/12)^(O$2-1)</f>
        <v>152426.86945925024</v>
      </c>
      <c r="P8" s="115">
        <f>(O12*Предпосылки!$D$122)/(1+Предпосылки!$D$173/12)^(P$2-1)</f>
        <v>151429.95558498244</v>
      </c>
      <c r="Q8" s="115">
        <f>(P12*Предпосылки!$D$122)/(1+Предпосылки!$D$173/12)^(Q$2-1)</f>
        <v>145001.98728010789</v>
      </c>
      <c r="R8" s="115">
        <f>(Q12*Предпосылки!$D$122)/(1+Предпосылки!$D$173/12)^(R$2-1)</f>
        <v>130548.60598320834</v>
      </c>
      <c r="S8" s="115">
        <f>(R12*Предпосылки!$D$122)/(1+Предпосылки!$D$173/12)^(S$2-1)</f>
        <v>129694.78200169718</v>
      </c>
      <c r="T8" s="115">
        <f>(S12*Предпосылки!$D$122)/(1+Предпосылки!$D$173/12)^(T$2-1)</f>
        <v>142175.49491323417</v>
      </c>
      <c r="U8" s="115">
        <f>(T12*Предпосылки!$D$122)/(1+Предпосылки!$D$173/12)^(U$2-1)</f>
        <v>128003.85025096625</v>
      </c>
      <c r="V8" s="115">
        <f>(U8+U12*Предпосылки!$D$122)/(1+Предпосылки!$D$173/12)^(U$2-1)</f>
        <v>241003.75148594414</v>
      </c>
      <c r="W8" s="115">
        <f>(V8+V12*Предпосылки!$D$122)/(1+Предпосылки!$D$173/12)^(C$2-1)</f>
        <v>511635.4845460162</v>
      </c>
      <c r="X8" s="115">
        <f>(W8+W12*Предпосылки!$D$122)/(1+Предпосылки!$D$173/12)^(D$2-1)</f>
        <v>671761.51032955223</v>
      </c>
      <c r="Y8" s="115">
        <f>(X8+X12*Предпосылки!$D$122)/(1+Предпосылки!$D$173/12)^(E$2-1)</f>
        <v>852807.43738158559</v>
      </c>
      <c r="Z8" s="115">
        <f>(Y8+Y12*Предпосылки!$D$122)/(1+Предпосылки!$D$173/12)^(F$2-1)</f>
        <v>1002155.5922713906</v>
      </c>
      <c r="AA8" s="115">
        <f>(Z12*Предпосылки!$D$122)/(1+Предпосылки!$D$174/12)^(G$2-1)</f>
        <v>170955.29138537752</v>
      </c>
      <c r="AB8" s="115">
        <f>AA8+(AA12*Предпосылки!$D$122)/(1+Предпосылки!$D$174/12)^(H$2-1)</f>
        <v>382444.38237015012</v>
      </c>
      <c r="AC8" s="115">
        <f>AB8+(AB12*Предпосылки!$D$122)/(1+Предпосылки!$D$174/12)^(I$2-1)</f>
        <v>537981.07013686781</v>
      </c>
      <c r="AD8" s="115">
        <f>AC8+(AC12*Предпосылки!$D$122)/(1+Предпосылки!$D$174/12)^(J$2-1)</f>
        <v>692615.72243186471</v>
      </c>
      <c r="AE8" s="115">
        <f>AD8+(AD12*Предпосылки!$D$122)/(1+Предпосылки!$D$174/12)^(K$2-1)</f>
        <v>943151.47502248839</v>
      </c>
      <c r="AF8" s="115">
        <f>AE8+(AE12*Предпосылки!$D$122)/(1+Предпосылки!$D$174/12)^(L$2-1)</f>
        <v>1192234.2447894714</v>
      </c>
      <c r="AG8" s="115">
        <f>AF8+(AF12*Предпосылки!$D$122)/(1+Предпосылки!$D$174/12)^(M$2-1)</f>
        <v>1344194.0576321739</v>
      </c>
      <c r="AH8" s="115">
        <f>AG8+(AG12*Предпосылки!$D$122)/(1+Предпосылки!$D$174/12)^(N$2-1)</f>
        <v>1522317.4996092594</v>
      </c>
      <c r="AI8" s="115">
        <f>AH8+(AH12*Предпосылки!$D$122)/(1+Предпосылки!$D$174/12)^(O$2-1)</f>
        <v>1688281.814824075</v>
      </c>
      <c r="AJ8" s="115">
        <f>AI8+(AI12*Предпосылки!$D$122)/(1+Предпосылки!$D$174/12)^(P$2-1)</f>
        <v>1853283.619511547</v>
      </c>
      <c r="AK8" s="115">
        <f>AJ8+(AJ12*Предпосылки!$D$122)/(1+Предпосылки!$D$174/12)^(Q$2-1)</f>
        <v>2045738.5022544062</v>
      </c>
      <c r="AL8" s="115">
        <f>AK8+(AK12*Предпосылки!$D$122)/(1+Предпосылки!$D$174/12)^(R$2-1)</f>
        <v>2216121.0946223298</v>
      </c>
      <c r="AM8" s="112"/>
      <c r="AN8" s="112"/>
      <c r="AO8" s="112"/>
    </row>
    <row r="9" spans="1:41" ht="13.2" x14ac:dyDescent="0.25">
      <c r="A9" s="108" t="s">
        <v>221</v>
      </c>
      <c r="B9" s="113">
        <f t="shared" ref="B9:AK9" si="4">SUM(B10:B12)</f>
        <v>517</v>
      </c>
      <c r="C9" s="113">
        <f t="shared" si="4"/>
        <v>506</v>
      </c>
      <c r="D9" s="113">
        <f t="shared" si="4"/>
        <v>435</v>
      </c>
      <c r="E9" s="113">
        <f t="shared" si="4"/>
        <v>440</v>
      </c>
      <c r="F9" s="113">
        <f t="shared" si="4"/>
        <v>440</v>
      </c>
      <c r="G9" s="113">
        <f t="shared" si="4"/>
        <v>390</v>
      </c>
      <c r="H9" s="113">
        <f t="shared" si="4"/>
        <v>396</v>
      </c>
      <c r="I9" s="113">
        <f t="shared" si="4"/>
        <v>396</v>
      </c>
      <c r="J9" s="113">
        <f t="shared" si="4"/>
        <v>697</v>
      </c>
      <c r="K9" s="113">
        <f t="shared" si="4"/>
        <v>477</v>
      </c>
      <c r="L9" s="113">
        <f t="shared" si="4"/>
        <v>477</v>
      </c>
      <c r="M9" s="113">
        <f t="shared" si="4"/>
        <v>506</v>
      </c>
      <c r="N9" s="113">
        <f t="shared" si="4"/>
        <v>498</v>
      </c>
      <c r="O9" s="113">
        <f t="shared" si="4"/>
        <v>498</v>
      </c>
      <c r="P9" s="113">
        <f t="shared" si="4"/>
        <v>440</v>
      </c>
      <c r="Q9" s="113">
        <f t="shared" si="4"/>
        <v>435</v>
      </c>
      <c r="R9" s="113">
        <f t="shared" si="4"/>
        <v>435</v>
      </c>
      <c r="S9" s="113">
        <f t="shared" si="4"/>
        <v>440</v>
      </c>
      <c r="T9" s="113">
        <f t="shared" si="4"/>
        <v>435</v>
      </c>
      <c r="U9" s="113">
        <f t="shared" si="4"/>
        <v>435</v>
      </c>
      <c r="V9" s="113">
        <f t="shared" si="4"/>
        <v>752</v>
      </c>
      <c r="W9" s="113">
        <f t="shared" si="4"/>
        <v>507</v>
      </c>
      <c r="X9" s="113">
        <f t="shared" si="4"/>
        <v>524</v>
      </c>
      <c r="Y9" s="113">
        <f t="shared" si="4"/>
        <v>528</v>
      </c>
      <c r="Z9" s="113">
        <f t="shared" si="4"/>
        <v>528</v>
      </c>
      <c r="AA9" s="113">
        <f t="shared" si="4"/>
        <v>579</v>
      </c>
      <c r="AB9" s="113">
        <f t="shared" si="4"/>
        <v>486</v>
      </c>
      <c r="AC9" s="113">
        <f t="shared" si="4"/>
        <v>486</v>
      </c>
      <c r="AD9" s="113">
        <f t="shared" si="4"/>
        <v>724</v>
      </c>
      <c r="AE9" s="113">
        <f t="shared" si="4"/>
        <v>724</v>
      </c>
      <c r="AF9" s="113">
        <f t="shared" si="4"/>
        <v>486</v>
      </c>
      <c r="AG9" s="113">
        <f t="shared" si="4"/>
        <v>505</v>
      </c>
      <c r="AH9" s="113">
        <f t="shared" si="4"/>
        <v>537</v>
      </c>
      <c r="AI9" s="113">
        <f t="shared" si="4"/>
        <v>537</v>
      </c>
      <c r="AJ9" s="113">
        <f t="shared" si="4"/>
        <v>556</v>
      </c>
      <c r="AK9" s="113">
        <f t="shared" si="4"/>
        <v>561</v>
      </c>
      <c r="AL9" s="113"/>
    </row>
    <row r="10" spans="1:41" ht="13.2" x14ac:dyDescent="0.25">
      <c r="A10" s="108" t="s">
        <v>222</v>
      </c>
      <c r="B10" s="3">
        <f>ROUNDDOWN(B3*IF(COUNT(B22:B26)&gt;0,Предпосылки!$B$150,IF(COUNT(B22:B26)&gt;3,Предпосылки!$B$151,Предпосылки!$B$148))*Предпосылки!$E$122,0)</f>
        <v>161</v>
      </c>
      <c r="C10" s="3">
        <f>ROUNDDOWN(C3*IF(COUNT(C22:C26)&gt;0,Предпосылки!$B$150,IF(COUNT(C22:C26)&gt;3,Предпосылки!$B$151,Предпосылки!$B$148))*Предпосылки!$E$122,0)</f>
        <v>161</v>
      </c>
      <c r="D10" s="3">
        <f>ROUNDDOWN(D3*IF(COUNT(D22:D26)&gt;0,Предпосылки!$B$150,IF(COUNT(D22:D26)&gt;3,Предпосылки!$B$151,Предпосылки!$B$148))*Предпосылки!$E$122,0)</f>
        <v>145</v>
      </c>
      <c r="E10" s="3">
        <f>ROUNDDOWN(E3*IF(COUNT(E22:E26)&gt;0,Предпосылки!$B$150,IF(COUNT(E22:E26)&gt;3,Предпосылки!$B$151,Предпосылки!$B$148))*Предпосылки!$E$122,0)</f>
        <v>140</v>
      </c>
      <c r="F10" s="3">
        <f>ROUNDDOWN(F3*IF(COUNT(F22:F26)&gt;0,Предпосылки!$B$150,IF(COUNT(F22:F26)&gt;3,Предпосылки!$B$151,Предпосылки!$B$148))*Предпосылки!$E$122,0)</f>
        <v>140</v>
      </c>
      <c r="G10" s="3">
        <f>ROUNDDOWN(G3*IF(COUNT(G22:G26)&gt;0,Предпосылки!$B$150,IF(COUNT(G22:G26)&gt;3,Предпосылки!$B$151,Предпосылки!$B$148))*Предпосылки!$E$122,0)</f>
        <v>130</v>
      </c>
      <c r="H10" s="3">
        <f>ROUNDDOWN(H3*IF(COUNT(H22:H26)&gt;0,Предпосылки!$B$150,IF(COUNT(H22:H26)&gt;3,Предпосылки!$B$151,Предпосылки!$B$148))*Предпосылки!$E$122,0)</f>
        <v>126</v>
      </c>
      <c r="I10" s="3">
        <f>ROUNDDOWN(I3*IF(COUNT(I22:I26)&gt;0,Предпосылки!$B$150,IF(COUNT(I22:I26)&gt;3,Предпосылки!$B$151,Предпосылки!$B$148))*Предпосылки!$E$122,0)</f>
        <v>126</v>
      </c>
      <c r="J10" s="3">
        <f>ROUNDDOWN(J3*IF(COUNT(J22:J26)&lt;3,Предпосылки!$B$150,IF(COUNT(J22:J26)&gt;3,Предпосылки!$B$151,Предпосылки!$B$148))*Предпосылки!$E$122,0)</f>
        <v>225</v>
      </c>
      <c r="K10" s="3">
        <f>ROUNDDOWN(K3*IF(COUNT(K22:K26)&lt;3,Предпосылки!$B$150,IF(COUNT(K22:K26)&gt;3,Предпосылки!$B$151,Предпосылки!$B$148))*Предпосылки!$E$122,0)</f>
        <v>159</v>
      </c>
      <c r="L10" s="3">
        <f>ROUNDDOWN(L3*IF(COUNT(L22:L26)&lt;3,Предпосылки!$B$150,IF(COUNT(L22:L26)&gt;3,Предпосылки!$B$151,Предпосылки!$B$148))*Предпосылки!$E$122,0)</f>
        <v>159</v>
      </c>
      <c r="M10" s="3">
        <f>ROUNDDOWN(M3*IF(COUNT(M22:M26)&lt;3,Предпосылки!$B$150,IF(COUNT(M22:M26)&gt;3,Предпосылки!$B$151,Предпосылки!$B$148))*Предпосылки!$E$122,0)</f>
        <v>161</v>
      </c>
      <c r="N10" s="3">
        <f>ROUNDDOWN(N3*IF(COUNT(N22:N26)&lt;3,Предпосылки!$B$150,IF(COUNT(N22:N26)&gt;3,Предпосылки!$B$151,Предпосылки!$B$148))*Предпосылки!$E$122,0)</f>
        <v>166</v>
      </c>
      <c r="O10" s="3">
        <f>ROUNDDOWN(O3*IF(COUNT(O22:O26)&lt;3,Предпосылки!$B$150,IF(COUNT(O22:O26)&gt;3,Предпосылки!$B$151,Предпосылки!$B$148))*Предпосылки!$E$122,0)</f>
        <v>166</v>
      </c>
      <c r="P10" s="3">
        <f>ROUNDDOWN(P3*IF(COUNT(P22:P26)&lt;3,Предпосылки!$B$150,IF(COUNT(P22:P26)&gt;3,Предпосылки!$B$151,Предпосылки!$B$148))*Предпосылки!$E$122,0)</f>
        <v>140</v>
      </c>
      <c r="Q10" s="3">
        <f>ROUNDDOWN(Q3*IF(COUNT(Q22:Q26)&lt;3,Предпосылки!$B$150,IF(COUNT(Q22:Q26)&gt;3,Предпосылки!$B$151,Предпосылки!$B$148))*Предпосылки!$E$122,0)</f>
        <v>145</v>
      </c>
      <c r="R10" s="3">
        <f>ROUNDDOWN(R3*IF(COUNT(R22:R26)&lt;3,Предпосылки!$B$150,IF(COUNT(R22:R26)&gt;3,Предпосылки!$B$151,Предпосылки!$B$148))*Предпосылки!$E$122,0)</f>
        <v>145</v>
      </c>
      <c r="S10" s="3">
        <f>ROUNDDOWN(S3*IF(COUNT(S22:S26)&lt;3,Предпосылки!$B$150,IF(COUNT(S22:S26)&gt;3,Предпосылки!$B$151,Предпосылки!$B$148))*Предпосылки!$E$122,0)</f>
        <v>140</v>
      </c>
      <c r="T10" s="3">
        <f>ROUNDDOWN(T3*IF(COUNT(T22:T26)&lt;3,Предпосылки!$B$150,IF(COUNT(T22:T26)&gt;3,Предпосылки!$B$151,Предпосылки!$B$148))*Предпосылки!$E$122,0)</f>
        <v>145</v>
      </c>
      <c r="U10" s="3">
        <f>ROUNDDOWN(U3*IF(COUNT(U22:U26)&lt;3,Предпосылки!$B$150,IF(COUNT(U22:U26)&gt;3,Предпосылки!$B$151,Предпосылки!$B$148))*Предпосылки!$E$122,0)</f>
        <v>145</v>
      </c>
      <c r="V10" s="3">
        <f>ROUNDDOWN(V3*IF(COUNT(V22:V26)&lt;3,Предпосылки!$B$150,IF(COUNT(V22:V26)&gt;3,Предпосылки!$B$151,Предпосылки!$B$148))*Предпосылки!$E$122*(1+Предпосылки!$B$152),0)</f>
        <v>239</v>
      </c>
      <c r="W10" s="3">
        <f>ROUNDDOWN(W3*IF(COUNT(W22:W26)&lt;3,Предпосылки!$B$150,IF(COUNT(W22:W26)&gt;3,Предпосылки!$B$151,Предпосылки!$B$148))*Предпосылки!$E$122*(1+Предпосылки!$B$152),0)</f>
        <v>169</v>
      </c>
      <c r="X10" s="3">
        <f>ROUNDDOWN(X3*IF(COUNT(X22:X26)&lt;3,Предпосылки!$B$150,IF(COUNT(X22:X26)&gt;3,Предпосылки!$B$151,Предпосылки!$B$148))*Предпосылки!$E$122*(1+Предпосылки!$B$152),0)</f>
        <v>163</v>
      </c>
      <c r="Y10" s="3">
        <f>ROUNDDOWN(Y3*IF(COUNT(Y22:Y26)&lt;3,Предпосылки!$B$150,IF(COUNT(Y22:Y26)&gt;3,Предпосылки!$B$151,Предпосылки!$B$148))*Предпосылки!$E$122*(1+Предпосылки!$B$152),0)</f>
        <v>176</v>
      </c>
      <c r="Z10" s="3">
        <f>ROUNDDOWN(Z3*IF(COUNT(Z22:Z26)&lt;3,Предпосылки!$B$150,IF(COUNT(Z22:Z26)&gt;3,Предпосылки!$B$151,Предпосылки!$B$148))*Предпосылки!$E$122*(1+Предпосылки!$B$152),0)</f>
        <v>176</v>
      </c>
      <c r="AA10" s="3">
        <f>ROUNDDOWN(AA3*IF(COUNT(AA22:AA26)&lt;3,Предпосылки!$B$150,IF(COUNT(AA22:AA26)&gt;3,Предпосылки!$B$151,Предпосылки!$B$148))*Предпосылки!$E$122*(1+Предпосылки!$B$152)^2,0)</f>
        <v>180</v>
      </c>
      <c r="AB10" s="3">
        <f>ROUNDDOWN(AB3*IF(COUNT(AB22:AB26)&lt;3,Предпосылки!$B$150,IF(COUNT(AB22:AB26)&gt;3,Предпосылки!$B$151,Предпосылки!$B$148))*Предпосылки!$E$122*(1+Предпосылки!$B$152)^2,0)</f>
        <v>162</v>
      </c>
      <c r="AC10" s="3">
        <f>ROUNDDOWN(AC3*IF(COUNT(AC22:AC26)&lt;3,Предпосылки!$B$150,IF(COUNT(AC22:AC26)&gt;3,Предпосылки!$B$151,Предпосылки!$B$148))*Предпосылки!$E$122*(1+Предпосылки!$B$152)^2,0)</f>
        <v>162</v>
      </c>
      <c r="AD10" s="3">
        <f>ROUNDDOWN(AD3*IF(COUNT(AD22:AD26)&lt;3,Предпосылки!$B$150,IF(COUNT(AD22:AD26)&gt;3,Предпосылки!$B$151,Предпосылки!$B$148))*Предпосылки!$E$122*(1+Предпосылки!$B$152)^2,0)</f>
        <v>230</v>
      </c>
      <c r="AE10" s="3">
        <f>ROUNDDOWN(AE3*IF(COUNT(AE22:AE26)&lt;3,Предпосылки!$B$150,IF(COUNT(AE22:AE26)&gt;3,Предпосылки!$B$151,Предпосылки!$B$148))*Предпосылки!$E$122*(1+Предпосылки!$B$152)^2,0)</f>
        <v>230</v>
      </c>
      <c r="AF10" s="3">
        <f>ROUNDDOWN(AF3*IF(COUNT(AF22:AF26)&lt;3,Предпосылки!$B$150,IF(COUNT(AF22:AF26)&gt;3,Предпосылки!$B$151,Предпосылки!$B$148))*Предпосылки!$E$122*(1+Предпосылки!$B$152)^2,0)</f>
        <v>162</v>
      </c>
      <c r="AG10" s="3">
        <f>ROUNDDOWN(AG3*IF(COUNT(AG22:AG26)&lt;3,Предпосылки!$B$150,IF(COUNT(AG22:AG26)&gt;3,Предпосылки!$B$151,Предпосылки!$B$148))*Предпосылки!$E$122*(1+Предпосылки!$B$152)^2,0)</f>
        <v>157</v>
      </c>
      <c r="AH10" s="3">
        <f>ROUNDDOWN(AH3*IF(COUNT(AH22:AH26)&lt;3,Предпосылки!$B$150,IF(COUNT(AH22:AH26)&gt;3,Предпосылки!$B$151,Предпосылки!$B$148))*Предпосылки!$E$122*(1+Предпосылки!$B$152)^2,0)</f>
        <v>179</v>
      </c>
      <c r="AI10" s="3">
        <f>ROUNDDOWN(AI3*IF(COUNT(AI22:AI26)&lt;3,Предпосылки!$B$150,IF(COUNT(AI22:AI26)&gt;3,Предпосылки!$B$151,Предпосылки!$B$148))*Предпосылки!$E$122*(1+Предпосылки!$B$152)^2,0)</f>
        <v>179</v>
      </c>
      <c r="AJ10" s="3">
        <f>ROUNDDOWN(AJ3*IF(COUNT(AJ22:AJ26)&lt;3,Предпосылки!$B$150,IF(COUNT(AJ22:AJ26)&gt;3,Предпосылки!$B$151,Предпосылки!$B$148))*Предпосылки!$E$122*(1+Предпосылки!$B$152)^2,0)</f>
        <v>173</v>
      </c>
      <c r="AK10" s="3">
        <f>ROUNDDOWN(AK3*IF(COUNT(AK22:AK26)&lt;3,Предпосылки!$B$150,IF(COUNT(AK22:AK26)&gt;3,Предпосылки!$B$151,Предпосылки!$B$148))*Предпосылки!$E$122*(1+Предпосылки!$B$152)^2,0)</f>
        <v>187</v>
      </c>
    </row>
    <row r="11" spans="1:41" ht="13.2" x14ac:dyDescent="0.25">
      <c r="A11" s="108" t="s">
        <v>223</v>
      </c>
      <c r="B11" s="3">
        <f>ROUNDDOWN(B3*IF(COUNT(B22:B26)&gt;0,Предпосылки!$B$150,IF(COUNT(B22:B26)&gt;3,Предпосылки!$B$151,Предпосылки!$B$148))*Предпосылки!$E$123,0)</f>
        <v>161</v>
      </c>
      <c r="C11" s="3">
        <f>ROUNDDOWN(C3*IF(COUNT(C22:C26)&gt;0,Предпосылки!$B$150,IF(COUNT(C22:C26)&gt;3,Предпосылки!$B$151,Предпосылки!$B$148))*Предпосылки!$E$123,0)</f>
        <v>161</v>
      </c>
      <c r="D11" s="3">
        <f>ROUNDDOWN(D3*IF(COUNT(D22:D26)&gt;0,Предпосылки!$B$150,IF(COUNT(D22:D26)&gt;3,Предпосылки!$B$151,Предпосылки!$B$148))*Предпосылки!$E$123,0)</f>
        <v>145</v>
      </c>
      <c r="E11" s="3">
        <f>ROUNDDOWN(E3*IF(COUNT(E22:E26)&gt;0,Предпосылки!$B$150,IF(COUNT(E22:E26)&gt;3,Предпосылки!$B$151,Предпосылки!$B$148))*Предпосылки!$E$123,0)</f>
        <v>140</v>
      </c>
      <c r="F11" s="3">
        <f>ROUNDDOWN(F3*IF(COUNT(F22:F26)&gt;0,Предпосылки!$B$150,IF(COUNT(F22:F26)&gt;3,Предпосылки!$B$151,Предпосылки!$B$148))*Предпосылки!$E$123,0)</f>
        <v>140</v>
      </c>
      <c r="G11" s="3">
        <f>ROUNDDOWN(G3*IF(COUNT(G22:G26)&gt;0,Предпосылки!$B$150,IF(COUNT(G22:G26)&gt;3,Предпосылки!$B$151,Предпосылки!$B$148))*Предпосылки!$E$123,0)</f>
        <v>130</v>
      </c>
      <c r="H11" s="3">
        <f>ROUNDDOWN(H3*IF(COUNT(H22:H26)&gt;0,Предпосылки!$B$150,IF(COUNT(H22:H26)&gt;3,Предпосылки!$B$151,Предпосылки!$B$148))*Предпосылки!$E$123,0)</f>
        <v>126</v>
      </c>
      <c r="I11" s="3">
        <f>ROUNDDOWN(I3*IF(COUNT(I22:I26)&gt;0,Предпосылки!$B$150,IF(COUNT(I22:I26)&gt;3,Предпосылки!$B$151,Предпосылки!$B$148))*Предпосылки!$E$123,0)</f>
        <v>126</v>
      </c>
      <c r="J11" s="3">
        <f>ROUNDDOWN(J3*IF(COUNT(J22:J26)&lt;3,Предпосылки!$B$150,IF(COUNT(J22:J26)&gt;3,Предпосылки!$B$151,Предпосылки!$B$148))*Предпосылки!$E$123,0)</f>
        <v>225</v>
      </c>
      <c r="K11" s="3">
        <f>ROUNDDOWN(K3*IF(COUNT(K22:K26)&lt;3,Предпосылки!$B$150,IF(COUNT(K22:K26)&gt;3,Предпосылки!$B$151,Предпосылки!$B$148))*Предпосылки!$E$123,0)</f>
        <v>159</v>
      </c>
      <c r="L11" s="3">
        <f>ROUNDDOWN(L3*IF(COUNT(L22:L26)&lt;3,Предпосылки!$B$150,IF(COUNT(L22:L26)&gt;3,Предпосылки!$B$151,Предпосылки!$B$148))*Предпосылки!$E$123,0)</f>
        <v>159</v>
      </c>
      <c r="M11" s="3">
        <f>ROUNDDOWN(M3*IF(COUNT(M22:M26)&lt;3,Предпосылки!$B$150,IF(COUNT(M22:M26)&gt;3,Предпосылки!$B$151,Предпосылки!$B$148))*Предпосылки!$E$123,0)</f>
        <v>161</v>
      </c>
      <c r="N11" s="3">
        <f>ROUNDDOWN(N3*IF(COUNT(N22:N26)&lt;3,Предпосылки!$B$150,IF(COUNT(N22:N26)&gt;3,Предпосылки!$B$151,Предпосылки!$B$148))*Предпосылки!$E$123,0)</f>
        <v>166</v>
      </c>
      <c r="O11" s="3">
        <f>ROUNDDOWN(O3*IF(COUNT(O22:O26)&lt;3,Предпосылки!$B$150,IF(COUNT(O22:O26)&gt;3,Предпосылки!$B$151,Предпосылки!$B$148))*Предпосылки!$E$123,0)</f>
        <v>166</v>
      </c>
      <c r="P11" s="3">
        <f>ROUNDDOWN(P3*IF(COUNT(P22:P26)&lt;3,Предпосылки!$B$150,IF(COUNT(P22:P26)&gt;3,Предпосылки!$B$151,Предпосылки!$B$148))*Предпосылки!$E$123,0)</f>
        <v>140</v>
      </c>
      <c r="Q11" s="3">
        <f>ROUNDDOWN(Q3*IF(COUNT(Q22:Q26)&lt;3,Предпосылки!$B$150,IF(COUNT(Q22:Q26)&gt;3,Предпосылки!$B$151,Предпосылки!$B$148))*Предпосылки!$E$123,0)</f>
        <v>145</v>
      </c>
      <c r="R11" s="3">
        <f>ROUNDDOWN(R3*IF(COUNT(R22:R26)&lt;3,Предпосылки!$B$150,IF(COUNT(R22:R26)&gt;3,Предпосылки!$B$151,Предпосылки!$B$148))*Предпосылки!$E$123,0)</f>
        <v>145</v>
      </c>
      <c r="S11" s="3">
        <f>ROUNDDOWN(S3*IF(COUNT(S22:S26)&lt;3,Предпосылки!$B$150,IF(COUNT(S22:S26)&gt;3,Предпосылки!$B$151,Предпосылки!$B$148))*Предпосылки!$E$123,0)</f>
        <v>140</v>
      </c>
      <c r="T11" s="3">
        <f>ROUNDDOWN(T3*IF(COUNT(T22:T26)&lt;3,Предпосылки!$B$150,IF(COUNT(T22:T26)&gt;3,Предпосылки!$B$151,Предпосылки!$B$148))*Предпосылки!$E$123,0)</f>
        <v>145</v>
      </c>
      <c r="U11" s="3">
        <f>ROUNDDOWN(U3*IF(COUNT(U22:U26)&lt;3,Предпосылки!$B$150,IF(COUNT(U22:U26)&gt;3,Предпосылки!$B$151,Предпосылки!$B$148))*Предпосылки!$E$123,0)</f>
        <v>145</v>
      </c>
      <c r="V11" s="3">
        <f>ROUNDDOWN(V3*IF(COUNT(V22:V26)&lt;3,Предпосылки!$B$150,IF(COUNT(V22:V26)&gt;3,Предпосылки!$B$151,Предпосылки!$B$148))*Предпосылки!$E$123*(1+Предпосылки!$B$152),0)</f>
        <v>239</v>
      </c>
      <c r="W11" s="3">
        <f>ROUNDDOWN(W3*IF(COUNT(W22:W26)&lt;3,Предпосылки!$B$150,IF(COUNT(W22:W26)&gt;3,Предпосылки!$B$151,Предпосылки!$B$148))*Предпосылки!$E$123*(1+Предпосылки!$B$152),0)</f>
        <v>169</v>
      </c>
      <c r="X11" s="3">
        <f>ROUNDDOWN(X3*IF(COUNT(X22:X26)&lt;3,Предпосылки!$B$150,IF(COUNT(X22:X26)&gt;3,Предпосылки!$B$151,Предпосылки!$B$148))*Предпосылки!$E$123*(1+Предпосылки!$B$152),0)</f>
        <v>163</v>
      </c>
      <c r="Y11" s="3">
        <f>ROUNDDOWN(Y3*IF(COUNT(Y22:Y26)&lt;3,Предпосылки!$B$150,IF(COUNT(Y22:Y26)&gt;3,Предпосылки!$B$151,Предпосылки!$B$148))*Предпосылки!$E$123*(1+Предпосылки!$B$152),0)</f>
        <v>176</v>
      </c>
      <c r="Z11" s="3">
        <f>ROUNDDOWN(Z3*IF(COUNT(Z22:Z26)&lt;3,Предпосылки!$B$150,IF(COUNT(Z22:Z26)&gt;3,Предпосылки!$B$151,Предпосылки!$B$148))*Предпосылки!$E$123*(1+Предпосылки!$B$152),0)</f>
        <v>176</v>
      </c>
      <c r="AA11" s="3">
        <f>ROUNDDOWN(AA3*IF(COUNT(AA22:AA26)&lt;3,Предпосылки!$B$150,IF(COUNT(AA22:AA26)&gt;3,Предпосылки!$B$151,Предпосылки!$B$148))*Предпосылки!$E$123*(1+Предпосылки!$B$152)^2,0)</f>
        <v>180</v>
      </c>
      <c r="AB11" s="3">
        <f>ROUNDDOWN(AB3*IF(COUNT(AB22:AB26)&lt;3,Предпосылки!$B$150,IF(COUNT(AB22:AB26)&gt;3,Предпосылки!$B$151,Предпосылки!$B$148))*Предпосылки!$E$123*(1+Предпосылки!$B$152)^2,0)</f>
        <v>162</v>
      </c>
      <c r="AC11" s="3">
        <f>ROUNDDOWN(AC3*IF(COUNT(AC22:AC26)&lt;3,Предпосылки!$B$150,IF(COUNT(AC22:AC26)&gt;3,Предпосылки!$B$151,Предпосылки!$B$148))*Предпосылки!$E$123*(1+Предпосылки!$B$152)^2,0)</f>
        <v>162</v>
      </c>
      <c r="AD11" s="3">
        <f>ROUNDDOWN(AD3*IF(COUNT(AD22:AD26)&lt;3,Предпосылки!$B$150,IF(COUNT(AD22:AD26)&gt;3,Предпосылки!$B$151,Предпосылки!$B$148))*Предпосылки!$E$123*(1+Предпосылки!$B$152)^2,0)</f>
        <v>230</v>
      </c>
      <c r="AE11" s="3">
        <f>ROUNDDOWN(AE3*IF(COUNT(AE22:AE26)&lt;3,Предпосылки!$B$150,IF(COUNT(AE22:AE26)&gt;3,Предпосылки!$B$151,Предпосылки!$B$148))*Предпосылки!$E$123*(1+Предпосылки!$B$152)^2,0)</f>
        <v>230</v>
      </c>
      <c r="AF11" s="3">
        <f>ROUNDDOWN(AF3*IF(COUNT(AF22:AF26)&lt;3,Предпосылки!$B$150,IF(COUNT(AF22:AF26)&gt;3,Предпосылки!$B$151,Предпосылки!$B$148))*Предпосылки!$E$123*(1+Предпосылки!$B$152)^2,0)</f>
        <v>162</v>
      </c>
      <c r="AG11" s="3">
        <f>ROUNDDOWN(AG3*IF(COUNT(AG22:AG26)&lt;3,Предпосылки!$B$150,IF(COUNT(AG22:AG26)&gt;3,Предпосылки!$B$151,Предпосылки!$B$148))*Предпосылки!$E$123*(1+Предпосылки!$B$152)^2,0)</f>
        <v>157</v>
      </c>
      <c r="AH11" s="3">
        <f>ROUNDDOWN(AH3*IF(COUNT(AH22:AH26)&lt;3,Предпосылки!$B$150,IF(COUNT(AH22:AH26)&gt;3,Предпосылки!$B$151,Предпосылки!$B$148))*Предпосылки!$E$123*(1+Предпосылки!$B$152)^2,0)</f>
        <v>179</v>
      </c>
      <c r="AI11" s="3">
        <f>ROUNDDOWN(AI3*IF(COUNT(AI22:AI26)&lt;3,Предпосылки!$B$150,IF(COUNT(AI22:AI26)&gt;3,Предпосылки!$B$151,Предпосылки!$B$148))*Предпосылки!$E$123*(1+Предпосылки!$B$152)^2,0)</f>
        <v>179</v>
      </c>
      <c r="AJ11" s="3">
        <f>ROUNDDOWN(AJ3*IF(COUNT(AJ22:AJ26)&lt;3,Предпосылки!$B$150,IF(COUNT(AJ22:AJ26)&gt;3,Предпосылки!$B$151,Предпосылки!$B$148))*Предпосылки!$E$123*(1+Предпосылки!$B$152)^2,0)</f>
        <v>173</v>
      </c>
      <c r="AK11" s="3">
        <f>ROUNDDOWN(AK3*IF(COUNT(AK22:AK26)&lt;3,Предпосылки!$B$150,IF(COUNT(AK22:AK26)&gt;3,Предпосылки!$B$151,Предпосылки!$B$148))*Предпосылки!$E$123*(1+Предпосылки!$B$152)^2,0)</f>
        <v>187</v>
      </c>
    </row>
    <row r="12" spans="1:41" ht="13.2" x14ac:dyDescent="0.25">
      <c r="A12" s="108" t="s">
        <v>224</v>
      </c>
      <c r="B12" s="113">
        <f>ROUNDDOWN(B3*IF(COUNT(B22:B26)&gt;0,Предпосылки!$B$150,(IF(COUNT(B22:B26)&gt;3,Предпосылки!$B$151,Предпосылки!$B$148))+3%)*Предпосылки!$E$124,0)</f>
        <v>195</v>
      </c>
      <c r="C12" s="113">
        <f>ROUNDDOWN(C3*IF(COUNT(C22:C26)&gt;0,Предпосылки!$B$150,(IF(COUNT(C22:C26)&gt;3,Предпосылки!$B$151,Предпосылки!$B$148))+2%)*Предпосылки!$E$124,0)</f>
        <v>184</v>
      </c>
      <c r="D12" s="113">
        <f>ROUNDDOWN(D3*IF(COUNT(D22:D26)&gt;0,Предпосылки!$B$150,(IF(COUNT(D22:D26)&gt;3,Предпосылки!$B$151,Предпосылки!$B$148))+2%)*Предпосылки!$E$124,0)</f>
        <v>145</v>
      </c>
      <c r="E12" s="113">
        <f>ROUNDDOWN(E3*IF(COUNT(E22:E26)&gt;0,Предпосылки!$B$150,(IF(COUNT(E22:E26)&gt;3,Предпосылки!$B$151,Предпосылки!$B$148))+2%)*Предпосылки!$E$124,0)</f>
        <v>160</v>
      </c>
      <c r="F12" s="113">
        <f>ROUNDDOWN(F3*IF(COUNT(F22:F26)&gt;0,Предпосылки!$B$150,(IF(COUNT(F22:F26)&gt;3,Предпосылки!$B$151,Предпосылки!$B$148))+2%)*Предпосылки!$E$124,0)</f>
        <v>160</v>
      </c>
      <c r="G12" s="113">
        <f>ROUNDDOWN(G3*IF(COUNT(G22:G26)&gt;0,Предпосылки!$B$150,(IF(COUNT(G22:G26)&gt;3,Предпосылки!$B$151,Предпосылки!$B$148))+2%)*Предпосылки!$E$124,0)</f>
        <v>130</v>
      </c>
      <c r="H12" s="113">
        <f>ROUNDDOWN(H3*IF(COUNT(H22:H26)&gt;0,Предпосылки!$B$150,(IF(COUNT(H22:H26)&gt;3,Предпосылки!$B$151,Предпосылки!$B$148))+2%)*Предпосылки!$E$124,0)</f>
        <v>144</v>
      </c>
      <c r="I12" s="113">
        <f>ROUNDDOWN(I3*IF(COUNT(I22:I26)&gt;0,Предпосылки!$B$150,(IF(COUNT(I22:I26)&gt;3,Предпосылки!$B$151,Предпосылки!$B$148))+2%)*Предпосылки!$E$124,0)</f>
        <v>144</v>
      </c>
      <c r="J12" s="113">
        <f>ROUNDDOWN(J3*IF(COUNT(J22:J26)&lt;3,Предпосылки!$B$150,(IF(COUNT(J22:J26)&gt;3,Предпосылки!$B$151,Предпосылки!$B$148))+2%)*Предпосылки!$E$124,0)</f>
        <v>247</v>
      </c>
      <c r="K12" s="113">
        <f>ROUNDDOWN(K3*IF(COUNT(K22:K26)&lt;3,Предпосылки!$B$150,(IF(COUNT(K22:K26)&gt;3,Предпосылки!$B$151,Предпосылки!$B$148))+2%)*Предпосылки!$E$124,0)</f>
        <v>159</v>
      </c>
      <c r="L12" s="113">
        <f>ROUNDDOWN(L3*IF(COUNT(L22:L26)&lt;3,Предпосылки!$B$150,(IF(COUNT(L22:L26)&gt;3,Предпосылки!$B$151,Предпосылки!$B$148))+2%)*Предпосылки!$E$124,0)</f>
        <v>159</v>
      </c>
      <c r="M12" s="113">
        <f>ROUNDDOWN(M3*IF(COUNT(M22:M26)&lt;3,Предпосылки!$B$150,(IF(COUNT(M22:M26)&gt;3,Предпосылки!$B$151,Предпосылки!$B$148))+2%)*Предпосылки!$E$124,0)</f>
        <v>184</v>
      </c>
      <c r="N12" s="113">
        <f>ROUNDDOWN(N3*IF(COUNT(N22:N26)&lt;3,Предпосылки!$B$150,(IF(COUNT(N22:N26)&gt;3,Предпосылки!$B$151,Предпосылки!$B$148))+2%)*Предпосылки!$E$124,0)</f>
        <v>166</v>
      </c>
      <c r="O12" s="113">
        <f>ROUNDDOWN(O3*IF(COUNT(O22:O26)&lt;3,Предпосылки!$B$150,(IF(COUNT(O22:O26)&gt;3,Предпосылки!$B$151,Предпосылки!$B$148))+2%)*Предпосылки!$E$124,0)</f>
        <v>166</v>
      </c>
      <c r="P12" s="113">
        <f>ROUNDDOWN(P3*IF(COUNT(P22:P26)&lt;3,Предпосылки!$B$150,(IF(COUNT(P22:P26)&gt;3,Предпосылки!$B$151,Предпосылки!$B$148))+2%)*Предпосылки!$E$124,0)</f>
        <v>160</v>
      </c>
      <c r="Q12" s="113">
        <f>ROUNDDOWN(Q3*IF(COUNT(Q22:Q26)&lt;3,Предпосылки!$B$150,(IF(COUNT(Q22:Q26)&gt;3,Предпосылки!$B$151,Предпосылки!$B$148))+2%)*Предпосылки!$E$124,0)</f>
        <v>145</v>
      </c>
      <c r="R12" s="113">
        <f>ROUNDDOWN(R3*IF(COUNT(R22:R26)&lt;3,Предпосылки!$B$150,(IF(COUNT(R22:R26)&gt;3,Предпосылки!$B$151,Предпосылки!$B$148))+2%)*Предпосылки!$E$124,0)</f>
        <v>145</v>
      </c>
      <c r="S12" s="113">
        <f>ROUNDDOWN(S3*IF(COUNT(S22:S26)&lt;3,Предпосылки!$B$150,(IF(COUNT(S22:S26)&gt;3,Предпосылки!$B$151,Предпосылки!$B$148))+2%)*Предпосылки!$E$124,0)</f>
        <v>160</v>
      </c>
      <c r="T12" s="113">
        <f>ROUNDDOWN(T3*IF(COUNT(T22:T26)&lt;3,Предпосылки!$B$150,(IF(COUNT(T22:T26)&gt;3,Предпосылки!$B$151,Предпосылки!$B$148))+2%)*Предпосылки!$E$124,0)</f>
        <v>145</v>
      </c>
      <c r="U12" s="113">
        <f>ROUNDDOWN(U3*IF(COUNT(U22:U26)&lt;3,Предпосылки!$B$150,(IF(COUNT(U22:U26)&gt;3,Предпосылки!$B$151,Предпосылки!$B$148))+2%)*Предпосылки!$E$124,0)</f>
        <v>145</v>
      </c>
      <c r="V12" s="113">
        <f>ROUNDDOWN(V3*IF(COUNT(V22:V26)&lt;3,Предпосылки!$B$150,(IF(COUNT(V22:V26)&gt;3,Предпосылки!$B$151,Предпосылки!$B$148))+3%)*Предпосылки!$E$124*(1+Предпосылки!$B$152),0)</f>
        <v>274</v>
      </c>
      <c r="W12" s="113">
        <f>ROUNDDOWN(W3*IF(COUNT(W22:W26)&lt;3,Предпосылки!$B$150,(IF(COUNT(W22:W26)&gt;3,Предпосылки!$B$151,Предпосылки!$B$148))+3%)*Предпосылки!$E$124*(1+Предпосылки!$B$152),0)</f>
        <v>169</v>
      </c>
      <c r="X12" s="113">
        <f>ROUNDDOWN(X3*IF(COUNT(X22:X26)&lt;3,Предпосылки!$B$150,(IF(COUNT(X22:X26)&gt;3,Предпосылки!$B$151,Предпосылки!$B$148))+3%)*Предпосылки!$E$124*(1+Предпосылки!$B$152),0)</f>
        <v>198</v>
      </c>
      <c r="Y12" s="113">
        <f>ROUNDDOWN(Y3*IF(COUNT(Y22:Y26)&lt;3,Предпосылки!$B$150,(IF(COUNT(Y22:Y26)&gt;3,Предпосылки!$B$151,Предпосылки!$B$148))+3%)*Предпосылки!$E$124*(1+Предпосылки!$B$152),0)</f>
        <v>176</v>
      </c>
      <c r="Z12" s="113">
        <f>ROUNDDOWN(Z3*IF(COUNT(Z22:Z26)&lt;3,Предпосылки!$B$150,(IF(COUNT(Z22:Z26)&gt;3,Предпосылки!$B$151,Предпосылки!$B$148))+3%)*Предпосылки!$E$124*(1+Предпосылки!$B$152),0)</f>
        <v>176</v>
      </c>
      <c r="AA12" s="113">
        <f>ROUNDDOWN(AA3*IF(COUNT(AA22:AA26)&lt;3,Предпосылки!$B$150,(IF(COUNT(AA22:AA26)&gt;3,Предпосылки!$B$151,Предпосылки!$B$148))+3%)*Предпосылки!$E$124*(1+Предпосылки!$B$152)^2,0)</f>
        <v>219</v>
      </c>
      <c r="AB12" s="113">
        <f>ROUNDDOWN(AB3*IF(COUNT(AB22:AB26)&lt;3,Предпосылки!$B$150,(IF(COUNT(AB22:AB26)&gt;3,Предпосылки!$B$151,Предпосылки!$B$148))+3%)*Предпосылки!$E$124*(1+Предпосылки!$B$152)^2,0)</f>
        <v>162</v>
      </c>
      <c r="AC12" s="113">
        <f>ROUNDDOWN(AC3*IF(COUNT(AC22:AC26)&lt;3,Предпосылки!$B$150,(IF(COUNT(AC22:AC26)&gt;3,Предпосылки!$B$151,Предпосылки!$B$148))+3%)*Предпосылки!$E$124*(1+Предпосылки!$B$152)^2,0)</f>
        <v>162</v>
      </c>
      <c r="AD12" s="113">
        <f>ROUNDDOWN(AD3*IF(COUNT(AD22:AD26)&lt;3,Предпосылки!$B$150,(IF(COUNT(AD22:AD26)&gt;3,Предпосылки!$B$151,Предпосылки!$B$148))+3%)*Предпосылки!$E$124*(1+Предпосылки!$B$152)^2,0)</f>
        <v>264</v>
      </c>
      <c r="AE12" s="113">
        <f>ROUNDDOWN(AE3*IF(COUNT(AE22:AE26)&lt;3,Предпосылки!$B$150,(IF(COUNT(AE22:AE26)&gt;3,Предпосылки!$B$151,Предпосылки!$B$148))+3%)*Предпосылки!$E$124*(1+Предпосылки!$B$152)^2,0)</f>
        <v>264</v>
      </c>
      <c r="AF12" s="113">
        <f>ROUNDDOWN(AF3*IF(COUNT(AF22:AF26)&lt;3,Предпосылки!$B$150,(IF(COUNT(AF22:AF26)&gt;3,Предпосылки!$B$151,Предпосылки!$B$148))+3%)*Предпосылки!$E$124*(1+Предпосылки!$B$152)^2,0)</f>
        <v>162</v>
      </c>
      <c r="AG12" s="113">
        <f>ROUNDDOWN(AG3*IF(COUNT(AG22:AG26)&lt;3,Предпосылки!$B$150,(IF(COUNT(AG22:AG26)&gt;3,Предпосылки!$B$151,Предпосылки!$B$148))+3%)*Предпосылки!$E$124*(1+Предпосылки!$B$152)^2,0)</f>
        <v>191</v>
      </c>
      <c r="AH12" s="113">
        <f>ROUNDDOWN(AH3*IF(COUNT(AH22:AH26)&lt;3,Предпосылки!$B$150,(IF(COUNT(AH22:AH26)&gt;3,Предпосылки!$B$151,Предпосылки!$B$148))+3%)*Предпосылки!$E$124*(1+Предпосылки!$B$152)^2,0)</f>
        <v>179</v>
      </c>
      <c r="AI12" s="113">
        <f>ROUNDDOWN(AI3*IF(COUNT(AI22:AI26)&lt;3,Предпосылки!$B$150,(IF(COUNT(AI22:AI26)&gt;3,Предпосылки!$B$151,Предпосылки!$B$148))+3%)*Предпосылки!$E$124*(1+Предпосылки!$B$152)^2,0)</f>
        <v>179</v>
      </c>
      <c r="AJ12" s="113">
        <f>ROUNDDOWN(AJ3*IF(COUNT(AJ22:AJ26)&lt;3,Предпосылки!$B$150,(IF(COUNT(AJ22:AJ26)&gt;3,Предпосылки!$B$151,Предпосылки!$B$148))+3%)*Предпосылки!$E$124*(1+Предпосылки!$B$152)^2,0)</f>
        <v>210</v>
      </c>
      <c r="AK12" s="113">
        <f>ROUNDDOWN(AK3*IF(COUNT(AK22:AK26)&lt;3,Предпосылки!$B$150,(IF(COUNT(AK22:AK26)&gt;3,Предпосылки!$B$151,Предпосылки!$B$148))+3%)*Предпосылки!$E$124*(1+Предпосылки!$B$152)^2,0)</f>
        <v>187</v>
      </c>
      <c r="AL12" s="113"/>
    </row>
    <row r="13" spans="1:41" ht="13.2" x14ac:dyDescent="0.25">
      <c r="A13" s="108" t="s">
        <v>225</v>
      </c>
      <c r="B13" s="113">
        <f>B$9*Предпосылки!$D$122</f>
        <v>517000</v>
      </c>
      <c r="C13" s="113">
        <f>C$9*Предпосылки!$D$122</f>
        <v>506000</v>
      </c>
      <c r="D13" s="113">
        <f>D$9*Предпосылки!$D$122</f>
        <v>435000</v>
      </c>
      <c r="E13" s="113">
        <f>E$9*Предпосылки!$D$122</f>
        <v>440000</v>
      </c>
      <c r="F13" s="113">
        <f>F$9*Предпосылки!$D$122</f>
        <v>440000</v>
      </c>
      <c r="G13" s="113">
        <f>G$9*Предпосылки!$D$122</f>
        <v>390000</v>
      </c>
      <c r="H13" s="113">
        <f>H$9*Предпосылки!$D$122</f>
        <v>396000</v>
      </c>
      <c r="I13" s="113">
        <f>I$9*Предпосылки!$D$122</f>
        <v>396000</v>
      </c>
      <c r="J13" s="113">
        <f>J$9*Предпосылки!$D$122</f>
        <v>697000</v>
      </c>
      <c r="K13" s="113">
        <f>K$9*Предпосылки!$D$122</f>
        <v>477000</v>
      </c>
      <c r="L13" s="113">
        <f>L$9*Предпосылки!$D$122</f>
        <v>477000</v>
      </c>
      <c r="M13" s="113">
        <f>M$9*Предпосылки!$D$122</f>
        <v>506000</v>
      </c>
      <c r="N13" s="113">
        <f>N$9*Предпосылки!$D$122</f>
        <v>498000</v>
      </c>
      <c r="O13" s="113">
        <f t="shared" ref="O13:U13" si="5">O$9*1000</f>
        <v>498000</v>
      </c>
      <c r="P13" s="113">
        <f t="shared" si="5"/>
        <v>440000</v>
      </c>
      <c r="Q13" s="113">
        <f t="shared" si="5"/>
        <v>435000</v>
      </c>
      <c r="R13" s="113">
        <f t="shared" si="5"/>
        <v>435000</v>
      </c>
      <c r="S13" s="113">
        <f t="shared" si="5"/>
        <v>440000</v>
      </c>
      <c r="T13" s="113">
        <f t="shared" si="5"/>
        <v>435000</v>
      </c>
      <c r="U13" s="113">
        <f t="shared" si="5"/>
        <v>435000</v>
      </c>
      <c r="V13" s="113">
        <f>V9*Предпосылки!$D$122</f>
        <v>752000</v>
      </c>
      <c r="W13" s="113">
        <f>W9*Предпосылки!$D$122</f>
        <v>507000</v>
      </c>
      <c r="X13" s="113">
        <f>X9*Предпосылки!$D$122</f>
        <v>524000</v>
      </c>
      <c r="Y13" s="113">
        <f>Y9*Предпосылки!$D$122</f>
        <v>528000</v>
      </c>
      <c r="Z13" s="113">
        <f>Z9*Предпосылки!$D$122</f>
        <v>528000</v>
      </c>
      <c r="AA13" s="113">
        <f>AA9*Предпосылки!$D$122</f>
        <v>579000</v>
      </c>
      <c r="AB13" s="113">
        <f>AB9*Предпосылки!$D$122</f>
        <v>486000</v>
      </c>
      <c r="AC13" s="113">
        <f>AC9*Предпосылки!$D$122</f>
        <v>486000</v>
      </c>
      <c r="AD13" s="113">
        <f>AD9*Предпосылки!$D$122</f>
        <v>724000</v>
      </c>
      <c r="AE13" s="113">
        <f>AE9*Предпосылки!$D$122</f>
        <v>724000</v>
      </c>
      <c r="AF13" s="113">
        <f>AF9*Предпосылки!$D$122</f>
        <v>486000</v>
      </c>
      <c r="AG13" s="113">
        <f>AG9*Предпосылки!$D$122</f>
        <v>505000</v>
      </c>
      <c r="AH13" s="113">
        <f>AH9*Предпосылки!$D$122</f>
        <v>537000</v>
      </c>
      <c r="AI13" s="113">
        <f>AI9*Предпосылки!$D$122</f>
        <v>537000</v>
      </c>
      <c r="AJ13" s="113">
        <f>AJ9*Предпосылки!$D$122</f>
        <v>556000</v>
      </c>
      <c r="AK13" s="113">
        <f>AK9*Предпосылки!$D$122</f>
        <v>561000</v>
      </c>
      <c r="AL13" s="113">
        <f>AL9*Предпосылки!$D$122</f>
        <v>0</v>
      </c>
    </row>
    <row r="14" spans="1:41" ht="13.2" x14ac:dyDescent="0.25">
      <c r="A14" s="108" t="s">
        <v>218</v>
      </c>
      <c r="N14" s="112">
        <f>N6*(1+Предпосылки!$N$122)*Предпосылки!$B$153</f>
        <v>652790.99876236205</v>
      </c>
      <c r="Z14" s="112">
        <f>Z6*(1+Предпосылки!$N$122)*Предпосылки!$B$153</f>
        <v>551475.45298081113</v>
      </c>
      <c r="AH14" s="112"/>
      <c r="AL14" s="112">
        <f>AL6*(1+Предпосылки!$N$122)*Предпосылки!$B$153</f>
        <v>808682.923547577</v>
      </c>
    </row>
    <row r="15" spans="1:41" ht="13.2" x14ac:dyDescent="0.25">
      <c r="A15" s="108" t="s">
        <v>219</v>
      </c>
      <c r="N15" s="112">
        <f>N7*(1+Предпосылки!$N$123)</f>
        <v>1338193.4341554018</v>
      </c>
      <c r="Z15" s="112">
        <f>Z7*(1+Предпосылки!$N$123)</f>
        <v>1113780.200330656</v>
      </c>
      <c r="AH15" s="112"/>
      <c r="AL15" s="112">
        <f>AL7*(1+Предпосылки!$N$123)</f>
        <v>2437711.7736600498</v>
      </c>
    </row>
    <row r="16" spans="1:41" ht="13.2" x14ac:dyDescent="0.25">
      <c r="A16" s="108" t="s">
        <v>220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5">
        <f>N8*(1+Предпосылки!$N$124)</f>
        <v>1474395.7008666068</v>
      </c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5">
        <f>Z8*(1+Предпосылки!$N$124)</f>
        <v>1202586.7107256686</v>
      </c>
      <c r="AA16" s="113"/>
      <c r="AB16" s="113"/>
      <c r="AC16" s="113"/>
      <c r="AD16" s="113"/>
      <c r="AE16" s="113"/>
      <c r="AF16" s="113"/>
      <c r="AG16" s="113"/>
      <c r="AH16" s="115"/>
      <c r="AI16" s="113"/>
      <c r="AJ16" s="113"/>
      <c r="AK16" s="113"/>
      <c r="AL16" s="115">
        <f>AL8*(1+Предпосылки!$N$124)</f>
        <v>2659345.3135467959</v>
      </c>
    </row>
    <row r="17" spans="1:41" ht="13.2" x14ac:dyDescent="0.25">
      <c r="A17" s="154" t="s">
        <v>190</v>
      </c>
      <c r="B17" s="112">
        <f>Расходы!$C$15</f>
        <v>-500000</v>
      </c>
    </row>
    <row r="18" spans="1:41" ht="13.8" thickBot="1" x14ac:dyDescent="0.3">
      <c r="A18" s="117" t="s">
        <v>226</v>
      </c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9"/>
      <c r="N18" s="118">
        <f>-(SUM(N14:N16))</f>
        <v>-3465380.1337843705</v>
      </c>
      <c r="O18" s="118"/>
      <c r="P18" s="119"/>
      <c r="Q18" s="119"/>
      <c r="R18" s="119"/>
      <c r="S18" s="119"/>
      <c r="T18" s="119"/>
      <c r="U18" s="119"/>
      <c r="V18" s="118"/>
      <c r="W18" s="118"/>
      <c r="X18" s="118"/>
      <c r="Y18" s="118"/>
      <c r="Z18" s="118">
        <f>-SUM(Z14:Z16)</f>
        <v>-2867842.3640371356</v>
      </c>
      <c r="AA18" s="118"/>
      <c r="AB18" s="118"/>
      <c r="AC18" s="118"/>
      <c r="AD18" s="118"/>
      <c r="AE18" s="118"/>
      <c r="AF18" s="118"/>
      <c r="AG18" s="119"/>
      <c r="AH18" s="118">
        <f>-(SUM(AH14:AH16))</f>
        <v>0</v>
      </c>
      <c r="AI18" s="118"/>
      <c r="AJ18" s="119"/>
      <c r="AK18" s="119"/>
      <c r="AL18" s="118">
        <f>-SUM(AL14:AL16)</f>
        <v>-5905740.0107544232</v>
      </c>
    </row>
    <row r="19" spans="1:41" ht="13.2" x14ac:dyDescent="0.25">
      <c r="A19" s="120" t="s">
        <v>0</v>
      </c>
      <c r="B19" s="112">
        <f>Расходы!C4</f>
        <v>0</v>
      </c>
      <c r="C19" s="112">
        <f t="shared" ref="C19:U19" si="6">B19</f>
        <v>0</v>
      </c>
      <c r="D19" s="112">
        <f t="shared" si="6"/>
        <v>0</v>
      </c>
      <c r="E19" s="112">
        <f t="shared" si="6"/>
        <v>0</v>
      </c>
      <c r="F19" s="112">
        <f t="shared" si="6"/>
        <v>0</v>
      </c>
      <c r="G19" s="112">
        <f t="shared" si="6"/>
        <v>0</v>
      </c>
      <c r="H19" s="112">
        <f t="shared" si="6"/>
        <v>0</v>
      </c>
      <c r="I19" s="112">
        <f t="shared" si="6"/>
        <v>0</v>
      </c>
      <c r="J19" s="112">
        <f t="shared" si="6"/>
        <v>0</v>
      </c>
      <c r="K19" s="112">
        <f t="shared" si="6"/>
        <v>0</v>
      </c>
      <c r="L19" s="112">
        <f t="shared" si="6"/>
        <v>0</v>
      </c>
      <c r="M19" s="112">
        <f t="shared" si="6"/>
        <v>0</v>
      </c>
      <c r="N19" s="112">
        <f t="shared" si="6"/>
        <v>0</v>
      </c>
      <c r="O19" s="112">
        <f t="shared" si="6"/>
        <v>0</v>
      </c>
      <c r="P19" s="112">
        <f t="shared" si="6"/>
        <v>0</v>
      </c>
      <c r="Q19" s="112">
        <f t="shared" si="6"/>
        <v>0</v>
      </c>
      <c r="R19" s="112">
        <f t="shared" si="6"/>
        <v>0</v>
      </c>
      <c r="S19" s="112">
        <f t="shared" si="6"/>
        <v>0</v>
      </c>
      <c r="T19" s="112">
        <f t="shared" si="6"/>
        <v>0</v>
      </c>
      <c r="U19" s="112">
        <f t="shared" si="6"/>
        <v>0</v>
      </c>
      <c r="V19" s="112">
        <v>0</v>
      </c>
      <c r="W19" s="112">
        <f t="shared" ref="W19:AK19" si="7">V19</f>
        <v>0</v>
      </c>
      <c r="X19" s="112">
        <f t="shared" si="7"/>
        <v>0</v>
      </c>
      <c r="Y19" s="112">
        <f t="shared" si="7"/>
        <v>0</v>
      </c>
      <c r="Z19" s="112">
        <f t="shared" si="7"/>
        <v>0</v>
      </c>
      <c r="AA19" s="112">
        <f t="shared" si="7"/>
        <v>0</v>
      </c>
      <c r="AB19" s="112">
        <f t="shared" si="7"/>
        <v>0</v>
      </c>
      <c r="AC19" s="112">
        <f t="shared" si="7"/>
        <v>0</v>
      </c>
      <c r="AD19" s="112">
        <f t="shared" si="7"/>
        <v>0</v>
      </c>
      <c r="AE19" s="112">
        <f t="shared" si="7"/>
        <v>0</v>
      </c>
      <c r="AF19" s="112">
        <f t="shared" si="7"/>
        <v>0</v>
      </c>
      <c r="AG19" s="112">
        <f t="shared" si="7"/>
        <v>0</v>
      </c>
      <c r="AH19" s="112">
        <f t="shared" si="7"/>
        <v>0</v>
      </c>
      <c r="AI19" s="112">
        <f t="shared" si="7"/>
        <v>0</v>
      </c>
      <c r="AJ19" s="112">
        <f t="shared" si="7"/>
        <v>0</v>
      </c>
      <c r="AK19" s="112">
        <f t="shared" si="7"/>
        <v>0</v>
      </c>
      <c r="AL19" s="112">
        <v>0</v>
      </c>
      <c r="AM19" s="112"/>
      <c r="AN19" s="112"/>
      <c r="AO19" s="112"/>
    </row>
    <row r="20" spans="1:41" ht="13.2" x14ac:dyDescent="0.25">
      <c r="A20" s="121" t="s">
        <v>162</v>
      </c>
      <c r="B20" s="112">
        <f>Расходы!C5</f>
        <v>0</v>
      </c>
      <c r="C20" s="112">
        <f t="shared" ref="C20:U20" si="8">B20</f>
        <v>0</v>
      </c>
      <c r="D20" s="112">
        <f t="shared" si="8"/>
        <v>0</v>
      </c>
      <c r="E20" s="112">
        <f t="shared" si="8"/>
        <v>0</v>
      </c>
      <c r="F20" s="112">
        <f t="shared" si="8"/>
        <v>0</v>
      </c>
      <c r="G20" s="112">
        <f t="shared" si="8"/>
        <v>0</v>
      </c>
      <c r="H20" s="112">
        <f t="shared" si="8"/>
        <v>0</v>
      </c>
      <c r="I20" s="112">
        <f t="shared" si="8"/>
        <v>0</v>
      </c>
      <c r="J20" s="112">
        <f t="shared" si="8"/>
        <v>0</v>
      </c>
      <c r="K20" s="112">
        <f t="shared" si="8"/>
        <v>0</v>
      </c>
      <c r="L20" s="112">
        <f t="shared" si="8"/>
        <v>0</v>
      </c>
      <c r="M20" s="112">
        <f t="shared" si="8"/>
        <v>0</v>
      </c>
      <c r="N20" s="112">
        <f t="shared" si="8"/>
        <v>0</v>
      </c>
      <c r="O20" s="112">
        <f t="shared" si="8"/>
        <v>0</v>
      </c>
      <c r="P20" s="112">
        <f t="shared" si="8"/>
        <v>0</v>
      </c>
      <c r="Q20" s="112">
        <f t="shared" si="8"/>
        <v>0</v>
      </c>
      <c r="R20" s="112">
        <f t="shared" si="8"/>
        <v>0</v>
      </c>
      <c r="S20" s="112">
        <f t="shared" si="8"/>
        <v>0</v>
      </c>
      <c r="T20" s="112">
        <f t="shared" si="8"/>
        <v>0</v>
      </c>
      <c r="U20" s="112">
        <f t="shared" si="8"/>
        <v>0</v>
      </c>
      <c r="V20" s="112">
        <v>0</v>
      </c>
      <c r="W20" s="112">
        <f t="shared" ref="W20:AK20" si="9">V20</f>
        <v>0</v>
      </c>
      <c r="X20" s="112">
        <f t="shared" si="9"/>
        <v>0</v>
      </c>
      <c r="Y20" s="112">
        <f t="shared" si="9"/>
        <v>0</v>
      </c>
      <c r="Z20" s="112">
        <f t="shared" si="9"/>
        <v>0</v>
      </c>
      <c r="AA20" s="112">
        <f t="shared" si="9"/>
        <v>0</v>
      </c>
      <c r="AB20" s="112">
        <f t="shared" si="9"/>
        <v>0</v>
      </c>
      <c r="AC20" s="112">
        <f t="shared" si="9"/>
        <v>0</v>
      </c>
      <c r="AD20" s="112">
        <f t="shared" si="9"/>
        <v>0</v>
      </c>
      <c r="AE20" s="112">
        <f t="shared" si="9"/>
        <v>0</v>
      </c>
      <c r="AF20" s="112">
        <f t="shared" si="9"/>
        <v>0</v>
      </c>
      <c r="AG20" s="112">
        <f t="shared" si="9"/>
        <v>0</v>
      </c>
      <c r="AH20" s="112">
        <f t="shared" si="9"/>
        <v>0</v>
      </c>
      <c r="AI20" s="112">
        <f t="shared" si="9"/>
        <v>0</v>
      </c>
      <c r="AJ20" s="112">
        <f t="shared" si="9"/>
        <v>0</v>
      </c>
      <c r="AK20" s="112">
        <f t="shared" si="9"/>
        <v>0</v>
      </c>
      <c r="AL20" s="112">
        <v>0</v>
      </c>
      <c r="AM20" s="112"/>
      <c r="AN20" s="112"/>
      <c r="AO20" s="112"/>
    </row>
    <row r="21" spans="1:41" ht="13.2" x14ac:dyDescent="0.25">
      <c r="A21" s="121" t="s">
        <v>165</v>
      </c>
      <c r="B21" s="115">
        <f>Расходы!C6</f>
        <v>0</v>
      </c>
      <c r="C21" s="115">
        <f t="shared" ref="C21:U21" si="10">B21</f>
        <v>0</v>
      </c>
      <c r="D21" s="115">
        <f t="shared" si="10"/>
        <v>0</v>
      </c>
      <c r="E21" s="115">
        <f t="shared" si="10"/>
        <v>0</v>
      </c>
      <c r="F21" s="115">
        <f t="shared" si="10"/>
        <v>0</v>
      </c>
      <c r="G21" s="115">
        <f t="shared" si="10"/>
        <v>0</v>
      </c>
      <c r="H21" s="115">
        <f t="shared" si="10"/>
        <v>0</v>
      </c>
      <c r="I21" s="115">
        <f t="shared" si="10"/>
        <v>0</v>
      </c>
      <c r="J21" s="115">
        <f t="shared" si="10"/>
        <v>0</v>
      </c>
      <c r="K21" s="115">
        <f t="shared" si="10"/>
        <v>0</v>
      </c>
      <c r="L21" s="115">
        <f t="shared" si="10"/>
        <v>0</v>
      </c>
      <c r="M21" s="115">
        <f t="shared" si="10"/>
        <v>0</v>
      </c>
      <c r="N21" s="115">
        <f t="shared" si="10"/>
        <v>0</v>
      </c>
      <c r="O21" s="115">
        <f t="shared" si="10"/>
        <v>0</v>
      </c>
      <c r="P21" s="115">
        <f t="shared" si="10"/>
        <v>0</v>
      </c>
      <c r="Q21" s="115">
        <f t="shared" si="10"/>
        <v>0</v>
      </c>
      <c r="R21" s="115">
        <f t="shared" si="10"/>
        <v>0</v>
      </c>
      <c r="S21" s="115">
        <f t="shared" si="10"/>
        <v>0</v>
      </c>
      <c r="T21" s="115">
        <f t="shared" si="10"/>
        <v>0</v>
      </c>
      <c r="U21" s="115">
        <f t="shared" si="10"/>
        <v>0</v>
      </c>
      <c r="V21" s="115">
        <v>0</v>
      </c>
      <c r="W21" s="115">
        <f t="shared" ref="W21:AK21" si="11">V21</f>
        <v>0</v>
      </c>
      <c r="X21" s="115">
        <f t="shared" si="11"/>
        <v>0</v>
      </c>
      <c r="Y21" s="115">
        <f t="shared" si="11"/>
        <v>0</v>
      </c>
      <c r="Z21" s="115">
        <f t="shared" si="11"/>
        <v>0</v>
      </c>
      <c r="AA21" s="115">
        <f t="shared" si="11"/>
        <v>0</v>
      </c>
      <c r="AB21" s="115">
        <f t="shared" si="11"/>
        <v>0</v>
      </c>
      <c r="AC21" s="115">
        <f t="shared" si="11"/>
        <v>0</v>
      </c>
      <c r="AD21" s="115">
        <f t="shared" si="11"/>
        <v>0</v>
      </c>
      <c r="AE21" s="115">
        <f t="shared" si="11"/>
        <v>0</v>
      </c>
      <c r="AF21" s="115">
        <f t="shared" si="11"/>
        <v>0</v>
      </c>
      <c r="AG21" s="115">
        <f t="shared" si="11"/>
        <v>0</v>
      </c>
      <c r="AH21" s="115">
        <f t="shared" si="11"/>
        <v>0</v>
      </c>
      <c r="AI21" s="115">
        <f t="shared" si="11"/>
        <v>0</v>
      </c>
      <c r="AJ21" s="115">
        <f t="shared" si="11"/>
        <v>0</v>
      </c>
      <c r="AK21" s="115">
        <f t="shared" si="11"/>
        <v>0</v>
      </c>
      <c r="AL21" s="115">
        <v>0</v>
      </c>
      <c r="AM21" s="112"/>
      <c r="AN21" s="112"/>
      <c r="AO21" s="112"/>
    </row>
    <row r="22" spans="1:41" ht="13.2" x14ac:dyDescent="0.25">
      <c r="A22" s="57" t="s">
        <v>170</v>
      </c>
      <c r="B22" s="112"/>
      <c r="C22" s="112"/>
      <c r="D22" s="112">
        <f>Расходы!C8</f>
        <v>0</v>
      </c>
      <c r="E22" s="112"/>
      <c r="F22" s="112"/>
      <c r="G22" s="112">
        <f t="shared" ref="G22:G24" si="12">D22</f>
        <v>0</v>
      </c>
      <c r="H22" s="112"/>
      <c r="I22" s="112"/>
      <c r="J22" s="112">
        <f t="shared" ref="J22:J24" si="13">G22</f>
        <v>0</v>
      </c>
      <c r="K22" s="112"/>
      <c r="L22" s="112"/>
      <c r="M22" s="112">
        <f t="shared" ref="M22:M24" si="14">J22</f>
        <v>0</v>
      </c>
      <c r="N22" s="112"/>
      <c r="O22" s="112"/>
      <c r="P22" s="112">
        <f t="shared" ref="P22:P24" si="15">M22</f>
        <v>0</v>
      </c>
      <c r="S22" s="112">
        <f t="shared" ref="S22:S24" si="16">P22</f>
        <v>0</v>
      </c>
      <c r="V22" s="112">
        <v>0</v>
      </c>
      <c r="W22" s="112"/>
      <c r="X22" s="112">
        <f>Расходы!C42</f>
        <v>0</v>
      </c>
      <c r="Y22" s="112">
        <v>0</v>
      </c>
      <c r="Z22" s="112"/>
      <c r="AA22" s="112">
        <f t="shared" ref="AA22:AA24" si="17">X22</f>
        <v>0</v>
      </c>
      <c r="AB22" s="112">
        <v>0</v>
      </c>
      <c r="AC22" s="112"/>
      <c r="AD22" s="112">
        <f t="shared" ref="AD22:AD24" si="18">AA22</f>
        <v>0</v>
      </c>
      <c r="AE22" s="112">
        <v>0</v>
      </c>
      <c r="AF22" s="112"/>
      <c r="AG22" s="112">
        <f t="shared" ref="AG22:AG24" si="19">AD22</f>
        <v>0</v>
      </c>
      <c r="AH22" s="112"/>
      <c r="AI22" s="112"/>
      <c r="AJ22" s="112">
        <f t="shared" ref="AJ22:AJ24" si="20">AG22</f>
        <v>0</v>
      </c>
    </row>
    <row r="23" spans="1:41" ht="13.2" x14ac:dyDescent="0.25">
      <c r="A23" s="57" t="s">
        <v>174</v>
      </c>
      <c r="B23" s="112"/>
      <c r="C23" s="112"/>
      <c r="D23" s="112">
        <f>Расходы!C9</f>
        <v>0</v>
      </c>
      <c r="E23" s="112"/>
      <c r="F23" s="112"/>
      <c r="G23" s="112">
        <f t="shared" si="12"/>
        <v>0</v>
      </c>
      <c r="H23" s="112"/>
      <c r="I23" s="112"/>
      <c r="J23" s="112">
        <f t="shared" si="13"/>
        <v>0</v>
      </c>
      <c r="K23" s="112"/>
      <c r="L23" s="112"/>
      <c r="M23" s="112">
        <f t="shared" si="14"/>
        <v>0</v>
      </c>
      <c r="N23" s="112"/>
      <c r="O23" s="112"/>
      <c r="P23" s="112">
        <f t="shared" si="15"/>
        <v>0</v>
      </c>
      <c r="S23" s="112">
        <f t="shared" si="16"/>
        <v>0</v>
      </c>
      <c r="V23" s="112">
        <v>0</v>
      </c>
      <c r="W23" s="112"/>
      <c r="X23" s="112">
        <f>Расходы!C43</f>
        <v>0</v>
      </c>
      <c r="Y23" s="112">
        <v>0</v>
      </c>
      <c r="Z23" s="112"/>
      <c r="AA23" s="112">
        <f t="shared" si="17"/>
        <v>0</v>
      </c>
      <c r="AB23" s="112">
        <v>0</v>
      </c>
      <c r="AC23" s="112"/>
      <c r="AD23" s="112">
        <f t="shared" si="18"/>
        <v>0</v>
      </c>
      <c r="AE23" s="112">
        <v>0</v>
      </c>
      <c r="AF23" s="112"/>
      <c r="AG23" s="112">
        <f t="shared" si="19"/>
        <v>0</v>
      </c>
      <c r="AH23" s="112"/>
      <c r="AI23" s="112"/>
      <c r="AJ23" s="112">
        <f t="shared" si="20"/>
        <v>0</v>
      </c>
    </row>
    <row r="24" spans="1:41" ht="13.2" x14ac:dyDescent="0.25">
      <c r="A24" s="57" t="s">
        <v>177</v>
      </c>
      <c r="B24" s="115"/>
      <c r="C24" s="115"/>
      <c r="D24" s="115">
        <f>Расходы!C10</f>
        <v>0</v>
      </c>
      <c r="E24" s="115"/>
      <c r="F24" s="115"/>
      <c r="G24" s="115">
        <f t="shared" si="12"/>
        <v>0</v>
      </c>
      <c r="H24" s="115"/>
      <c r="I24" s="115"/>
      <c r="J24" s="115">
        <f t="shared" si="13"/>
        <v>0</v>
      </c>
      <c r="K24" s="115"/>
      <c r="L24" s="115"/>
      <c r="M24" s="115">
        <f t="shared" si="14"/>
        <v>0</v>
      </c>
      <c r="N24" s="115"/>
      <c r="O24" s="115"/>
      <c r="P24" s="115">
        <f t="shared" si="15"/>
        <v>0</v>
      </c>
      <c r="Q24" s="113"/>
      <c r="R24" s="113"/>
      <c r="S24" s="115">
        <f t="shared" si="16"/>
        <v>0</v>
      </c>
      <c r="T24" s="113"/>
      <c r="U24" s="113"/>
      <c r="V24" s="115">
        <v>0</v>
      </c>
      <c r="W24" s="115"/>
      <c r="X24" s="115">
        <f>Расходы!C44</f>
        <v>0</v>
      </c>
      <c r="Y24" s="115"/>
      <c r="Z24" s="115"/>
      <c r="AA24" s="115">
        <f t="shared" si="17"/>
        <v>0</v>
      </c>
      <c r="AB24" s="115"/>
      <c r="AC24" s="115"/>
      <c r="AD24" s="115">
        <f t="shared" si="18"/>
        <v>0</v>
      </c>
      <c r="AE24" s="115">
        <v>0</v>
      </c>
      <c r="AF24" s="115"/>
      <c r="AG24" s="115">
        <f t="shared" si="19"/>
        <v>0</v>
      </c>
      <c r="AH24" s="115"/>
      <c r="AI24" s="115"/>
      <c r="AJ24" s="115">
        <f t="shared" si="20"/>
        <v>0</v>
      </c>
      <c r="AK24" s="113"/>
      <c r="AL24" s="113"/>
    </row>
    <row r="25" spans="1:41" ht="13.2" x14ac:dyDescent="0.25">
      <c r="A25" s="57" t="s">
        <v>181</v>
      </c>
      <c r="B25" s="112"/>
      <c r="C25" s="112"/>
      <c r="D25" s="112"/>
      <c r="E25" s="112"/>
      <c r="J25" s="112">
        <f>Расходы!C12</f>
        <v>-50000</v>
      </c>
      <c r="V25" s="112">
        <f>Расходы!C12</f>
        <v>-50000</v>
      </c>
      <c r="W25" s="112"/>
      <c r="X25" s="112"/>
      <c r="Y25" s="112"/>
      <c r="AD25" s="3">
        <f>Расходы!C46</f>
        <v>0</v>
      </c>
      <c r="AE25" s="112">
        <f t="shared" ref="AE25:AE26" si="21">V25</f>
        <v>-50000</v>
      </c>
    </row>
    <row r="26" spans="1:41" ht="13.2" x14ac:dyDescent="0.25">
      <c r="A26" s="57" t="s">
        <v>185</v>
      </c>
      <c r="B26" s="115"/>
      <c r="C26" s="115"/>
      <c r="D26" s="115"/>
      <c r="E26" s="115"/>
      <c r="F26" s="113"/>
      <c r="G26" s="113"/>
      <c r="H26" s="113"/>
      <c r="I26" s="113"/>
      <c r="J26" s="115">
        <f>Расходы!C13</f>
        <v>-200000</v>
      </c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5">
        <f>Расходы!C13</f>
        <v>-200000</v>
      </c>
      <c r="W26" s="115"/>
      <c r="X26" s="115"/>
      <c r="Y26" s="115"/>
      <c r="Z26" s="113"/>
      <c r="AA26" s="113"/>
      <c r="AB26" s="113"/>
      <c r="AC26" s="113"/>
      <c r="AD26" s="113">
        <f>Расходы!C47</f>
        <v>0</v>
      </c>
      <c r="AE26" s="115">
        <f t="shared" si="21"/>
        <v>-200000</v>
      </c>
      <c r="AF26" s="113"/>
      <c r="AG26" s="113"/>
      <c r="AH26" s="113"/>
      <c r="AI26" s="113"/>
      <c r="AJ26" s="113"/>
      <c r="AK26" s="113"/>
      <c r="AL26" s="113"/>
    </row>
    <row r="27" spans="1:41" ht="13.2" x14ac:dyDescent="0.25">
      <c r="A27" s="121" t="s">
        <v>227</v>
      </c>
      <c r="B27" s="112">
        <f>-B$13*Расходы!$C$17</f>
        <v>-10340</v>
      </c>
      <c r="C27" s="112">
        <f>-C$13*Расходы!$C$17</f>
        <v>-10120</v>
      </c>
      <c r="D27" s="112">
        <f>-D$13*Расходы!$C$17</f>
        <v>-8700</v>
      </c>
      <c r="E27" s="112">
        <f>-E$13*Расходы!$C$17</f>
        <v>-8800</v>
      </c>
      <c r="F27" s="112">
        <f>-F$13*Расходы!$C$17</f>
        <v>-8800</v>
      </c>
      <c r="G27" s="112">
        <f>-G$13*Расходы!$C$17</f>
        <v>-7800</v>
      </c>
      <c r="H27" s="112">
        <f>-H$13*Расходы!$C$17</f>
        <v>-7920</v>
      </c>
      <c r="I27" s="112">
        <f>-I$13*Расходы!$C$17</f>
        <v>-7920</v>
      </c>
      <c r="J27" s="112">
        <f>-J$13*Расходы!$C$17</f>
        <v>-13940</v>
      </c>
      <c r="K27" s="112">
        <f>-K$13*Расходы!$C$17</f>
        <v>-9540</v>
      </c>
      <c r="L27" s="112">
        <f>-L$13*Расходы!$C$17</f>
        <v>-9540</v>
      </c>
      <c r="M27" s="112">
        <f>-M$13*Расходы!$C$17</f>
        <v>-10120</v>
      </c>
      <c r="N27" s="112">
        <f>-N$13*Расходы!$C$17</f>
        <v>-9960</v>
      </c>
      <c r="O27" s="112">
        <f>-O$13*Расходы!$C$17</f>
        <v>-9960</v>
      </c>
      <c r="P27" s="112">
        <f>-P$13*Расходы!$C$17</f>
        <v>-8800</v>
      </c>
      <c r="Q27" s="112">
        <f>-Q$13*Расходы!$C$17</f>
        <v>-8700</v>
      </c>
      <c r="R27" s="112">
        <f>-R$13*Расходы!$C$17</f>
        <v>-8700</v>
      </c>
      <c r="S27" s="112">
        <f>-S$13*Расходы!$C$17</f>
        <v>-8800</v>
      </c>
      <c r="T27" s="112">
        <f>-T$13*Расходы!$C$17</f>
        <v>-8700</v>
      </c>
      <c r="U27" s="112">
        <f>-U$13*Расходы!$C$17</f>
        <v>-8700</v>
      </c>
      <c r="V27" s="112">
        <f>-V13*Расходы!$C$17</f>
        <v>-15040</v>
      </c>
      <c r="W27" s="112">
        <f>-W13*Расходы!$C$17</f>
        <v>-10140</v>
      </c>
      <c r="X27" s="112">
        <f>-X13*Расходы!$C$17</f>
        <v>-10480</v>
      </c>
      <c r="Y27" s="112">
        <f>-Y13*Расходы!$C$17</f>
        <v>-10560</v>
      </c>
      <c r="Z27" s="112">
        <f>-Z13*Расходы!$C$17</f>
        <v>-10560</v>
      </c>
      <c r="AA27" s="112">
        <f>-AA13*Расходы!$C$17</f>
        <v>-11580</v>
      </c>
      <c r="AB27" s="112">
        <f>-AB13*Расходы!$C$17</f>
        <v>-9720</v>
      </c>
      <c r="AC27" s="112">
        <f>-AC13*Расходы!$C$17</f>
        <v>-9720</v>
      </c>
      <c r="AD27" s="112">
        <f>-AD13*Расходы!$C$17</f>
        <v>-14480</v>
      </c>
      <c r="AE27" s="112">
        <f>-AE13*Расходы!$C$17</f>
        <v>-14480</v>
      </c>
      <c r="AF27" s="112">
        <f>-AF13*Расходы!$C$17</f>
        <v>-9720</v>
      </c>
      <c r="AG27" s="112">
        <f>-AG13*Расходы!$C$17</f>
        <v>-10100</v>
      </c>
      <c r="AH27" s="112">
        <f>-AH13*Расходы!$C$17</f>
        <v>-10740</v>
      </c>
      <c r="AI27" s="112">
        <f>-AI13*Расходы!$C$17</f>
        <v>-10740</v>
      </c>
      <c r="AJ27" s="112">
        <f>-AJ13*Расходы!$C$17</f>
        <v>-11120</v>
      </c>
      <c r="AK27" s="112">
        <f>-AK13*Расходы!$C$17</f>
        <v>-11220</v>
      </c>
      <c r="AL27" s="112">
        <f>-AL13*Расходы!$C$17</f>
        <v>0</v>
      </c>
      <c r="AM27" s="112"/>
      <c r="AN27" s="112"/>
      <c r="AO27" s="112"/>
    </row>
    <row r="28" spans="1:41" ht="13.2" x14ac:dyDescent="0.25">
      <c r="A28" s="122" t="s">
        <v>202</v>
      </c>
      <c r="B28" s="115">
        <f>-Расходы!$C$21*B$13</f>
        <v>-25850</v>
      </c>
      <c r="C28" s="115">
        <f>-Расходы!$C$21*C$13</f>
        <v>-25300</v>
      </c>
      <c r="D28" s="115">
        <f>-Расходы!$C$21*D$13</f>
        <v>-21750</v>
      </c>
      <c r="E28" s="115">
        <f>-Расходы!$C$21*E$13</f>
        <v>-22000</v>
      </c>
      <c r="F28" s="115">
        <f>-Расходы!$C$21*F$13</f>
        <v>-22000</v>
      </c>
      <c r="G28" s="115">
        <f>-Расходы!$C$21*G$13</f>
        <v>-19500</v>
      </c>
      <c r="H28" s="115">
        <f>-Расходы!$C$21*H$13</f>
        <v>-19800</v>
      </c>
      <c r="I28" s="115">
        <f>-Расходы!$C$21*I$13</f>
        <v>-19800</v>
      </c>
      <c r="J28" s="115">
        <f>-Расходы!$C$21*J$13</f>
        <v>-34850</v>
      </c>
      <c r="K28" s="115">
        <f>-Расходы!$C$21*K$13</f>
        <v>-23850</v>
      </c>
      <c r="L28" s="115">
        <f>-Расходы!$C$21*L$13</f>
        <v>-23850</v>
      </c>
      <c r="M28" s="115">
        <f>-Расходы!$C$21*M$13</f>
        <v>-25300</v>
      </c>
      <c r="N28" s="115">
        <f>-Расходы!$C$21*N$13</f>
        <v>-24900</v>
      </c>
      <c r="O28" s="115">
        <f>-Расходы!$C$21*O$13</f>
        <v>-24900</v>
      </c>
      <c r="P28" s="115">
        <f>-Расходы!$C$21*P$13</f>
        <v>-22000</v>
      </c>
      <c r="Q28" s="115">
        <f>-Расходы!$C$21*Q$13</f>
        <v>-21750</v>
      </c>
      <c r="R28" s="115">
        <f>-Расходы!$C$21*R$13</f>
        <v>-21750</v>
      </c>
      <c r="S28" s="115">
        <f>-Расходы!$C$21*S$13</f>
        <v>-22000</v>
      </c>
      <c r="T28" s="115">
        <f>-Расходы!$C$21*T$13</f>
        <v>-21750</v>
      </c>
      <c r="U28" s="115">
        <f>-Расходы!$C$21*U$13</f>
        <v>-21750</v>
      </c>
      <c r="V28" s="115">
        <f>-Расходы!$C$21*V13</f>
        <v>-37600</v>
      </c>
      <c r="W28" s="115">
        <f>-Расходы!$C$21*W13</f>
        <v>-25350</v>
      </c>
      <c r="X28" s="115">
        <f>-Расходы!$C$21*X13</f>
        <v>-26200</v>
      </c>
      <c r="Y28" s="115">
        <f>-Расходы!$C$21*Y13</f>
        <v>-26400</v>
      </c>
      <c r="Z28" s="115">
        <f>-Расходы!$C$21*Z13</f>
        <v>-26400</v>
      </c>
      <c r="AA28" s="115">
        <f>-Расходы!$C$21*AA13</f>
        <v>-28950</v>
      </c>
      <c r="AB28" s="115">
        <f>-Расходы!$C$21*AB13</f>
        <v>-24300</v>
      </c>
      <c r="AC28" s="115">
        <f>-Расходы!$C$21*AC13</f>
        <v>-24300</v>
      </c>
      <c r="AD28" s="115">
        <f>-Расходы!$C$21*AD13</f>
        <v>-36200</v>
      </c>
      <c r="AE28" s="115">
        <f>-Расходы!$C$21*AE13</f>
        <v>-36200</v>
      </c>
      <c r="AF28" s="115">
        <f>-Расходы!$C$21*AF13</f>
        <v>-24300</v>
      </c>
      <c r="AG28" s="115">
        <f>-Расходы!$C$21*AG13</f>
        <v>-25250</v>
      </c>
      <c r="AH28" s="115">
        <f>-Расходы!$C$21*AH13</f>
        <v>-26850</v>
      </c>
      <c r="AI28" s="115">
        <f>-Расходы!$C$21*AI13</f>
        <v>-26850</v>
      </c>
      <c r="AJ28" s="115">
        <f>-Расходы!$C$21*AJ13</f>
        <v>-27800</v>
      </c>
      <c r="AK28" s="115">
        <f>-Расходы!$C$21*AK13</f>
        <v>-28050</v>
      </c>
      <c r="AL28" s="115">
        <f>-Расходы!$C$21*AL13</f>
        <v>0</v>
      </c>
      <c r="AM28" s="112"/>
      <c r="AN28" s="112"/>
      <c r="AO28" s="112"/>
    </row>
    <row r="29" spans="1:41" ht="13.2" x14ac:dyDescent="0.25">
      <c r="A29" s="108" t="s">
        <v>228</v>
      </c>
      <c r="B29" s="112">
        <f t="shared" ref="B29:N29" si="22">SUM(B17:B28)</f>
        <v>-536190</v>
      </c>
      <c r="C29" s="112">
        <f t="shared" si="22"/>
        <v>-35420</v>
      </c>
      <c r="D29" s="112">
        <f t="shared" si="22"/>
        <v>-30450</v>
      </c>
      <c r="E29" s="112">
        <f t="shared" si="22"/>
        <v>-30800</v>
      </c>
      <c r="F29" s="112">
        <f t="shared" si="22"/>
        <v>-30800</v>
      </c>
      <c r="G29" s="112">
        <f t="shared" si="22"/>
        <v>-27300</v>
      </c>
      <c r="H29" s="112">
        <f t="shared" si="22"/>
        <v>-27720</v>
      </c>
      <c r="I29" s="112">
        <f t="shared" si="22"/>
        <v>-27720</v>
      </c>
      <c r="J29" s="112">
        <f t="shared" si="22"/>
        <v>-298790</v>
      </c>
      <c r="K29" s="112">
        <f t="shared" si="22"/>
        <v>-33390</v>
      </c>
      <c r="L29" s="112">
        <f t="shared" si="22"/>
        <v>-33390</v>
      </c>
      <c r="M29" s="112">
        <f t="shared" si="22"/>
        <v>-35420</v>
      </c>
      <c r="N29" s="112">
        <f t="shared" si="22"/>
        <v>-3500240.1337843705</v>
      </c>
      <c r="O29" s="112">
        <f t="shared" ref="O29:U29" si="23">SUM(O19:O28)</f>
        <v>-34860</v>
      </c>
      <c r="P29" s="112">
        <f t="shared" si="23"/>
        <v>-30800</v>
      </c>
      <c r="Q29" s="112">
        <f t="shared" si="23"/>
        <v>-30450</v>
      </c>
      <c r="R29" s="112">
        <f t="shared" si="23"/>
        <v>-30450</v>
      </c>
      <c r="S29" s="112">
        <f t="shared" si="23"/>
        <v>-30800</v>
      </c>
      <c r="T29" s="112">
        <f t="shared" si="23"/>
        <v>-30450</v>
      </c>
      <c r="U29" s="112">
        <f t="shared" si="23"/>
        <v>-30450</v>
      </c>
      <c r="V29" s="112">
        <f t="shared" ref="V29:AL29" si="24">SUM(V17:V28)</f>
        <v>-302640</v>
      </c>
      <c r="W29" s="112">
        <f t="shared" si="24"/>
        <v>-35490</v>
      </c>
      <c r="X29" s="112">
        <f t="shared" si="24"/>
        <v>-36680</v>
      </c>
      <c r="Y29" s="112">
        <f t="shared" si="24"/>
        <v>-36960</v>
      </c>
      <c r="Z29" s="112">
        <f t="shared" si="24"/>
        <v>-2904802.3640371356</v>
      </c>
      <c r="AA29" s="112">
        <f t="shared" si="24"/>
        <v>-40530</v>
      </c>
      <c r="AB29" s="112">
        <f t="shared" si="24"/>
        <v>-34020</v>
      </c>
      <c r="AC29" s="112">
        <f t="shared" si="24"/>
        <v>-34020</v>
      </c>
      <c r="AD29" s="112">
        <f t="shared" si="24"/>
        <v>-50680</v>
      </c>
      <c r="AE29" s="112">
        <f t="shared" si="24"/>
        <v>-300680</v>
      </c>
      <c r="AF29" s="112">
        <f t="shared" si="24"/>
        <v>-34020</v>
      </c>
      <c r="AG29" s="112">
        <f t="shared" si="24"/>
        <v>-35350</v>
      </c>
      <c r="AH29" s="112">
        <f t="shared" si="24"/>
        <v>-37590</v>
      </c>
      <c r="AI29" s="112">
        <f t="shared" si="24"/>
        <v>-37590</v>
      </c>
      <c r="AJ29" s="112">
        <f t="shared" si="24"/>
        <v>-38920</v>
      </c>
      <c r="AK29" s="112">
        <f t="shared" si="24"/>
        <v>-39270</v>
      </c>
      <c r="AL29" s="112">
        <f t="shared" si="24"/>
        <v>-5905740.0107544232</v>
      </c>
      <c r="AM29" s="112"/>
      <c r="AN29" s="112"/>
      <c r="AO29" s="112"/>
    </row>
    <row r="30" spans="1:41" ht="13.2" x14ac:dyDescent="0.25">
      <c r="A30" s="123" t="s">
        <v>229</v>
      </c>
      <c r="B30" s="124">
        <f t="shared" ref="B30:M30" si="25">B13+B29</f>
        <v>-19190</v>
      </c>
      <c r="C30" s="124">
        <f t="shared" si="25"/>
        <v>470580</v>
      </c>
      <c r="D30" s="124">
        <f t="shared" si="25"/>
        <v>404550</v>
      </c>
      <c r="E30" s="124">
        <f t="shared" si="25"/>
        <v>409200</v>
      </c>
      <c r="F30" s="124">
        <f t="shared" si="25"/>
        <v>409200</v>
      </c>
      <c r="G30" s="124">
        <f t="shared" si="25"/>
        <v>362700</v>
      </c>
      <c r="H30" s="124">
        <f t="shared" si="25"/>
        <v>368280</v>
      </c>
      <c r="I30" s="124">
        <f t="shared" si="25"/>
        <v>368280</v>
      </c>
      <c r="J30" s="124">
        <f t="shared" si="25"/>
        <v>398210</v>
      </c>
      <c r="K30" s="124">
        <f t="shared" si="25"/>
        <v>443610</v>
      </c>
      <c r="L30" s="124">
        <f t="shared" si="25"/>
        <v>443610</v>
      </c>
      <c r="M30" s="124">
        <f t="shared" si="25"/>
        <v>470580</v>
      </c>
      <c r="N30" s="124">
        <f t="shared" ref="N30:U30" si="26">N17+N13+N29</f>
        <v>-3002240.1337843705</v>
      </c>
      <c r="O30" s="124">
        <f t="shared" si="26"/>
        <v>463140</v>
      </c>
      <c r="P30" s="124">
        <f t="shared" si="26"/>
        <v>409200</v>
      </c>
      <c r="Q30" s="124">
        <f t="shared" si="26"/>
        <v>404550</v>
      </c>
      <c r="R30" s="124">
        <f t="shared" si="26"/>
        <v>404550</v>
      </c>
      <c r="S30" s="124">
        <f t="shared" si="26"/>
        <v>409200</v>
      </c>
      <c r="T30" s="124">
        <f t="shared" si="26"/>
        <v>404550</v>
      </c>
      <c r="U30" s="124">
        <f t="shared" si="26"/>
        <v>404550</v>
      </c>
      <c r="V30" s="125">
        <f t="shared" ref="V30:AL30" si="27">V13+V29</f>
        <v>449360</v>
      </c>
      <c r="W30" s="125">
        <f t="shared" si="27"/>
        <v>471510</v>
      </c>
      <c r="X30" s="125">
        <f t="shared" si="27"/>
        <v>487320</v>
      </c>
      <c r="Y30" s="125">
        <f t="shared" si="27"/>
        <v>491040</v>
      </c>
      <c r="Z30" s="125">
        <f t="shared" si="27"/>
        <v>-2376802.3640371356</v>
      </c>
      <c r="AA30" s="125">
        <f t="shared" si="27"/>
        <v>538470</v>
      </c>
      <c r="AB30" s="125">
        <f t="shared" si="27"/>
        <v>451980</v>
      </c>
      <c r="AC30" s="125">
        <f t="shared" si="27"/>
        <v>451980</v>
      </c>
      <c r="AD30" s="125">
        <f t="shared" si="27"/>
        <v>673320</v>
      </c>
      <c r="AE30" s="125">
        <f t="shared" si="27"/>
        <v>423320</v>
      </c>
      <c r="AF30" s="125">
        <f t="shared" si="27"/>
        <v>451980</v>
      </c>
      <c r="AG30" s="125">
        <f t="shared" si="27"/>
        <v>469650</v>
      </c>
      <c r="AH30" s="125">
        <f t="shared" si="27"/>
        <v>499410</v>
      </c>
      <c r="AI30" s="125">
        <f t="shared" si="27"/>
        <v>499410</v>
      </c>
      <c r="AJ30" s="125">
        <f t="shared" si="27"/>
        <v>517080</v>
      </c>
      <c r="AK30" s="125">
        <f t="shared" si="27"/>
        <v>521730</v>
      </c>
      <c r="AL30" s="125">
        <f t="shared" si="27"/>
        <v>-5905740.0107544232</v>
      </c>
      <c r="AM30" s="107"/>
      <c r="AN30" s="107"/>
      <c r="AO30" s="107"/>
    </row>
    <row r="31" spans="1:41" ht="13.2" x14ac:dyDescent="0.25">
      <c r="A31" s="122" t="s">
        <v>203</v>
      </c>
      <c r="B31" s="115">
        <f>IF(B$30&gt;0,B$30*Расходы!$C$22,0)</f>
        <v>0</v>
      </c>
      <c r="C31" s="115">
        <f>IF(C$30&gt;0,C$30*Расходы!$C$22,0)</f>
        <v>23529</v>
      </c>
      <c r="D31" s="115">
        <f>IF(D$30&gt;0,D$30*Расходы!$C$22,0)</f>
        <v>20227.5</v>
      </c>
      <c r="E31" s="115">
        <f>IF(E$30&gt;0,E$30*Расходы!$C$22,0)</f>
        <v>20460</v>
      </c>
      <c r="F31" s="115">
        <f>IF(F$30&gt;0,F$30*Расходы!$C$22,0)</f>
        <v>20460</v>
      </c>
      <c r="G31" s="115">
        <f>IF(G$30&gt;0,G$30*Расходы!$C$22,0)</f>
        <v>18135</v>
      </c>
      <c r="H31" s="115">
        <f>IF(H$30&gt;0,H$30*Расходы!$C$22,0)</f>
        <v>18414</v>
      </c>
      <c r="I31" s="115">
        <f>IF(I$30&gt;0,I$30*Расходы!$C$22,0)</f>
        <v>18414</v>
      </c>
      <c r="J31" s="115">
        <f>IF(J$30&gt;0,J$30*Расходы!$C$22,0)</f>
        <v>19910.5</v>
      </c>
      <c r="K31" s="115">
        <f>IF(K$30&gt;0,K$30*Расходы!$C$22,0)</f>
        <v>22180.5</v>
      </c>
      <c r="L31" s="115">
        <f>IF(L$30&gt;0,L$30*Расходы!$C$22,0)</f>
        <v>22180.5</v>
      </c>
      <c r="M31" s="115">
        <f>IF(M$30&gt;0,M$30*Расходы!$C$22,0)</f>
        <v>23529</v>
      </c>
      <c r="N31" s="115">
        <f>IF(N$30&gt;0,N$30*Расходы!$C$22,0)</f>
        <v>0</v>
      </c>
      <c r="O31" s="115">
        <f>IF(O$30&gt;0,O$30*Расходы!$C$22,0)</f>
        <v>23157</v>
      </c>
      <c r="P31" s="115">
        <f>IF(P$30&gt;0,P$30*Расходы!$C$22,0)</f>
        <v>20460</v>
      </c>
      <c r="Q31" s="115">
        <f>IF(Q$30&gt;0,Q$30*Расходы!$C$22,0)</f>
        <v>20227.5</v>
      </c>
      <c r="R31" s="115">
        <f>IF(R$30&gt;0,R$30*Расходы!$C$22,0)</f>
        <v>20227.5</v>
      </c>
      <c r="S31" s="115">
        <f>IF(S$30&gt;0,S$30*Расходы!$C$22,0)</f>
        <v>20460</v>
      </c>
      <c r="T31" s="115">
        <f>IF(T$30&gt;0,T$30*Расходы!$C$22,0)</f>
        <v>20227.5</v>
      </c>
      <c r="U31" s="115">
        <f>IF(U$30&gt;0,U$30*Расходы!$C$22,0)</f>
        <v>20227.5</v>
      </c>
      <c r="V31" s="126">
        <f>IF(V30&gt;0,V30*Расходы!$C$22,0)</f>
        <v>22468</v>
      </c>
      <c r="W31" s="126">
        <f>IF(W30&gt;0,W30*Расходы!$C$22,0)</f>
        <v>23575.5</v>
      </c>
      <c r="X31" s="126">
        <f>IF(X30&gt;0,X30*Расходы!$C$22,0)</f>
        <v>24366</v>
      </c>
      <c r="Y31" s="126">
        <f>IF(Y30&gt;0,Y30*Расходы!$C$22,0)</f>
        <v>24552</v>
      </c>
      <c r="Z31" s="126">
        <f>IF(Z30&gt;0,Z30*Расходы!$C$22,0)</f>
        <v>0</v>
      </c>
      <c r="AA31" s="126">
        <f>IF(AA30&gt;0,AA30*Расходы!$C$22,0)</f>
        <v>26923.5</v>
      </c>
      <c r="AB31" s="126">
        <f>IF(AB30&gt;0,AB30*Расходы!$C$22,0)</f>
        <v>22599</v>
      </c>
      <c r="AC31" s="126">
        <f>IF(AC30&gt;0,AC30*Расходы!$C$22,0)</f>
        <v>22599</v>
      </c>
      <c r="AD31" s="126">
        <f>IF(AD30&gt;0,AD30*Расходы!$C$22,0)</f>
        <v>33666</v>
      </c>
      <c r="AE31" s="126">
        <f>IF(AE30&gt;0,AE30*Расходы!$C$22,0)</f>
        <v>21166</v>
      </c>
      <c r="AF31" s="126">
        <f>IF(AF30&gt;0,AF30*Расходы!$C$22,0)</f>
        <v>22599</v>
      </c>
      <c r="AG31" s="126">
        <f>IF(AG30&gt;0,AG30*Расходы!$C$22,0)</f>
        <v>23482.5</v>
      </c>
      <c r="AH31" s="126">
        <f>IF(AH30&gt;0,AH30*Расходы!$C$22,0)</f>
        <v>24970.5</v>
      </c>
      <c r="AI31" s="126">
        <f>IF(AI30&gt;0,AI30*Расходы!$C$22,0)</f>
        <v>24970.5</v>
      </c>
      <c r="AJ31" s="126">
        <f>IF(AJ30&gt;0,AJ30*Расходы!$C$22,0)</f>
        <v>25854</v>
      </c>
      <c r="AK31" s="126">
        <f>IF(AK30&gt;0,AK30*Расходы!$C$22,0)</f>
        <v>26086.5</v>
      </c>
      <c r="AL31" s="126">
        <f>IF(AL30&gt;0,AL30*Расходы!$C$22,0)</f>
        <v>0</v>
      </c>
      <c r="AM31" s="112"/>
      <c r="AN31" s="112"/>
      <c r="AO31" s="112"/>
    </row>
    <row r="32" spans="1:41" ht="13.2" x14ac:dyDescent="0.25">
      <c r="A32" s="3" t="s">
        <v>230</v>
      </c>
      <c r="B32" s="112">
        <f t="shared" ref="B32:AL32" si="28">B30-B31</f>
        <v>-19190</v>
      </c>
      <c r="C32" s="112">
        <f t="shared" si="28"/>
        <v>447051</v>
      </c>
      <c r="D32" s="112">
        <f t="shared" si="28"/>
        <v>384322.5</v>
      </c>
      <c r="E32" s="112">
        <f t="shared" si="28"/>
        <v>388740</v>
      </c>
      <c r="F32" s="112">
        <f t="shared" si="28"/>
        <v>388740</v>
      </c>
      <c r="G32" s="112">
        <f t="shared" si="28"/>
        <v>344565</v>
      </c>
      <c r="H32" s="112">
        <f t="shared" si="28"/>
        <v>349866</v>
      </c>
      <c r="I32" s="112">
        <f t="shared" si="28"/>
        <v>349866</v>
      </c>
      <c r="J32" s="112">
        <f t="shared" si="28"/>
        <v>378299.5</v>
      </c>
      <c r="K32" s="112">
        <f t="shared" si="28"/>
        <v>421429.5</v>
      </c>
      <c r="L32" s="112">
        <f t="shared" si="28"/>
        <v>421429.5</v>
      </c>
      <c r="M32" s="112">
        <f t="shared" si="28"/>
        <v>447051</v>
      </c>
      <c r="N32" s="112">
        <f t="shared" si="28"/>
        <v>-3002240.1337843705</v>
      </c>
      <c r="O32" s="112">
        <f t="shared" si="28"/>
        <v>439983</v>
      </c>
      <c r="P32" s="112">
        <f t="shared" si="28"/>
        <v>388740</v>
      </c>
      <c r="Q32" s="112">
        <f t="shared" si="28"/>
        <v>384322.5</v>
      </c>
      <c r="R32" s="112">
        <f t="shared" si="28"/>
        <v>384322.5</v>
      </c>
      <c r="S32" s="112">
        <f t="shared" si="28"/>
        <v>388740</v>
      </c>
      <c r="T32" s="112">
        <f t="shared" si="28"/>
        <v>384322.5</v>
      </c>
      <c r="U32" s="112">
        <f t="shared" si="28"/>
        <v>384322.5</v>
      </c>
      <c r="V32" s="112">
        <f t="shared" si="28"/>
        <v>426892</v>
      </c>
      <c r="W32" s="112">
        <f t="shared" si="28"/>
        <v>447934.5</v>
      </c>
      <c r="X32" s="112">
        <f t="shared" si="28"/>
        <v>462954</v>
      </c>
      <c r="Y32" s="112">
        <f t="shared" si="28"/>
        <v>466488</v>
      </c>
      <c r="Z32" s="112">
        <f t="shared" si="28"/>
        <v>-2376802.3640371356</v>
      </c>
      <c r="AA32" s="112">
        <f t="shared" si="28"/>
        <v>511546.5</v>
      </c>
      <c r="AB32" s="112">
        <f t="shared" si="28"/>
        <v>429381</v>
      </c>
      <c r="AC32" s="112">
        <f t="shared" si="28"/>
        <v>429381</v>
      </c>
      <c r="AD32" s="112">
        <f t="shared" si="28"/>
        <v>639654</v>
      </c>
      <c r="AE32" s="112">
        <f t="shared" si="28"/>
        <v>402154</v>
      </c>
      <c r="AF32" s="112">
        <f t="shared" si="28"/>
        <v>429381</v>
      </c>
      <c r="AG32" s="112">
        <f t="shared" si="28"/>
        <v>446167.5</v>
      </c>
      <c r="AH32" s="112">
        <f t="shared" si="28"/>
        <v>474439.5</v>
      </c>
      <c r="AI32" s="112">
        <f t="shared" si="28"/>
        <v>474439.5</v>
      </c>
      <c r="AJ32" s="112">
        <f t="shared" si="28"/>
        <v>491226</v>
      </c>
      <c r="AK32" s="112">
        <f t="shared" si="28"/>
        <v>495643.5</v>
      </c>
      <c r="AL32" s="112">
        <f t="shared" si="28"/>
        <v>-5905740.0107544232</v>
      </c>
      <c r="AM32" s="112"/>
      <c r="AN32" s="112"/>
      <c r="AO32" s="112"/>
    </row>
    <row r="34" spans="1:11" ht="13.2" x14ac:dyDescent="0.25">
      <c r="A34" s="127" t="s">
        <v>231</v>
      </c>
      <c r="B34" s="128">
        <f>SUM(B32:U32,V32:AL32)</f>
        <v>2799822.4914240707</v>
      </c>
    </row>
    <row r="36" spans="1:11" ht="163.80000000000001" customHeight="1" x14ac:dyDescent="0.35">
      <c r="A36" s="168" t="s">
        <v>278</v>
      </c>
      <c r="B36" s="241" t="s">
        <v>285</v>
      </c>
      <c r="C36" s="242"/>
      <c r="D36" s="242"/>
      <c r="E36" s="242"/>
      <c r="F36" s="242"/>
      <c r="G36" s="242"/>
      <c r="H36" s="242"/>
      <c r="I36" s="242"/>
      <c r="J36" s="242"/>
      <c r="K36" s="243"/>
    </row>
    <row r="37" spans="1:11" ht="15.75" customHeight="1" x14ac:dyDescent="0.35">
      <c r="B37" s="167"/>
      <c r="C37" s="167"/>
      <c r="D37" s="167"/>
      <c r="E37" s="167"/>
      <c r="F37" s="167"/>
      <c r="G37" s="167"/>
      <c r="H37" s="167"/>
      <c r="I37" s="167"/>
      <c r="J37" s="167"/>
      <c r="K37" s="167"/>
    </row>
    <row r="38" spans="1:11" ht="15.75" customHeight="1" x14ac:dyDescent="0.35">
      <c r="B38" s="167"/>
      <c r="C38" s="167"/>
      <c r="D38" s="167"/>
      <c r="E38" s="167"/>
      <c r="F38" s="167"/>
      <c r="G38" s="167"/>
      <c r="H38" s="167"/>
      <c r="I38" s="167"/>
      <c r="J38" s="167"/>
      <c r="K38" s="167"/>
    </row>
    <row r="39" spans="1:11" ht="15.75" customHeight="1" x14ac:dyDescent="0.35">
      <c r="B39" s="167"/>
      <c r="C39" s="167"/>
      <c r="D39" s="167"/>
      <c r="E39" s="167"/>
      <c r="F39" s="167"/>
      <c r="G39" s="167"/>
      <c r="H39" s="167"/>
      <c r="I39" s="167"/>
      <c r="J39" s="167"/>
      <c r="K39" s="167"/>
    </row>
    <row r="40" spans="1:11" ht="15.75" customHeight="1" x14ac:dyDescent="0.35">
      <c r="B40" s="167"/>
      <c r="C40" s="167"/>
      <c r="D40" s="167"/>
      <c r="E40" s="167"/>
      <c r="F40" s="167"/>
      <c r="G40" s="167"/>
      <c r="H40" s="167"/>
      <c r="I40" s="167"/>
      <c r="J40" s="167"/>
      <c r="K40" s="167"/>
    </row>
    <row r="41" spans="1:11" ht="15.75" customHeight="1" x14ac:dyDescent="0.35">
      <c r="B41" s="167"/>
      <c r="C41" s="167"/>
      <c r="D41" s="167"/>
      <c r="E41" s="167"/>
      <c r="F41" s="167"/>
      <c r="G41" s="167"/>
      <c r="H41" s="167"/>
      <c r="I41" s="167"/>
      <c r="J41" s="167"/>
      <c r="K41" s="167"/>
    </row>
    <row r="42" spans="1:11" ht="15.75" customHeight="1" x14ac:dyDescent="0.35">
      <c r="B42" s="167"/>
      <c r="C42" s="167"/>
      <c r="D42" s="167"/>
      <c r="E42" s="167"/>
      <c r="F42" s="167"/>
      <c r="G42" s="167"/>
      <c r="H42" s="167"/>
      <c r="I42" s="167"/>
      <c r="J42" s="167"/>
      <c r="K42" s="167"/>
    </row>
    <row r="43" spans="1:11" ht="15.75" customHeight="1" x14ac:dyDescent="0.35">
      <c r="B43" s="167"/>
      <c r="C43" s="167"/>
      <c r="D43" s="167"/>
      <c r="E43" s="167"/>
      <c r="F43" s="167"/>
      <c r="G43" s="167"/>
      <c r="H43" s="167"/>
      <c r="I43" s="167"/>
      <c r="J43" s="167"/>
      <c r="K43" s="167"/>
    </row>
    <row r="44" spans="1:11" ht="15.75" customHeight="1" x14ac:dyDescent="0.35">
      <c r="B44" s="167"/>
      <c r="C44" s="167"/>
      <c r="D44" s="167"/>
      <c r="E44" s="167"/>
      <c r="F44" s="167"/>
      <c r="G44" s="167"/>
      <c r="H44" s="167"/>
      <c r="I44" s="167"/>
      <c r="J44" s="167"/>
      <c r="K44" s="167"/>
    </row>
    <row r="45" spans="1:11" ht="15.75" customHeight="1" x14ac:dyDescent="0.35">
      <c r="B45" s="167"/>
      <c r="C45" s="167"/>
      <c r="D45" s="167"/>
      <c r="E45" s="167"/>
      <c r="F45" s="167"/>
      <c r="G45" s="167"/>
      <c r="H45" s="167"/>
      <c r="I45" s="167"/>
      <c r="J45" s="167"/>
      <c r="K45" s="167"/>
    </row>
    <row r="46" spans="1:11" ht="15.75" customHeight="1" x14ac:dyDescent="0.35">
      <c r="B46" s="167"/>
      <c r="C46" s="167"/>
      <c r="D46" s="167"/>
      <c r="E46" s="167"/>
      <c r="F46" s="167"/>
      <c r="G46" s="167"/>
      <c r="H46" s="167"/>
      <c r="I46" s="167"/>
      <c r="J46" s="167"/>
      <c r="K46" s="167"/>
    </row>
    <row r="47" spans="1:11" ht="15.75" customHeight="1" x14ac:dyDescent="0.35">
      <c r="B47" s="167"/>
      <c r="C47" s="167"/>
      <c r="D47" s="167"/>
      <c r="E47" s="167"/>
      <c r="F47" s="167"/>
      <c r="G47" s="167"/>
      <c r="H47" s="167"/>
      <c r="I47" s="167"/>
      <c r="J47" s="167"/>
      <c r="K47" s="167"/>
    </row>
    <row r="48" spans="1:11" ht="15.75" customHeight="1" x14ac:dyDescent="0.35">
      <c r="B48" s="167"/>
      <c r="C48" s="167"/>
      <c r="D48" s="167"/>
      <c r="E48" s="167"/>
      <c r="F48" s="167"/>
      <c r="G48" s="167"/>
      <c r="H48" s="167"/>
      <c r="I48" s="167"/>
      <c r="J48" s="167"/>
      <c r="K48" s="167"/>
    </row>
    <row r="49" spans="2:11" ht="15.75" customHeight="1" x14ac:dyDescent="0.35">
      <c r="B49" s="167"/>
      <c r="C49" s="167"/>
      <c r="D49" s="167"/>
      <c r="E49" s="167"/>
      <c r="F49" s="167"/>
      <c r="G49" s="167"/>
      <c r="H49" s="167"/>
      <c r="I49" s="167"/>
      <c r="J49" s="167"/>
      <c r="K49" s="167"/>
    </row>
  </sheetData>
  <mergeCells count="2">
    <mergeCell ref="B36:K36"/>
    <mergeCell ref="A1:H1"/>
  </mergeCells>
  <conditionalFormatting sqref="B5:AO5">
    <cfRule type="cellIs" dxfId="2" priority="1" operator="lessThanOrEqual">
      <formula>300000000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M37"/>
  <sheetViews>
    <sheetView workbookViewId="0">
      <pane xSplit="1" ySplit="2" topLeftCell="B33" activePane="bottomRight" state="frozen"/>
      <selection pane="topRight" activeCell="B1" sqref="B1"/>
      <selection pane="bottomLeft" activeCell="A3" sqref="A3"/>
      <selection pane="bottomRight" activeCell="B36" sqref="B36:K36"/>
    </sheetView>
  </sheetViews>
  <sheetFormatPr defaultColWidth="12.6640625" defaultRowHeight="15.75" customHeight="1" x14ac:dyDescent="0.25"/>
  <cols>
    <col min="1" max="1" width="58.5546875" customWidth="1"/>
    <col min="2" max="38" width="11.77734375" bestFit="1" customWidth="1"/>
    <col min="39" max="65" width="10.88671875" customWidth="1"/>
  </cols>
  <sheetData>
    <row r="1" spans="1:65" ht="23.4" customHeight="1" x14ac:dyDescent="0.25">
      <c r="A1" s="198" t="s">
        <v>232</v>
      </c>
      <c r="B1" s="179"/>
      <c r="C1" s="179"/>
      <c r="D1" s="179"/>
      <c r="E1" s="179"/>
      <c r="F1" s="179"/>
      <c r="G1" s="179"/>
      <c r="H1" s="177"/>
      <c r="I1" s="64"/>
      <c r="J1" s="64"/>
      <c r="K1" s="64"/>
      <c r="L1" s="64"/>
      <c r="M1" s="65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</row>
    <row r="2" spans="1:65" ht="13.2" x14ac:dyDescent="0.25">
      <c r="A2" s="108" t="s">
        <v>214</v>
      </c>
      <c r="B2" s="109">
        <v>1</v>
      </c>
      <c r="C2" s="109">
        <v>2</v>
      </c>
      <c r="D2" s="109">
        <v>3</v>
      </c>
      <c r="E2" s="109">
        <v>4</v>
      </c>
      <c r="F2" s="109">
        <v>5</v>
      </c>
      <c r="G2" s="109">
        <v>6</v>
      </c>
      <c r="H2" s="109">
        <v>7</v>
      </c>
      <c r="I2" s="109">
        <v>8</v>
      </c>
      <c r="J2" s="109">
        <v>9</v>
      </c>
      <c r="K2" s="109">
        <v>10</v>
      </c>
      <c r="L2" s="109">
        <v>11</v>
      </c>
      <c r="M2" s="109">
        <v>12</v>
      </c>
      <c r="N2" s="109">
        <v>13</v>
      </c>
      <c r="O2" s="109">
        <v>14</v>
      </c>
      <c r="P2" s="109">
        <v>15</v>
      </c>
      <c r="Q2" s="109">
        <v>16</v>
      </c>
      <c r="R2" s="109">
        <v>17</v>
      </c>
      <c r="S2" s="109">
        <v>18</v>
      </c>
      <c r="T2" s="109">
        <v>19</v>
      </c>
      <c r="U2" s="109">
        <v>20</v>
      </c>
      <c r="V2" s="109">
        <v>21</v>
      </c>
      <c r="W2" s="109">
        <v>22</v>
      </c>
      <c r="X2" s="109">
        <v>23</v>
      </c>
      <c r="Y2" s="109">
        <v>24</v>
      </c>
      <c r="Z2" s="109">
        <v>25</v>
      </c>
      <c r="AA2" s="109">
        <v>26</v>
      </c>
      <c r="AB2" s="109">
        <v>27</v>
      </c>
      <c r="AC2" s="109">
        <v>28</v>
      </c>
      <c r="AD2" s="109">
        <v>29</v>
      </c>
      <c r="AE2" s="109">
        <v>30</v>
      </c>
      <c r="AF2" s="109">
        <v>31</v>
      </c>
      <c r="AG2" s="109">
        <v>32</v>
      </c>
      <c r="AH2" s="109">
        <v>33</v>
      </c>
      <c r="AI2" s="109">
        <v>34</v>
      </c>
      <c r="AJ2" s="109">
        <v>35</v>
      </c>
      <c r="AK2" s="109">
        <v>36</v>
      </c>
      <c r="AL2" s="109">
        <v>37</v>
      </c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</row>
    <row r="3" spans="1:65" ht="13.2" x14ac:dyDescent="0.25">
      <c r="A3" s="108" t="s">
        <v>215</v>
      </c>
      <c r="B3" s="110">
        <f>IF(OR(B2=1,B2=2,B2=12,B2=13,B2=14,B2=24,B2=25,B2=26,B2=36),1+Предпосылки!$B$158,IF(OR(B2=9,B2=10,B2=11,B2=21,B2=22,B2=23,B2=33,B2=34,B2=35),1+Предпосылки!$B$157,IF(OR(B2=6,B2=7,B2=8),1+Предпосылки!$B$160,IF(OR(B2=3,B2=4,B2=5,B2=15,B2=16,B2=17,B2=27,B2=28,B2=29),Предпосылки!$B$159+1,1))))</f>
        <v>1.1499999999999999</v>
      </c>
      <c r="C3" s="110">
        <f>IF(OR(C2=1,C2=2,C2=12,C2=13,C2=14,C2=24,C2=25,C2=26,C2=36),1+Предпосылки!$B$158,IF(OR(C2=9,C2=10,C2=11,C2=21,C2=22,C2=23,C2=33,C2=34,C2=35),1+Предпосылки!$B$157,IF(OR(C2=6,C2=7,C2=8),1+Предпосылки!$B$160,IF(OR(C2=3,C2=4,C2=5,C2=15,C2=16,C2=17,C2=27,C2=28,C2=29),Предпосылки!$B$159+1,1))))</f>
        <v>1.1499999999999999</v>
      </c>
      <c r="D3" s="110">
        <f>IF(OR(D2=1,D2=2,D2=12,D2=13,D2=14,D2=24,D2=25,D2=26,D2=36),1+Предпосылки!$B$158,IF(OR(D2=9,D2=10,D2=11,D2=21,D2=22,D2=23,D2=33,D2=34,D2=35),1+Предпосылки!$B$157,IF(OR(D2=6,D2=7,D2=8),1+Предпосылки!$B$160,IF(OR(D2=3,D2=4,D2=5,D2=15,D2=16,D2=17,D2=27,D2=28,D2=29),Предпосылки!$B$159+1,1))))</f>
        <v>1</v>
      </c>
      <c r="E3" s="110">
        <f>IF(OR(E2=1,E2=2,E2=12,E2=13,E2=14,E2=24,E2=25,E2=26,E2=36),1+Предпосылки!$B$158,IF(OR(E2=9,E2=10,E2=11,E2=21,E2=22,E2=23,E2=33,E2=34,E2=35),1+Предпосылки!$B$157,IF(OR(E2=6,E2=7,E2=8),1+Предпосылки!$B$160,IF(OR(E2=3,E2=4,E2=5,E2=15,E2=16,E2=17,E2=27,E2=28,E2=29),Предпосылки!$B$159+1,1))))</f>
        <v>1</v>
      </c>
      <c r="F3" s="110">
        <f>IF(OR(F2=1,F2=2,F2=12,F2=13,F2=14,F2=24,F2=25,F2=26,F2=36),1+Предпосылки!$B$158,IF(OR(F2=9,F2=10,F2=11,F2=21,F2=22,F2=23,F2=33,F2=34,F2=35),1+Предпосылки!$B$157,IF(OR(F2=6,F2=7,F2=8),1+Предпосылки!$B$160,IF(OR(F2=3,F2=4,F2=5,F2=15,F2=16,F2=17,F2=27,F2=28,F2=29),Предпосылки!$B$159+1,1))))</f>
        <v>1</v>
      </c>
      <c r="G3" s="110">
        <f>IF(OR(G2=1,G2=2,G2=12,G2=13,G2=14,G2=24,G2=25,G2=26,G2=36),1+Предпосылки!$B$158,IF(OR(G2=9,G2=10,G2=11,G2=21,G2=22,G2=23,G2=33,G2=34,G2=35),1+Предпосылки!$B$157,IF(OR(G2=6,G2=7,G2=8),1+Предпосылки!$B$160,IF(OR(G2=3,G2=4,G2=5,G2=15,G2=16,G2=17,G2=27,G2=28,G2=29),Предпосылки!$B$159+1,1))))</f>
        <v>0.9</v>
      </c>
      <c r="H3" s="110">
        <f>IF(OR(H2=1,H2=2,H2=12,H2=13,H2=14,H2=24,H2=25,H2=26,H2=36),1+Предпосылки!$B$158,IF(OR(H2=9,H2=10,H2=11,H2=21,H2=22,H2=23,H2=33,H2=34,H2=35),1+Предпосылки!$B$157,IF(OR(H2=6,H2=7,H2=8),1+Предпосылки!$B$160,IF(OR(H2=3,H2=4,H2=5,H2=15,H2=16,H2=17,H2=27,H2=28,H2=29),Предпосылки!$B$159+1,1))))</f>
        <v>0.9</v>
      </c>
      <c r="I3" s="110">
        <f>IF(OR(I2=1,I2=2,I2=12,I2=13,I2=14,I2=24,I2=25,I2=26,I2=36),1+Предпосылки!$B$158,IF(OR(I2=9,I2=10,I2=11,I2=21,I2=22,I2=23,I2=33,I2=34,I2=35),1+Предпосылки!$B$157,IF(OR(I2=6,I2=7,I2=8),1+Предпосылки!$B$160,IF(OR(I2=3,I2=4,I2=5,I2=15,I2=16,I2=17,I2=27,I2=28,I2=29),Предпосылки!$B$159+1,1))))</f>
        <v>0.9</v>
      </c>
      <c r="J3" s="110">
        <f>IF(OR(J2=1,J2=2,J2=12,J2=13,J2=14,J2=24,J2=25,J2=26,J2=36),1+Предпосылки!$B$158,IF(OR(J2=9,J2=10,J2=11,J2=21,J2=22,J2=23,J2=33,J2=34,J2=35),1+Предпосылки!$B$157,IF(OR(J2=6,J2=7,J2=8),1+Предпосылки!$B$160,IF(OR(J2=3,J2=4,J2=5,J2=15,J2=16,J2=17,J2=27,J2=28,J2=29),Предпосылки!$B$159+1,1))))</f>
        <v>1.1000000000000001</v>
      </c>
      <c r="K3" s="110">
        <f>IF(OR(K2=1,K2=2,K2=12,K2=13,K2=14,K2=24,K2=25,K2=26,K2=36),1+Предпосылки!$B$158,IF(OR(K2=9,K2=10,K2=11,K2=21,K2=22,K2=23,K2=33,K2=34,K2=35),1+Предпосылки!$B$157,IF(OR(K2=6,K2=7,K2=8),1+Предпосылки!$B$160,IF(OR(K2=3,K2=4,K2=5,K2=15,K2=16,K2=17,K2=27,K2=28,K2=29),Предпосылки!$B$159+1,1))))</f>
        <v>1.1000000000000001</v>
      </c>
      <c r="L3" s="110">
        <f>IF(OR(L2=1,L2=2,L2=12,L2=13,L2=14,L2=24,L2=25,L2=26,L2=36),1+Предпосылки!$B$158,IF(OR(L2=9,L2=10,L2=11,L2=21,L2=22,L2=23,L2=33,L2=34,L2=35),1+Предпосылки!$B$157,IF(OR(L2=6,L2=7,L2=8),1+Предпосылки!$B$160,IF(OR(L2=3,L2=4,L2=5,L2=15,L2=16,L2=17,L2=27,L2=28,L2=29),Предпосылки!$B$159+1,1))))</f>
        <v>1.1000000000000001</v>
      </c>
      <c r="M3" s="110">
        <f>IF(OR(M2=1,M2=2,M2=12,M2=13,M2=14,M2=24,M2=25,M2=26,M2=36),1+Предпосылки!$B$158,IF(OR(M2=9,M2=10,M2=11,M2=21,M2=22,M2=23,M2=33,M2=34,M2=35),1+Предпосылки!$B$157,IF(OR(M2=6,M2=7,M2=8),1+Предпосылки!$B$160,IF(OR(M2=3,M2=4,M2=5,M2=15,M2=16,M2=17,M2=27,M2=28,M2=29),Предпосылки!$B$159+1,1))))</f>
        <v>1.1499999999999999</v>
      </c>
      <c r="N3" s="110">
        <f>IF(OR(N2=1,N2=2,N2=12,N2=13,N2=14,N2=24,N2=25,N2=26,N2=36),1+Предпосылки!$B$158,IF(OR(N2=9,N2=10,N2=11,N2=21,N2=22,N2=23,N2=33,N2=34,N2=35),1+Предпосылки!$B$157,IF(OR(N2=6,N2=7,N2=8),1+Предпосылки!$B$160,IF(OR(N2=3,N2=4,N2=5,N2=15,N2=16,N2=17,N2=27,N2=28,N2=29),Предпосылки!$B$159+1,1))))</f>
        <v>1.1499999999999999</v>
      </c>
      <c r="O3" s="110">
        <f>IF(OR(O2=1,O2=2,O2=12,O2=13,O2=14,O2=24,O2=25,O2=26,O2=36),1+Предпосылки!$B$158,IF(OR(O2=9,O2=10,O2=11,O2=21,O2=22,O2=23,O2=33,O2=34,O2=35),1+Предпосылки!$B$157,IF(OR(O2=6,O2=7,O2=8),1+Предпосылки!$B$160,IF(OR(O2=3,O2=4,O2=5,O2=15,O2=16,O2=17,O2=27,O2=28,O2=29),Предпосылки!$B$159+1,1))))</f>
        <v>1.1499999999999999</v>
      </c>
      <c r="P3" s="110">
        <f>IF(OR(P2=1,P2=2,P2=12,P2=13,P2=14,P2=24,P2=25,P2=26,P2=36),1+Предпосылки!$B$158,IF(OR(P2=9,P2=10,P2=11,P2=21,P2=22,P2=23,P2=33,P2=34,P2=35),1+Предпосылки!$B$157,IF(OR(P2=6,P2=7,P2=8),1+Предпосылки!$B$160,IF(OR(P2=3,P2=4,P2=5,P2=15,P2=16,P2=17,P2=27,P2=28,P2=29),Предпосылки!$B$159+1,1))))</f>
        <v>1</v>
      </c>
      <c r="Q3" s="110">
        <f>IF(OR(Q2=1,Q2=2,Q2=12,Q2=13,Q2=14,Q2=24,Q2=25,Q2=26,Q2=36),1+Предпосылки!$B$158,IF(OR(Q2=9,Q2=10,Q2=11,Q2=21,Q2=22,Q2=23,Q2=33,Q2=34,Q2=35),1+Предпосылки!$B$157,IF(OR(Q2=6,Q2=7,Q2=8),1+Предпосылки!$B$160,IF(OR(Q2=3,Q2=4,Q2=5,Q2=15,Q2=16,Q2=17,Q2=27,Q2=28,Q2=29),Предпосылки!$B$159+1,1))))</f>
        <v>1</v>
      </c>
      <c r="R3" s="110">
        <f>IF(OR(R2=1,R2=2,R2=12,R2=13,R2=14,R2=24,R2=25,R2=26,R2=36),1+Предпосылки!$B$158,IF(OR(R2=9,R2=10,R2=11,R2=21,R2=22,R2=23,R2=33,R2=34,R2=35),1+Предпосылки!$B$157,IF(OR(R2=6,R2=7,R2=8),1+Предпосылки!$B$160,IF(OR(R2=3,R2=4,R2=5,R2=15,R2=16,R2=17,R2=27,R2=28,R2=29),Предпосылки!$B$159+1,1))))</f>
        <v>1</v>
      </c>
      <c r="S3" s="110">
        <f>IF(OR(S2=1,S2=2,S2=12,S2=13,S2=14,S2=24,S2=25,S2=26,S2=36),1+Предпосылки!$B$158,IF(OR(S2=9,S2=10,S2=11,S2=21,S2=22,S2=23,S2=33,S2=34,S2=35),1+Предпосылки!$B$157,IF(OR(S2=6,S2=7,S2=8),1+Предпосылки!$B$160,IF(OR(S2=3,S2=4,S2=5,S2=15,S2=16,S2=17,S2=27,S2=28,S2=29),Предпосылки!$B$159+1,1))))</f>
        <v>1</v>
      </c>
      <c r="T3" s="110">
        <f>IF(OR(T2=1,T2=2,T2=12,T2=13,T2=14,T2=24,T2=25,T2=26,T2=36),1+Предпосылки!$B$158,IF(OR(T2=9,T2=10,T2=11,T2=21,T2=22,T2=23,T2=33,T2=34,T2=35),1+Предпосылки!$B$157,IF(OR(T2=6,T2=7,T2=8),1+Предпосылки!$B$160,IF(OR(T2=3,T2=4,T2=5,T2=15,T2=16,T2=17,T2=27,T2=28,T2=29),Предпосылки!$B$159+1,1))))</f>
        <v>1</v>
      </c>
      <c r="U3" s="110">
        <f>IF(OR(U2=1,U2=2,U2=12,U2=13,U2=14,U2=24,U2=25,U2=26,U2=36),1+Предпосылки!$B$158,IF(OR(U2=9,U2=10,U2=11,U2=21,U2=22,U2=23,U2=33,U2=34,U2=35),1+Предпосылки!$B$157,IF(OR(U2=6,U2=7,U2=8),1+Предпосылки!$B$160,IF(OR(U2=3,U2=4,U2=5,U2=15,U2=16,U2=17,U2=27,U2=28,U2=29),Предпосылки!$B$159+1,1))))</f>
        <v>1</v>
      </c>
      <c r="V3" s="110">
        <f>IF(OR(V2=1,V2=2,V2=12,V2=13,V2=14,V2=24,V2=25,V2=26,V2=36),1+Предпосылки!$B$158,IF(OR(V2=9,V2=10,V2=11,V2=21,V2=22,V2=23,V2=33,V2=34,V2=35),1+Предпосылки!$B$157,IF(OR(V2=6,V2=7,V2=8),1+Предпосылки!$B$160,IF(OR(V2=6,V2=7,V2=8),1+Предпосылки!$B$160,IF(OR(V2=3,V2=4,V2=5,V2=15,V2=16,V2=17,V2=27,V2=28,V2=29),Предпосылки!$B$159+1,1)))))</f>
        <v>1.1000000000000001</v>
      </c>
      <c r="W3" s="110">
        <f>IF(OR(W2=1,W2=2,W2=12,W2=13,W2=14,W2=24,W2=25,W2=26,W2=36),1+Предпосылки!$B$158,IF(OR(W2=9,W2=10,W2=11,W2=21,W2=22,W2=23,W2=33,W2=34,W2=35),1+Предпосылки!$B$157,IF(OR(W2=6,W2=7,W2=8),1+Предпосылки!$B$160,IF(OR(W2=6,W2=7,W2=8),1+Предпосылки!$B$160,IF(OR(W2=3,W2=4,W2=5,W2=15,W2=16,W2=17,W2=27,W2=28,W2=29),Предпосылки!$B$159+1,1)))))</f>
        <v>1.1000000000000001</v>
      </c>
      <c r="X3" s="110">
        <f>IF(OR(X2=1,X2=2,X2=12,X2=13,X2=14,X2=24,X2=25,X2=26,X2=36),1+Предпосылки!$B$158,IF(OR(X2=9,X2=10,X2=11,X2=21,X2=22,X2=23,X2=33,X2=34,X2=35),1+Предпосылки!$B$157,IF(OR(X2=6,X2=7,X2=8),1+Предпосылки!$B$160,IF(OR(X2=6,X2=7,X2=8),1+Предпосылки!$B$160,IF(OR(X2=3,X2=4,X2=5,X2=15,X2=16,X2=17,X2=27,X2=28,X2=29),Предпосылки!$B$159+1,1)))))</f>
        <v>1.1000000000000001</v>
      </c>
      <c r="Y3" s="110">
        <f>IF(OR(Y2=1,Y2=2,Y2=12,Y2=13,Y2=14,Y2=24,Y2=25,Y2=26,Y2=36),1+Предпосылки!$B$158,IF(OR(Y2=9,Y2=10,Y2=11,Y2=21,Y2=22,Y2=23,Y2=33,Y2=34,Y2=35),1+Предпосылки!$B$157,IF(OR(Y2=6,Y2=7,Y2=8),1+Предпосылки!$B$160,IF(OR(Y2=6,Y2=7,Y2=8),1+Предпосылки!$B$160,IF(OR(Y2=3,Y2=4,Y2=5,Y2=15,Y2=16,Y2=17,Y2=27,Y2=28,Y2=29),Предпосылки!$B$159+1,1)))))</f>
        <v>1.1499999999999999</v>
      </c>
      <c r="Z3" s="110">
        <f>IF(OR(Z2=1,Z2=2,Z2=12,Z2=13,Z2=14,Z2=24,Z2=25,Z2=26,Z2=36),1+Предпосылки!$B$158,IF(OR(Z2=9,Z2=10,Z2=11,Z2=21,Z2=22,Z2=23,Z2=33,Z2=34,Z2=35),1+Предпосылки!$B$157,IF(OR(Z2=6,Z2=7,Z2=8),1+Предпосылки!$B$160,IF(OR(Z2=6,Z2=7,Z2=8),1+Предпосылки!$B$160,IF(OR(Z2=3,Z2=4,Z2=5,Z2=15,Z2=16,Z2=17,Z2=27,Z2=28,Z2=29),Предпосылки!$B$159+1,1)))))</f>
        <v>1.1499999999999999</v>
      </c>
      <c r="AA3" s="110">
        <f>IF(OR(AA2=1,AA2=2,AA2=12,AA2=13,AA2=14,AA2=24,AA2=25,AA2=26,AA2=36),1+Предпосылки!$B$158,IF(OR(AA2=9,AA2=10,AA2=11,AA2=21,AA2=22,AA2=23,AA2=33,AA2=34,AA2=35),1+Предпосылки!$B$157,IF(OR(AA2=6,AA2=7,AA2=8),1+Предпосылки!$B$160,IF(OR(AA2=6,AA2=7,AA2=8),1+Предпосылки!$B$160,IF(OR(AA2=3,AA2=4,AA2=5,AA2=15,AA2=16,AA2=17,AA2=27,AA2=28,AA2=29),Предпосылки!$B$159+1,1)))))</f>
        <v>1.1499999999999999</v>
      </c>
      <c r="AB3" s="110">
        <f>IF(OR(AB2=1,AB2=2,AB2=12,AB2=13,AB2=14,AB2=24,AB2=25,AB2=26,AB2=36),1+Предпосылки!$B$158,IF(OR(AB2=9,AB2=10,AB2=11,AB2=21,AB2=22,AB2=23,AB2=33,AB2=34,AB2=35),1+Предпосылки!$B$157,IF(OR(AB2=6,AB2=7,AB2=8),1+Предпосылки!$B$160,IF(OR(AB2=6,AB2=7,AB2=8),1+Предпосылки!$B$160,IF(OR(AB2=3,AB2=4,AB2=5,AB2=15,AB2=16,AB2=17,AB2=27,AB2=28,AB2=29),Предпосылки!$B$159+1,1)))))</f>
        <v>1</v>
      </c>
      <c r="AC3" s="110">
        <f>IF(OR(AC2=1,AC2=2,AC2=12,AC2=13,AC2=14,AC2=24,AC2=25,AC2=26,AC2=36),1+Предпосылки!$B$158,IF(OR(AC2=9,AC2=10,AC2=11,AC2=21,AC2=22,AC2=23,AC2=33,AC2=34,AC2=35),1+Предпосылки!$B$157,IF(OR(AC2=6,AC2=7,AC2=8),1+Предпосылки!$B$160,IF(OR(AC2=6,AC2=7,AC2=8),1+Предпосылки!$B$160,IF(OR(AC2=3,AC2=4,AC2=5,AC2=15,AC2=16,AC2=17,AC2=27,AC2=28,AC2=29),Предпосылки!$B$159+1,1)))))</f>
        <v>1</v>
      </c>
      <c r="AD3" s="110">
        <f>IF(OR(AD2=1,AD2=2,AD2=12,AD2=13,AD2=14,AD2=24,AD2=25,AD2=26,AD2=36),1+Предпосылки!$B$158,IF(OR(AD2=9,AD2=10,AD2=11,AD2=21,AD2=22,AD2=23,AD2=33,AD2=34,AD2=35),1+Предпосылки!$B$157,IF(OR(AD2=6,AD2=7,AD2=8),1+Предпосылки!$B$160,IF(OR(AD2=6,AD2=7,AD2=8),1+Предпосылки!$B$160,IF(OR(AD2=3,AD2=4,AD2=5,AD2=15,AD2=16,AD2=17,AD2=27,AD2=28,AD2=29),Предпосылки!$B$159+1,1)))))</f>
        <v>1</v>
      </c>
      <c r="AE3" s="110">
        <f>IF(OR(AE2=1,AE2=2,AE2=12,AE2=13,AE2=14,AE2=24,AE2=25,AE2=26,AE2=36),1+Предпосылки!$B$158,IF(OR(AE2=9,AE2=10,AE2=11,AE2=21,AE2=22,AE2=23,AE2=33,AE2=34,AE2=35),1+Предпосылки!$B$157,IF(OR(AE2=6,AE2=7,AE2=8),1+Предпосылки!$B$160,IF(OR(AE2=6,AE2=7,AE2=8),1+Предпосылки!$B$160,IF(OR(AE2=3,AE2=4,AE2=5,AE2=15,AE2=16,AE2=17,AE2=27,AE2=28,AE2=29),Предпосылки!$B$159+1,1)))))</f>
        <v>1</v>
      </c>
      <c r="AF3" s="110">
        <f>IF(OR(AF2=1,AF2=2,AF2=12,AF2=13,AF2=14,AF2=24,AF2=25,AF2=26,AF2=36),1+Предпосылки!$B$158,IF(OR(AF2=9,AF2=10,AF2=11,AF2=21,AF2=22,AF2=23,AF2=33,AF2=34,AF2=35),1+Предпосылки!$B$157,IF(OR(AF2=6,AF2=7,AF2=8),1+Предпосылки!$B$160,IF(OR(AF2=6,AF2=7,AF2=8),1+Предпосылки!$B$160,IF(OR(AF2=3,AF2=4,AF2=5,AF2=15,AF2=16,AF2=17,AF2=27,AF2=28,AF2=29),Предпосылки!$B$159+1,1)))))</f>
        <v>1</v>
      </c>
      <c r="AG3" s="110">
        <f>IF(OR(AG2=1,AG2=2,AG2=12,AG2=13,AG2=14,AG2=24,AG2=25,AG2=26,AG2=36),1+Предпосылки!$B$158,IF(OR(AG2=9,AG2=10,AG2=11,AG2=21,AG2=22,AG2=23,AG2=33,AG2=34,AG2=35),1+Предпосылки!$B$157,IF(OR(AG2=6,AG2=7,AG2=8),1+Предпосылки!$B$160,IF(OR(AG2=6,AG2=7,AG2=8),1+Предпосылки!$B$160,IF(OR(AG2=3,AG2=4,AG2=5,AG2=15,AG2=16,AG2=17,AG2=27,AG2=28,AG2=29),Предпосылки!$B$159+1,1)))))</f>
        <v>1</v>
      </c>
      <c r="AH3" s="110">
        <f>IF(OR(AH2=1,AH2=2,AH2=12,AH2=13,AH2=14,AH2=24,AH2=25,AH2=26,AH2=36),1+Предпосылки!$B$158,IF(OR(AH2=9,AH2=10,AH2=11,AH2=21,AH2=22,AH2=23,AH2=33,AH2=34,AH2=35),1+Предпосылки!$B$157,IF(OR(AH2=6,AH2=7,AH2=8),1+Предпосылки!$B$160,IF(OR(AH2=6,AH2=7,AH2=8),1+Предпосылки!$B$160,IF(OR(AH2=3,AH2=4,AH2=5,AH2=15,AH2=16,AH2=17,AH2=27,AH2=28,AH2=29),Предпосылки!$B$159+1,1)))))</f>
        <v>1.1000000000000001</v>
      </c>
      <c r="AI3" s="110">
        <f>IF(OR(AI2=1,AI2=2,AI2=12,AI2=13,AI2=14,AI2=24,AI2=25,AI2=26,AI2=36),1+Предпосылки!$B$158,IF(OR(AI2=9,AI2=10,AI2=11,AI2=21,AI2=22,AI2=23,AI2=33,AI2=34,AI2=35),1+Предпосылки!$B$157,IF(OR(AI2=6,AI2=7,AI2=8),1+Предпосылки!$B$160,IF(OR(AI2=6,AI2=7,AI2=8),1+Предпосылки!$B$160,IF(OR(AI2=3,AI2=4,AI2=5,AI2=15,AI2=16,AI2=17,AI2=27,AI2=28,AI2=29),Предпосылки!$B$159+1,1)))))</f>
        <v>1.1000000000000001</v>
      </c>
      <c r="AJ3" s="110">
        <f>IF(OR(AJ2=1,AJ2=2,AJ2=12,AJ2=13,AJ2=14,AJ2=24,AJ2=25,AJ2=26,AJ2=36),1+Предпосылки!$B$158,IF(OR(AJ2=9,AJ2=10,AJ2=11,AJ2=21,AJ2=22,AJ2=23,AJ2=33,AJ2=34,AJ2=35),1+Предпосылки!$B$157,IF(OR(AJ2=6,AJ2=7,AJ2=8),1+Предпосылки!$B$160,IF(OR(AJ2=6,AJ2=7,AJ2=8),1+Предпосылки!$B$160,IF(OR(AJ2=3,AJ2=4,AJ2=5,AJ2=15,AJ2=16,AJ2=17,AJ2=27,AJ2=28,AJ2=29),Предпосылки!$B$159+1,1)))))</f>
        <v>1.1000000000000001</v>
      </c>
      <c r="AK3" s="110">
        <f>IF(OR(AK2=1,AK2=2,AK2=12,AK2=13,AK2=14,AK2=24,AK2=25,AK2=26,AK2=36),1+Предпосылки!$B$158,IF(OR(AK2=9,AK2=10,AK2=11,AK2=21,AK2=22,AK2=23,AK2=33,AK2=34,AK2=35),1+Предпосылки!$B$157,IF(OR(AK2=6,AK2=7,AK2=8),1+Предпосылки!$B$160,IF(OR(AK2=6,AK2=7,AK2=8),1+Предпосылки!$B$160,IF(OR(AK2=3,AK2=4,AK2=5,AK2=15,AK2=16,AK2=17,AK2=27,AK2=28,AK2=29),Предпосылки!$B$159+1,1)))))</f>
        <v>1.1499999999999999</v>
      </c>
      <c r="AL3" s="110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</row>
    <row r="4" spans="1:65" ht="13.2" x14ac:dyDescent="0.25">
      <c r="A4" s="57" t="s">
        <v>216</v>
      </c>
      <c r="B4" s="112">
        <f>Предпосылки!$H$125</f>
        <v>300000000</v>
      </c>
      <c r="C4" s="112">
        <f t="shared" ref="C4:U4" si="0">B$4-B$13</f>
        <v>299725000</v>
      </c>
      <c r="D4" s="112">
        <f t="shared" si="0"/>
        <v>299450000</v>
      </c>
      <c r="E4" s="112">
        <f t="shared" si="0"/>
        <v>299015000</v>
      </c>
      <c r="F4" s="112">
        <f t="shared" si="0"/>
        <v>298775000</v>
      </c>
      <c r="G4" s="112">
        <f t="shared" si="0"/>
        <v>298535000</v>
      </c>
      <c r="H4" s="112">
        <f t="shared" si="0"/>
        <v>298145000</v>
      </c>
      <c r="I4" s="112">
        <f t="shared" si="0"/>
        <v>297929000</v>
      </c>
      <c r="J4" s="112">
        <f t="shared" si="0"/>
        <v>297713000</v>
      </c>
      <c r="K4" s="112">
        <f t="shared" si="0"/>
        <v>297236000</v>
      </c>
      <c r="L4" s="112">
        <f t="shared" si="0"/>
        <v>296972000</v>
      </c>
      <c r="M4" s="112">
        <f t="shared" si="0"/>
        <v>296708000</v>
      </c>
      <c r="N4" s="112">
        <f t="shared" si="0"/>
        <v>296210000</v>
      </c>
      <c r="O4" s="112">
        <f t="shared" si="0"/>
        <v>295935000</v>
      </c>
      <c r="P4" s="112">
        <f t="shared" si="0"/>
        <v>295437000</v>
      </c>
      <c r="Q4" s="112">
        <f t="shared" si="0"/>
        <v>295207000</v>
      </c>
      <c r="R4" s="112">
        <f t="shared" si="0"/>
        <v>294772000</v>
      </c>
      <c r="S4" s="112">
        <f t="shared" si="0"/>
        <v>294337000</v>
      </c>
      <c r="T4" s="112">
        <f t="shared" si="0"/>
        <v>294107000</v>
      </c>
      <c r="U4" s="112">
        <f t="shared" si="0"/>
        <v>293672000</v>
      </c>
      <c r="V4" s="112">
        <f t="shared" ref="V4:AL4" si="1">U4-U13</f>
        <v>293237000</v>
      </c>
      <c r="W4" s="112">
        <f t="shared" si="1"/>
        <v>292485000</v>
      </c>
      <c r="X4" s="112">
        <f t="shared" si="1"/>
        <v>291978000</v>
      </c>
      <c r="Y4" s="112">
        <f t="shared" si="1"/>
        <v>291700000</v>
      </c>
      <c r="Z4" s="112">
        <f t="shared" si="1"/>
        <v>291172000</v>
      </c>
      <c r="AA4" s="112">
        <f t="shared" si="1"/>
        <v>290644000</v>
      </c>
      <c r="AB4" s="112">
        <f t="shared" si="1"/>
        <v>290335000</v>
      </c>
      <c r="AC4" s="112">
        <f t="shared" si="1"/>
        <v>289849000</v>
      </c>
      <c r="AD4" s="112">
        <f t="shared" si="1"/>
        <v>289363000</v>
      </c>
      <c r="AE4" s="112">
        <f t="shared" si="1"/>
        <v>288639000</v>
      </c>
      <c r="AF4" s="112">
        <f t="shared" si="1"/>
        <v>287915000</v>
      </c>
      <c r="AG4" s="112">
        <f t="shared" si="1"/>
        <v>287429000</v>
      </c>
      <c r="AH4" s="112">
        <f t="shared" si="1"/>
        <v>287161000</v>
      </c>
      <c r="AI4" s="112">
        <f t="shared" si="1"/>
        <v>286624000</v>
      </c>
      <c r="AJ4" s="112">
        <f t="shared" si="1"/>
        <v>286087000</v>
      </c>
      <c r="AK4" s="112">
        <f t="shared" si="1"/>
        <v>285792000</v>
      </c>
      <c r="AL4" s="112">
        <f t="shared" si="1"/>
        <v>285231000</v>
      </c>
    </row>
    <row r="5" spans="1:65" ht="13.2" x14ac:dyDescent="0.25">
      <c r="A5" s="57" t="s">
        <v>217</v>
      </c>
      <c r="B5" s="113"/>
      <c r="C5" s="115">
        <f t="shared" ref="C5:U5" si="2">B$13+B5</f>
        <v>275000</v>
      </c>
      <c r="D5" s="115">
        <f t="shared" si="2"/>
        <v>550000</v>
      </c>
      <c r="E5" s="115">
        <f t="shared" si="2"/>
        <v>985000</v>
      </c>
      <c r="F5" s="115">
        <f t="shared" si="2"/>
        <v>1225000</v>
      </c>
      <c r="G5" s="115">
        <f t="shared" si="2"/>
        <v>1465000</v>
      </c>
      <c r="H5" s="115">
        <f t="shared" si="2"/>
        <v>1855000</v>
      </c>
      <c r="I5" s="115">
        <f t="shared" si="2"/>
        <v>2071000</v>
      </c>
      <c r="J5" s="115">
        <f t="shared" si="2"/>
        <v>2287000</v>
      </c>
      <c r="K5" s="115">
        <f t="shared" si="2"/>
        <v>2764000</v>
      </c>
      <c r="L5" s="115">
        <f t="shared" si="2"/>
        <v>3028000</v>
      </c>
      <c r="M5" s="115">
        <f t="shared" si="2"/>
        <v>3292000</v>
      </c>
      <c r="N5" s="115">
        <f t="shared" si="2"/>
        <v>3790000</v>
      </c>
      <c r="O5" s="115">
        <f t="shared" si="2"/>
        <v>4065000</v>
      </c>
      <c r="P5" s="115">
        <f t="shared" si="2"/>
        <v>4563000</v>
      </c>
      <c r="Q5" s="115">
        <f t="shared" si="2"/>
        <v>4793000</v>
      </c>
      <c r="R5" s="115">
        <f t="shared" si="2"/>
        <v>5228000</v>
      </c>
      <c r="S5" s="115">
        <f t="shared" si="2"/>
        <v>5663000</v>
      </c>
      <c r="T5" s="115">
        <f t="shared" si="2"/>
        <v>5893000</v>
      </c>
      <c r="U5" s="115">
        <f t="shared" si="2"/>
        <v>6328000</v>
      </c>
      <c r="V5" s="115">
        <f>V13+U5</f>
        <v>7080000</v>
      </c>
      <c r="W5" s="115">
        <f t="shared" ref="W5:AK5" si="3">V13+V5</f>
        <v>7832000</v>
      </c>
      <c r="X5" s="115">
        <f t="shared" si="3"/>
        <v>8339000</v>
      </c>
      <c r="Y5" s="115">
        <f t="shared" si="3"/>
        <v>8617000</v>
      </c>
      <c r="Z5" s="115">
        <f t="shared" si="3"/>
        <v>9145000</v>
      </c>
      <c r="AA5" s="115">
        <f t="shared" si="3"/>
        <v>9673000</v>
      </c>
      <c r="AB5" s="115">
        <f t="shared" si="3"/>
        <v>9982000</v>
      </c>
      <c r="AC5" s="115">
        <f t="shared" si="3"/>
        <v>10468000</v>
      </c>
      <c r="AD5" s="115">
        <f t="shared" si="3"/>
        <v>10954000</v>
      </c>
      <c r="AE5" s="115">
        <f t="shared" si="3"/>
        <v>11678000</v>
      </c>
      <c r="AF5" s="115">
        <f t="shared" si="3"/>
        <v>12402000</v>
      </c>
      <c r="AG5" s="115">
        <f t="shared" si="3"/>
        <v>12888000</v>
      </c>
      <c r="AH5" s="115">
        <f t="shared" si="3"/>
        <v>13156000</v>
      </c>
      <c r="AI5" s="115">
        <f t="shared" si="3"/>
        <v>13693000</v>
      </c>
      <c r="AJ5" s="115">
        <f t="shared" si="3"/>
        <v>14230000</v>
      </c>
      <c r="AK5" s="115">
        <f t="shared" si="3"/>
        <v>14525000</v>
      </c>
      <c r="AL5" s="115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</row>
    <row r="6" spans="1:65" ht="13.2" x14ac:dyDescent="0.25">
      <c r="A6" s="57" t="s">
        <v>218</v>
      </c>
      <c r="B6" s="3">
        <v>0</v>
      </c>
      <c r="C6" s="112">
        <f>(B6+B10*Предпосылки!$D$122)/(1+Предпосылки!$D$172/12)^(C$2-1)</f>
        <v>79234.070650379654</v>
      </c>
      <c r="D6" s="112">
        <f>(C6+C10*Предпосылки!$D$122)/(1+Предпосылки!$D$172/12)^(D$2-1)</f>
        <v>156199.61543240002</v>
      </c>
      <c r="E6" s="112">
        <f>(D6+D10*Предпосылки!$D$122)/(1+Предпосылки!$D$172/12)^(E$2-1)</f>
        <v>292631.01736768748</v>
      </c>
      <c r="F6" s="112">
        <f>(E6+E10*Предпосылки!$D$122)/(1+Предпосылки!$D$172/12)^(F$2-1)</f>
        <v>348941.70110658265</v>
      </c>
      <c r="G6" s="112">
        <f>(F6+F10*Предпосылки!$D$122)/(1+Предпосылки!$D$172/12)^(G$2-1)</f>
        <v>399267.07552547398</v>
      </c>
      <c r="H6" s="112">
        <f>(G6+G10*Предпосылки!$D$122)/(1+Предпосылки!$D$172/12)^(H$2-1)</f>
        <v>499581.9820559799</v>
      </c>
      <c r="I6" s="112">
        <f>(H6+H10*Предпосылки!$D$122)/(1+Предпосылки!$D$172/12)^(I$2-1)</f>
        <v>525944.22221419448</v>
      </c>
      <c r="J6" s="112">
        <f>(I6+I10*Предпосылки!$D$122)/(1+Предпосылки!$D$172/12)^(J$2-1)</f>
        <v>545318.23027941107</v>
      </c>
      <c r="K6" s="112">
        <f>(J6+J10*Предпосылки!$D$122)/(1+Предпосылки!$D$172/12)^(K$2-1)</f>
        <v>645902.19750930357</v>
      </c>
      <c r="L6" s="112">
        <f>(K6+K10*Предпосылки!$D$122)/(1+Предпосылки!$D$172/12)^(L$2-1)</f>
        <v>656597.70257154375</v>
      </c>
      <c r="M6" s="112">
        <f>(L6+L10*Предпосылки!$D$122)/(1+Предпосылки!$D$172/12)^(M$2-1)</f>
        <v>659932.86626876926</v>
      </c>
      <c r="N6" s="112">
        <f>(M6+M10*Предпосылки!$D$122)/(1+Предпосылки!$D$172/12)^(N$2-1)</f>
        <v>735882.58443922806</v>
      </c>
      <c r="O6" s="112">
        <f>(N10*Предпосылки!$D$122)/(1+Предпосылки!$D$92/12)^(O$2-1)</f>
        <v>80000</v>
      </c>
      <c r="P6" s="112">
        <f>(O10*Предпосылки!$D$122)/(1+Предпосылки!$D$92/12)^(P$2-1)</f>
        <v>166000</v>
      </c>
      <c r="Q6" s="112">
        <f>(P10*Предпосылки!$D$122)/(1+Предпосылки!$D$92/12)^(Q$2-1)</f>
        <v>70000</v>
      </c>
      <c r="R6" s="112">
        <f>(Q10*Предпосылки!$D$122)/(1+Предпосылки!$D$92/12)^(R$2-1)</f>
        <v>145000</v>
      </c>
      <c r="S6" s="112">
        <f>(R10*Предпосылки!$D$122)/(1+Предпосылки!$D$92/12)^(S$2-1)</f>
        <v>145000</v>
      </c>
      <c r="T6" s="112">
        <f>(S10*Предпосылки!$D$122)/(1+Предпосылки!$D$92/12)^(T$2-1)</f>
        <v>70000</v>
      </c>
      <c r="U6" s="112">
        <f>(T10*Предпосылки!$D$122)/(1+Предпосылки!$D$92/12)^(U$2-1)</f>
        <v>145000</v>
      </c>
      <c r="V6" s="112">
        <f>(U6+U10*Предпосылки!$D$122)/(1+Предпосылки!$D$173/12)^(U$2-1)</f>
        <v>256007.7005019325</v>
      </c>
      <c r="W6" s="112">
        <f>(V6+V10*Предпосылки!$D$122)/(1+Предпосылки!$D$173/12)^(C$2-1)</f>
        <v>491770.21326460718</v>
      </c>
      <c r="X6" s="112">
        <f>(W6+W10*Предпосылки!$D$122)/(1+Предпосылки!$D$173/12)^(D$2-1)</f>
        <v>652155.23804122664</v>
      </c>
      <c r="Y6" s="112">
        <f>(X6+X10*Предпосылки!$D$122)/(1+Предпосылки!$D$173/12)^(E$2-1)</f>
        <v>718864.00160421175</v>
      </c>
      <c r="Z6" s="112">
        <f>(Y6+Y10*Предпосылки!$D$122)/(1+Предпосылки!$D$173/12)^(F$2-1)</f>
        <v>871682.03780917474</v>
      </c>
      <c r="AA6" s="112">
        <f>(Z10*Предпосылки!$D$122)/(1+Предпосылки!$D$174/12)^(G$2-1)</f>
        <v>170955.29138537752</v>
      </c>
      <c r="AB6" s="112">
        <f>(AA6+AA10*Предпосылки!$D$122)/(1+Предпосылки!$D$174/12)^(H$2-1)</f>
        <v>252005.46740986279</v>
      </c>
      <c r="AC6" s="112">
        <f>(AB6+AB10*Предпосылки!$D$122)/(1+Предпосылки!$D$174/12)^(I$2-1)</f>
        <v>397487.89579161641</v>
      </c>
      <c r="AD6" s="112">
        <f>(AC6+AC10*Предпосылки!$D$122)/(1+Предпосылки!$D$174/12)^(J$2-1)</f>
        <v>534050.71746293863</v>
      </c>
      <c r="AE6" s="112">
        <f>(AD6+AD10*Предпосылки!$D$122)/(1+Предпосылки!$D$174/12)^(K$2-1)</f>
        <v>725083.41483705794</v>
      </c>
      <c r="AF6" s="112">
        <f>(AE6+AE10*Предпосылки!$D$122)/(1+Предпосылки!$D$174/12)^(L$2-1)</f>
        <v>901116.75123531348</v>
      </c>
      <c r="AG6" s="112">
        <f>(AF6+AF10*Предпосылки!$D$122)/(1+Предпосылки!$D$174/12)^(M$2-1)</f>
        <v>997228.53424481605</v>
      </c>
      <c r="AH6" s="112">
        <f>(AG6+AG10*Предпосылки!$D$122)/(1+Предпосылки!$D$174/12)^(N$2-1)</f>
        <v>1002740.3530453567</v>
      </c>
      <c r="AI6" s="112">
        <f>(AH6+AH10*Предпосылки!$D$122)/(1+Предпосылки!$D$174/12)^(O$2-1)</f>
        <v>1095680.047234006</v>
      </c>
      <c r="AJ6" s="112">
        <f>(AI6+AI10*Предпосылки!$D$122)/(1+Предпосылки!$D$174/12)^(P$2-1)</f>
        <v>1174997.2524733131</v>
      </c>
      <c r="AK6" s="112">
        <f>(AJ6+AJ10*Предпосылки!$D$122)/(1+Предпосылки!$D$174/12)^(Q$2-1)</f>
        <v>1155643.2303039005</v>
      </c>
      <c r="AL6" s="112">
        <f>(AK6+AK10*Предпосылки!$D$122)/(1+Предпосылки!$D$174/12)^(R$2-1)</f>
        <v>1223331.7337134848</v>
      </c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</row>
    <row r="7" spans="1:65" ht="13.2" x14ac:dyDescent="0.25">
      <c r="A7" s="57" t="s">
        <v>219</v>
      </c>
      <c r="B7" s="3">
        <v>0</v>
      </c>
      <c r="C7" s="112">
        <f>(B7+B11*Предпосылки!$D$122)/(1+Предпосылки!$D$172/12)^(C$2-1)</f>
        <v>79234.070650379654</v>
      </c>
      <c r="D7" s="112">
        <f>(C7+C11*Предпосылки!$D$122)/(1+Предпосылки!$D$172/12)^(D$2-1)</f>
        <v>156199.61543240002</v>
      </c>
      <c r="E7" s="112">
        <f>(D7+D11*Предпосылки!$D$122)/(1+Предпосылки!$D$172/12)^(E$2-1)</f>
        <v>292631.01736768748</v>
      </c>
      <c r="F7" s="112">
        <f>(E7+E11*Предпосылки!$D$122)/(1+Предпосылки!$D$172/12)^(F$2-1)</f>
        <v>348941.70110658265</v>
      </c>
      <c r="G7" s="112">
        <f>(F7+F11*Предпосылки!$D$122)/(1+Предпосылки!$D$172/12)^(G$2-1)</f>
        <v>399267.07552547398</v>
      </c>
      <c r="H7" s="112">
        <f>(G7+G11*Предпосылки!$D$122)/(1+Предпосылки!$D$172/12)^(H$2-1)</f>
        <v>499581.9820559799</v>
      </c>
      <c r="I7" s="112">
        <f>(H7+H11*Предпосылки!$D$122)/(1+Предпосылки!$D$172/12)^(I$2-1)</f>
        <v>525944.22221419448</v>
      </c>
      <c r="J7" s="112">
        <f>(I7+I11*Предпосылки!$D$122)/(1+Предпосылки!$D$172/12)^(J$2-1)</f>
        <v>545318.23027941107</v>
      </c>
      <c r="K7" s="112">
        <f>(J7+J11*Предпосылки!$D$122)/(1+Предпосылки!$D$172/12)^(K$2-1)</f>
        <v>645902.19750930357</v>
      </c>
      <c r="L7" s="112">
        <f>(K7+K11*Предпосылки!$D$122)/(1+Предпосылки!$D$172/12)^(L$2-1)</f>
        <v>656597.70257154375</v>
      </c>
      <c r="M7" s="112">
        <f>(L7+L11*Предпосылки!$D$122)/(1+Предпосылки!$D$172/12)^(M$2-1)</f>
        <v>659932.86626876926</v>
      </c>
      <c r="N7" s="112">
        <f>(M7+M11*Предпосылки!$D$122)/(1+Предпосылки!$D$172/12)^(N$2-1)</f>
        <v>735882.58443922806</v>
      </c>
      <c r="O7" s="112">
        <f>(N11*Предпосылки!$D$122)/(1+Предпосылки!$D$173/12)^(O$2-1)</f>
        <v>73458.732269518194</v>
      </c>
      <c r="P7" s="112">
        <f>(O11*Предпосылки!$D$122)/(1+Предпосылки!$D$173/12)^(P$2-1)</f>
        <v>151429.95558498244</v>
      </c>
      <c r="Q7" s="112">
        <f>(P11*Предпосылки!$D$122)/(1+Предпосылки!$D$173/12)^(Q$2-1)</f>
        <v>63438.369435047207</v>
      </c>
      <c r="R7" s="112">
        <f>(Q11*Предпосылки!$D$122)/(1+Предпосылки!$D$173/12)^(R$2-1)</f>
        <v>130548.60598320834</v>
      </c>
      <c r="S7" s="112">
        <f>(R11*Предпосылки!$D$122)/(1+Предпосылки!$D$173/12)^(S$2-1)</f>
        <v>129694.78200169718</v>
      </c>
      <c r="T7" s="112">
        <f>(S11*Предпосылки!$D$122)/(1+Предпосылки!$D$173/12)^(T$2-1)</f>
        <v>62201.779024539952</v>
      </c>
      <c r="U7" s="112">
        <f>(T11*Предпосылки!$D$122)/(1+Предпосылки!$D$173/12)^(U$2-1)</f>
        <v>128003.85025096625</v>
      </c>
      <c r="V7" s="112">
        <f>(U7+U11*Предпосылки!$D$122)/(1+Предпосылки!$D$173/12)^(U$2-1)</f>
        <v>241003.75148594414</v>
      </c>
      <c r="W7" s="112">
        <f>(V7+V11*Предпосылки!$D$122)/(1+Предпосылки!$D$173/12)^(C$2-1)</f>
        <v>476864.39422396966</v>
      </c>
      <c r="X7" s="112">
        <f>(W7+W11*Предпосылки!$D$122)/(1+Предпосылки!$D$173/12)^(D$2-1)</f>
        <v>637443.75775730284</v>
      </c>
      <c r="Y7" s="112">
        <f>(X7+X11*Предпосылки!$D$122)/(1+Предпосылки!$D$173/12)^(E$2-1)</f>
        <v>704439.28902263404</v>
      </c>
      <c r="Z7" s="112">
        <f>(Y7+Y11*Предпосылки!$D$122)/(1+Предпосылки!$D$173/12)^(F$2-1)</f>
        <v>857631.00565749535</v>
      </c>
      <c r="AA7" s="112">
        <f>(Z11*Предпосылки!$D$122)/(1+Предпосылки!$D$174/12)^(G$2-1)</f>
        <v>170955.29138537752</v>
      </c>
      <c r="AB7" s="112">
        <f>AA7+(AA11*Предпосылки!$D$122)/(1+Предпосылки!$D$174/12)^(H$2-1)</f>
        <v>257868.61644761282</v>
      </c>
      <c r="AC7" s="112">
        <f>AB7+(AB11*Предпосылки!$D$122)/(1+Предпосылки!$D$174/12)^(I$2-1)</f>
        <v>413405.30421433051</v>
      </c>
      <c r="AD7" s="112">
        <f>AC7+(AC11*Предпосылки!$D$122)/(1+Предпосылки!$D$174/12)^(J$2-1)</f>
        <v>568039.9565093274</v>
      </c>
      <c r="AE7" s="112">
        <f>AD7+(AD11*Предпосылки!$D$122)/(1+Предпосылки!$D$174/12)^(K$2-1)</f>
        <v>786309.74096327985</v>
      </c>
      <c r="AF7" s="112">
        <f>AE7+(AE11*Предпосылки!$D$122)/(1+Предпосылки!$D$174/12)^(L$2-1)</f>
        <v>1003313.6691693634</v>
      </c>
      <c r="AG7" s="112">
        <f>AF7+(AF11*Предпосылки!$D$122)/(1+Предпосылки!$D$174/12)^(M$2-1)</f>
        <v>1155273.4820120661</v>
      </c>
      <c r="AH7" s="112">
        <f>AG7+(AG11*Предпосылки!$D$122)/(1+Предпосылки!$D$174/12)^(N$2-1)</f>
        <v>1228014.9923482579</v>
      </c>
      <c r="AI7" s="112">
        <f>AH7+(AH11*Предпосылки!$D$122)/(1+Предпосылки!$D$174/12)^(O$2-1)</f>
        <v>1393979.3075630735</v>
      </c>
      <c r="AJ7" s="112">
        <f>AI7+(AI11*Предпосылки!$D$122)/(1+Предпосылки!$D$174/12)^(P$2-1)</f>
        <v>1558981.1122505455</v>
      </c>
      <c r="AK7" s="112">
        <f>AJ7+(AJ11*Предпосылки!$D$122)/(1+Предпосылки!$D$174/12)^(Q$2-1)</f>
        <v>1637795.9689928594</v>
      </c>
      <c r="AL7" s="112">
        <f>AK7+(AK11*Предпосылки!$D$122)/(1+Предпосылки!$D$174/12)^(R$2-1)</f>
        <v>1808178.5613607829</v>
      </c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2"/>
      <c r="BF7" s="112"/>
      <c r="BG7" s="112"/>
      <c r="BH7" s="112"/>
      <c r="BI7" s="112"/>
      <c r="BJ7" s="112"/>
      <c r="BK7" s="112"/>
      <c r="BL7" s="112"/>
      <c r="BM7" s="112"/>
    </row>
    <row r="8" spans="1:65" ht="13.2" x14ac:dyDescent="0.25">
      <c r="A8" s="57" t="s">
        <v>220</v>
      </c>
      <c r="B8" s="113">
        <v>0</v>
      </c>
      <c r="C8" s="115">
        <f>(B8+B12*Предпосылки!$D$122)/(1+Предпосылки!$D$172/12)^(C$2-1)</f>
        <v>113898.97655992076</v>
      </c>
      <c r="D8" s="115">
        <f>(C8+C12*Предпосылки!$D$122)/(1+Предпосылки!$D$172/12)^(D$2-1)</f>
        <v>224536.94718407508</v>
      </c>
      <c r="E8" s="115">
        <f>(D8+D12*Предпосылки!$D$122)/(1+Предпосылки!$D$172/12)^(E$2-1)</f>
        <v>359024.27250507334</v>
      </c>
      <c r="F8" s="115">
        <f>(E8+E12*Предпосылки!$D$122)/(1+Предпосылки!$D$172/12)^(F$2-1)</f>
        <v>441696.112097123</v>
      </c>
      <c r="G8" s="115">
        <f>(F8+F12*Предпосылки!$D$122)/(1+Предпосылки!$D$172/12)^(G$2-1)</f>
        <v>516256.61023778969</v>
      </c>
      <c r="H8" s="115">
        <f>(G8+G12*Предпосылки!$D$122)/(1+Предпосылки!$D$172/12)^(H$2-1)</f>
        <v>610009.9046191934</v>
      </c>
      <c r="I8" s="115">
        <f>(H8+H12*Предпосылки!$D$122)/(1+Предпосылки!$D$172/12)^(I$2-1)</f>
        <v>654422.24701490649</v>
      </c>
      <c r="J8" s="115">
        <f>(I8+I12*Предпосылки!$D$122)/(1+Предпосылки!$D$172/12)^(J$2-1)</f>
        <v>689279.23394272069</v>
      </c>
      <c r="K8" s="115">
        <f>(J8+J12*Предпосылки!$D$122)/(1+Предпосылки!$D$172/12)^(K$2-1)</f>
        <v>777923.10031184566</v>
      </c>
      <c r="L8" s="115">
        <f>(K8+K12*Предпосылки!$D$122)/(1+Предпосылки!$D$172/12)^(L$2-1)</f>
        <v>806482.90976796625</v>
      </c>
      <c r="M8" s="115">
        <f>(L8+L12*Предпосылки!$D$122)/(1+Предпосылки!$D$172/12)^(M$2-1)</f>
        <v>824453.50007149356</v>
      </c>
      <c r="N8" s="115">
        <f>(M8+M12*Предпосылки!$D$122)/(1+Предпосылки!$D$172/12)^(N$2-1)</f>
        <v>882465.76830411563</v>
      </c>
      <c r="O8" s="115">
        <f>(N12*Предпосылки!$D$122)/(1+Предпосылки!$D$173/12)^(O$2-1)</f>
        <v>105596.9276374324</v>
      </c>
      <c r="P8" s="115">
        <f>(O12*Предпосылки!$D$122)/(1+Предпосылки!$D$173/12)^(P$2-1)</f>
        <v>151429.95558498244</v>
      </c>
      <c r="Q8" s="115">
        <f>(P12*Предпосылки!$D$122)/(1+Предпосылки!$D$173/12)^(Q$2-1)</f>
        <v>81563.617845060697</v>
      </c>
      <c r="R8" s="115">
        <f>(Q12*Предпосылки!$D$122)/(1+Предпосылки!$D$173/12)^(R$2-1)</f>
        <v>130548.60598320834</v>
      </c>
      <c r="S8" s="115">
        <f>(R12*Предпосылки!$D$122)/(1+Предпосылки!$D$173/12)^(S$2-1)</f>
        <v>129694.78200169718</v>
      </c>
      <c r="T8" s="115">
        <f>(S12*Предпосылки!$D$122)/(1+Предпосылки!$D$173/12)^(T$2-1)</f>
        <v>79973.715888694234</v>
      </c>
      <c r="U8" s="115">
        <f>(T12*Предпосылки!$D$122)/(1+Предпосылки!$D$173/12)^(U$2-1)</f>
        <v>128003.85025096625</v>
      </c>
      <c r="V8" s="115">
        <f>(U8+U12*Предпосылки!$D$122)/(1+Предпосылки!$D$173/12)^(U$2-1)</f>
        <v>241003.75148594414</v>
      </c>
      <c r="W8" s="115">
        <f>(V8+V12*Предпосылки!$D$122)/(1+Предпосылки!$D$173/12)^(C$2-1)</f>
        <v>511635.4845460162</v>
      </c>
      <c r="X8" s="115">
        <f>(W8+W12*Предпосылки!$D$122)/(1+Предпосылки!$D$173/12)^(D$2-1)</f>
        <v>671761.51032955223</v>
      </c>
      <c r="Y8" s="115">
        <f>(X8+X12*Предпосылки!$D$122)/(1+Предпосылки!$D$173/12)^(E$2-1)</f>
        <v>772405.84564088704</v>
      </c>
      <c r="Z8" s="115">
        <f>(Y8+Y12*Предпосылки!$D$122)/(1+Предпосылки!$D$173/12)^(F$2-1)</f>
        <v>923836.84975186409</v>
      </c>
      <c r="AA8" s="115">
        <f>(Z12*Предпосылки!$D$122)/(1+Предпосылки!$D$174/12)^(G$2-1)</f>
        <v>170955.29138537752</v>
      </c>
      <c r="AB8" s="115">
        <f>AA8+(AA12*Предпосылки!$D$122)/(1+Предпосылки!$D$174/12)^(H$2-1)</f>
        <v>295531.05730791483</v>
      </c>
      <c r="AC8" s="115">
        <f>AB8+(AB12*Предпосылки!$D$122)/(1+Предпосылки!$D$174/12)^(I$2-1)</f>
        <v>451067.74507463258</v>
      </c>
      <c r="AD8" s="115">
        <f>AC8+(AC12*Предпосылки!$D$122)/(1+Предпосылки!$D$174/12)^(J$2-1)</f>
        <v>605702.39736962947</v>
      </c>
      <c r="AE8" s="115">
        <f>AD8+(AD12*Предпосылки!$D$122)/(1+Предпосылки!$D$174/12)^(K$2-1)</f>
        <v>856238.14996025315</v>
      </c>
      <c r="AF8" s="115">
        <f>AE8+(AE12*Предпосылки!$D$122)/(1+Предпосылки!$D$174/12)^(L$2-1)</f>
        <v>1105320.919727236</v>
      </c>
      <c r="AG8" s="115">
        <f>AF8+(AF12*Предпосылки!$D$122)/(1+Предпосылки!$D$174/12)^(M$2-1)</f>
        <v>1257280.7325699385</v>
      </c>
      <c r="AH8" s="115">
        <f>AG8+(AG12*Предпосылки!$D$122)/(1+Предпосылки!$D$174/12)^(N$2-1)</f>
        <v>1361730.0807449834</v>
      </c>
      <c r="AI8" s="115">
        <f>AH8+(AH12*Предпосылки!$D$122)/(1+Предпосылки!$D$174/12)^(O$2-1)</f>
        <v>1527694.3959597989</v>
      </c>
      <c r="AJ8" s="115">
        <f>AI8+(AI12*Предпосылки!$D$122)/(1+Предпосылки!$D$174/12)^(P$2-1)</f>
        <v>1692696.200647271</v>
      </c>
      <c r="AK8" s="115">
        <f>AJ8+(AJ12*Предпосылки!$D$122)/(1+Предпосылки!$D$174/12)^(Q$2-1)</f>
        <v>1805419.7748252314</v>
      </c>
      <c r="AL8" s="115">
        <f>AK8+(AK12*Предпосылки!$D$122)/(1+Предпосылки!$D$174/12)^(R$2-1)</f>
        <v>1975802.367193155</v>
      </c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</row>
    <row r="9" spans="1:65" ht="13.2" x14ac:dyDescent="0.25">
      <c r="A9" s="108" t="s">
        <v>221</v>
      </c>
      <c r="B9" s="113">
        <f t="shared" ref="B9:AK9" si="4">SUM(B10:B12)</f>
        <v>275</v>
      </c>
      <c r="C9" s="113">
        <f t="shared" si="4"/>
        <v>275</v>
      </c>
      <c r="D9" s="113">
        <f t="shared" si="4"/>
        <v>435</v>
      </c>
      <c r="E9" s="113">
        <f t="shared" si="4"/>
        <v>240</v>
      </c>
      <c r="F9" s="113">
        <f t="shared" si="4"/>
        <v>240</v>
      </c>
      <c r="G9" s="113">
        <f t="shared" si="4"/>
        <v>390</v>
      </c>
      <c r="H9" s="113">
        <f t="shared" si="4"/>
        <v>216</v>
      </c>
      <c r="I9" s="113">
        <f t="shared" si="4"/>
        <v>216</v>
      </c>
      <c r="J9" s="113">
        <f t="shared" si="4"/>
        <v>477</v>
      </c>
      <c r="K9" s="113">
        <f t="shared" si="4"/>
        <v>264</v>
      </c>
      <c r="L9" s="113">
        <f t="shared" si="4"/>
        <v>264</v>
      </c>
      <c r="M9" s="113">
        <f t="shared" si="4"/>
        <v>498</v>
      </c>
      <c r="N9" s="113">
        <f t="shared" si="4"/>
        <v>275</v>
      </c>
      <c r="O9" s="113">
        <f t="shared" si="4"/>
        <v>498</v>
      </c>
      <c r="P9" s="113">
        <f t="shared" si="4"/>
        <v>230</v>
      </c>
      <c r="Q9" s="113">
        <f t="shared" si="4"/>
        <v>435</v>
      </c>
      <c r="R9" s="113">
        <f t="shared" si="4"/>
        <v>435</v>
      </c>
      <c r="S9" s="113">
        <f t="shared" si="4"/>
        <v>230</v>
      </c>
      <c r="T9" s="113">
        <f t="shared" si="4"/>
        <v>435</v>
      </c>
      <c r="U9" s="113">
        <f t="shared" si="4"/>
        <v>435</v>
      </c>
      <c r="V9" s="113">
        <f t="shared" si="4"/>
        <v>752</v>
      </c>
      <c r="W9" s="113">
        <f t="shared" si="4"/>
        <v>507</v>
      </c>
      <c r="X9" s="113">
        <f t="shared" si="4"/>
        <v>278</v>
      </c>
      <c r="Y9" s="113">
        <f t="shared" si="4"/>
        <v>528</v>
      </c>
      <c r="Z9" s="113">
        <f t="shared" si="4"/>
        <v>528</v>
      </c>
      <c r="AA9" s="113">
        <f t="shared" si="4"/>
        <v>309</v>
      </c>
      <c r="AB9" s="113">
        <f t="shared" si="4"/>
        <v>486</v>
      </c>
      <c r="AC9" s="113">
        <f t="shared" si="4"/>
        <v>486</v>
      </c>
      <c r="AD9" s="113">
        <f t="shared" si="4"/>
        <v>724</v>
      </c>
      <c r="AE9" s="113">
        <f t="shared" si="4"/>
        <v>724</v>
      </c>
      <c r="AF9" s="113">
        <f t="shared" si="4"/>
        <v>486</v>
      </c>
      <c r="AG9" s="113">
        <f t="shared" si="4"/>
        <v>268</v>
      </c>
      <c r="AH9" s="113">
        <f t="shared" si="4"/>
        <v>537</v>
      </c>
      <c r="AI9" s="113">
        <f t="shared" si="4"/>
        <v>537</v>
      </c>
      <c r="AJ9" s="113">
        <f t="shared" si="4"/>
        <v>295</v>
      </c>
      <c r="AK9" s="113">
        <f t="shared" si="4"/>
        <v>561</v>
      </c>
      <c r="AL9" s="113"/>
    </row>
    <row r="10" spans="1:65" ht="13.2" x14ac:dyDescent="0.25">
      <c r="A10" s="108" t="s">
        <v>222</v>
      </c>
      <c r="B10" s="3">
        <f>ROUNDDOWN(B3*IF(COUNT(B22:B26)&gt;0,Предпосылки!$B$150,IF(COUNT(B22:B26)&gt;3,Предпосылки!$B$151,Предпосылки!$B$149))*Предпосылки!$E$122,0)</f>
        <v>80</v>
      </c>
      <c r="C10" s="3">
        <f>ROUNDDOWN(C3*IF(COUNT(C22:C26)&gt;0,Предпосылки!$B$150,IF(COUNT(C22:C26)&gt;3,Предпосылки!$B$151,Предпосылки!$B$149))*Предпосылки!$E$122,0)</f>
        <v>80</v>
      </c>
      <c r="D10" s="3">
        <f>ROUNDDOWN(D3*IF(COUNT(D22:D26)&gt;0,Предпосылки!$B$150,IF(COUNT(D22:D26)&gt;3,Предпосылки!$B$151,Предпосылки!$B$149))*Предпосылки!$E$122,0)</f>
        <v>145</v>
      </c>
      <c r="E10" s="3">
        <f>ROUNDDOWN(E3*IF(COUNT(E22:E26)&gt;0,Предпосылки!$B$150,IF(COUNT(E22:E26)&gt;3,Предпосылки!$B$151,Предпосылки!$B$149))*Предпосылки!$E$122,0)</f>
        <v>70</v>
      </c>
      <c r="F10" s="3">
        <f>ROUNDDOWN(F3*IF(COUNT(F22:F26)&gt;0,Предпосылки!$B$150,IF(COUNT(F22:F26)&gt;3,Предпосылки!$B$151,Предпосылки!$B$149))*Предпосылки!$E$122,0)</f>
        <v>70</v>
      </c>
      <c r="G10" s="3">
        <f>ROUNDDOWN(G3*IF(COUNT(G22:G26)&gt;0,Предпосылки!$B$150,IF(COUNT(G22:G26)&gt;3,Предпосылки!$B$151,Предпосылки!$B$149))*Предпосылки!$E$122,0)</f>
        <v>130</v>
      </c>
      <c r="H10" s="3">
        <f>ROUNDDOWN(H3*IF(COUNT(H22:H26)&gt;0,Предпосылки!$B$150,IF(COUNT(H22:H26)&gt;3,Предпосылки!$B$151,Предпосылки!$B$149))*Предпосылки!$E$122,0)</f>
        <v>63</v>
      </c>
      <c r="I10" s="3">
        <f>ROUNDDOWN(I3*IF(COUNT(I22:I26)&gt;0,Предпосылки!$B$150,IF(COUNT(I22:I26)&gt;3,Предпосылки!$B$151,Предпосылки!$B$149))*Предпосылки!$E$122,0)</f>
        <v>63</v>
      </c>
      <c r="J10" s="3">
        <f>ROUNDDOWN(J3*IF(COUNT(J22:J26)&gt;0,Предпосылки!$B$150,IF(COUNT(J22:J26)&gt;3,Предпосылки!$B$151,Предпосылки!$B$149))*Предпосылки!$E$122,0)</f>
        <v>159</v>
      </c>
      <c r="K10" s="3">
        <f>ROUNDDOWN(K3*IF(COUNT(K22:K26)&gt;0,Предпосылки!$B$150,IF(COUNT(K22:K26)&gt;3,Предпосылки!$B$151,Предпосылки!$B$149))*Предпосылки!$E$122,0)</f>
        <v>77</v>
      </c>
      <c r="L10" s="3">
        <f>ROUNDDOWN(L3*IF(COUNT(L22:L26)&gt;0,Предпосылки!$B$150,IF(COUNT(L22:L26)&gt;3,Предпосылки!$B$151,Предпосылки!$B$149))*Предпосылки!$E$122,0)</f>
        <v>77</v>
      </c>
      <c r="M10" s="3">
        <f>ROUNDDOWN(M3*IF(COUNT(M22:M26)&gt;0,Предпосылки!$B$150,IF(COUNT(M22:M26)&gt;3,Предпосылки!$B$151,Предпосылки!$B$149))*Предпосылки!$E$122,0)</f>
        <v>166</v>
      </c>
      <c r="N10" s="3">
        <f>ROUNDDOWN(N3*IF(COUNT(N22:N26)&gt;0,Предпосылки!$B$150,IF(COUNT(N22:N26)&gt;3,Предпосылки!$B$151,Предпосылки!$B$149))*Предпосылки!$E$122,0)</f>
        <v>80</v>
      </c>
      <c r="O10" s="3">
        <f>ROUNDDOWN(O3*IF(COUNT(O22:O26)&lt;3,Предпосылки!$B$150,IF(COUNT(O22:O26)&gt;3,Предпосылки!$B$151,Предпосылки!$B$149))*Предпосылки!$E$122,0)</f>
        <v>166</v>
      </c>
      <c r="P10" s="3">
        <f>ROUNDDOWN(P3*IF(COUNT(P22:P26)&lt;3,Предпосылки!$B$150,IF(COUNT(P22:P26)&gt;3,Предпосылки!$B$151,Предпосылки!$B$149))*Предпосылки!$E$122,0)</f>
        <v>70</v>
      </c>
      <c r="Q10" s="3">
        <f>ROUNDDOWN(Q3*IF(COUNT(Q22:Q26)&lt;3,Предпосылки!$B$150,IF(COUNT(Q22:Q26)&gt;3,Предпосылки!$B$151,Предпосылки!$B$149))*Предпосылки!$E$122,0)</f>
        <v>145</v>
      </c>
      <c r="R10" s="3">
        <f>ROUNDDOWN(R3*IF(COUNT(R22:R26)&lt;3,Предпосылки!$B$150,IF(COUNT(R22:R26)&gt;3,Предпосылки!$B$151,Предпосылки!$B$149))*Предпосылки!$E$122,0)</f>
        <v>145</v>
      </c>
      <c r="S10" s="3">
        <f>ROUNDDOWN(S3*IF(COUNT(S22:S26)&lt;3,Предпосылки!$B$150,IF(COUNT(S22:S26)&gt;3,Предпосылки!$B$151,Предпосылки!$B$149))*Предпосылки!$E$122,0)</f>
        <v>70</v>
      </c>
      <c r="T10" s="3">
        <f>ROUNDDOWN(T3*IF(COUNT(T22:T26)&lt;3,Предпосылки!$B$150,IF(COUNT(T22:T26)&gt;3,Предпосылки!$B$151,Предпосылки!$B$149))*Предпосылки!$E$122,0)</f>
        <v>145</v>
      </c>
      <c r="U10" s="3">
        <f>ROUNDDOWN(U3*IF(COUNT(U22:U26)&lt;3,Предпосылки!$B$150,IF(COUNT(U22:U26)&gt;3,Предпосылки!$B$151,Предпосылки!$B$149))*Предпосылки!$E$122,0)</f>
        <v>145</v>
      </c>
      <c r="V10" s="3">
        <f>ROUNDDOWN(V3*IF(COUNT(V22:V26)&lt;3,Предпосылки!$B$150,IF(COUNT(V22:V26)&gt;3,Предпосылки!$B$151,Предпосылки!$B$149))*Предпосылки!$E$122*(1+Предпосылки!$B$152),0)</f>
        <v>239</v>
      </c>
      <c r="W10" s="3">
        <f>ROUNDDOWN(W3*IF(COUNT(W22:W26)&lt;3,Предпосылки!$B$150,IF(COUNT(W22:W26)&gt;3,Предпосылки!$B$151,Предпосылки!$B$149))*Предпосылки!$E$122*(1+Предпосылки!$B$152),0)</f>
        <v>169</v>
      </c>
      <c r="X10" s="3">
        <f>ROUNDDOWN(X3*IF(COUNT(X22:X26)&lt;3,Предпосылки!$B$150,IF(COUNT(X22:X26)&gt;3,Предпосылки!$B$151,Предпосылки!$B$149))*Предпосылки!$E$122*(1+Предпосылки!$B$152),0)</f>
        <v>81</v>
      </c>
      <c r="Y10" s="3">
        <f>ROUNDDOWN(Y3*IF(COUNT(Y22:Y26)&lt;3,Предпосылки!$B$150,IF(COUNT(Y22:Y26)&gt;3,Предпосылки!$B$151,Предпосылки!$B$149))*Предпосылки!$E$122*(1+Предпосылки!$B$152),0)</f>
        <v>176</v>
      </c>
      <c r="Z10" s="3">
        <f>ROUNDDOWN(Z3*IF(COUNT(Z22:Z26)&lt;3,Предпосылки!$B$150,IF(COUNT(Z22:Z26)&gt;3,Предпосылки!$B$151,Предпосылки!$B$149))*Предпосылки!$E$122*(1+Предпосылки!$B$152),0)</f>
        <v>176</v>
      </c>
      <c r="AA10" s="3">
        <f>ROUNDDOWN(AA3*IF(COUNT(AA22:AA26)&lt;3,Предпосылки!$B$150,IF(COUNT(AA22:AA26)&gt;3,Предпосылки!$B$151,Предпосылки!$B$149))*Предпосылки!$E$122*(1+Предпосылки!$B$152)^2,0)</f>
        <v>90</v>
      </c>
      <c r="AB10" s="3">
        <f>ROUNDDOWN(AB3*IF(COUNT(AB22:AB26)&lt;3,Предпосылки!$B$150,IF(COUNT(AB22:AB26)&gt;3,Предпосылки!$B$151,Предпосылки!$B$149))*Предпосылки!$E$122*(1+Предпосылки!$B$152)^2,0)</f>
        <v>162</v>
      </c>
      <c r="AC10" s="3">
        <f>ROUNDDOWN(AC3*IF(COUNT(AC22:AC26)&lt;3,Предпосылки!$B$150,IF(COUNT(AC22:AC26)&gt;3,Предпосылки!$B$151,Предпосылки!$B$149))*Предпосылки!$E$122*(1+Предпосылки!$B$152)^2,0)</f>
        <v>162</v>
      </c>
      <c r="AD10" s="3">
        <f>ROUNDDOWN(AD3*IF(COUNT(AD22:AD26)&lt;3,Предпосылки!$B$150,IF(COUNT(AD22:AD26)&gt;3,Предпосылки!$B$151,Предпосылки!$B$149))*Предпосылки!$E$122*(1+Предпосылки!$B$152)^2,0)</f>
        <v>230</v>
      </c>
      <c r="AE10" s="3">
        <f>ROUNDDOWN(AE3*IF(COUNT(AE22:AE26)&lt;3,Предпосылки!$B$150,IF(COUNT(AE22:AE26)&gt;3,Предпосылки!$B$151,Предпосылки!$B$149))*Предпосылки!$E$122*(1+Предпосылки!$B$152)^2,0)</f>
        <v>230</v>
      </c>
      <c r="AF10" s="3">
        <f>ROUNDDOWN(AF3*IF(COUNT(AF22:AF26)&lt;3,Предпосылки!$B$150,IF(COUNT(AF22:AF26)&gt;3,Предпосылки!$B$151,Предпосылки!$B$149))*Предпосылки!$E$122*(1+Предпосылки!$B$152)^2,0)</f>
        <v>162</v>
      </c>
      <c r="AG10" s="3">
        <f>ROUNDDOWN(AG3*IF(COUNT(AG22:AG26)&lt;3,Предпосылки!$B$150,IF(COUNT(AG22:AG26)&gt;3,Предпосылки!$B$151,Предпосылки!$B$149))*Предпосылки!$E$122*(1+Предпосылки!$B$152)^2,0)</f>
        <v>78</v>
      </c>
      <c r="AH10" s="3">
        <f>ROUNDDOWN(AH3*IF(COUNT(AH22:AH26)&lt;3,Предпосылки!$B$150,IF(COUNT(AH22:AH26)&gt;3,Предпосылки!$B$151,Предпосылки!$B$149))*Предпосылки!$E$122*(1+Предпосылки!$B$152)^2,0)</f>
        <v>179</v>
      </c>
      <c r="AI10" s="3">
        <f>ROUNDDOWN(AI3*IF(COUNT(AI22:AI26)&lt;3,Предпосылки!$B$150,IF(COUNT(AI22:AI26)&gt;3,Предпосылки!$B$151,Предпосылки!$B$149))*Предпосылки!$E$122*(1+Предпосылки!$B$152)^2,0)</f>
        <v>179</v>
      </c>
      <c r="AJ10" s="3">
        <f>ROUNDDOWN(AJ3*IF(COUNT(AJ22:AJ26)&lt;3,Предпосылки!$B$150,IF(COUNT(AJ22:AJ26)&gt;3,Предпосылки!$B$151,Предпосылки!$B$149))*Предпосылки!$E$122*(1+Предпосылки!$B$152)^2,0)</f>
        <v>86</v>
      </c>
      <c r="AK10" s="3">
        <f>ROUNDDOWN(AK3*IF(COUNT(AK22:AK26)&lt;3,Предпосылки!$B$150,IF(COUNT(AK22:AK26)&gt;3,Предпосылки!$B$151,Предпосылки!$B$149))*Предпосылки!$E$122*(1+Предпосылки!$B$152)^2,0)</f>
        <v>187</v>
      </c>
      <c r="AL10" s="3">
        <f>ROUNDDOWN(AL3*IF(COUNT(AL22:AL26)&lt;3,Предпосылки!$B$150,IF(COUNT(AL22:AL26)&gt;3,Предпосылки!$B$151,Предпосылки!$B$149))*Предпосылки!$E$122*(1+Предпосылки!$B$152)^2,0)</f>
        <v>0</v>
      </c>
    </row>
    <row r="11" spans="1:65" ht="13.2" x14ac:dyDescent="0.25">
      <c r="A11" s="108" t="s">
        <v>223</v>
      </c>
      <c r="B11" s="3">
        <f>ROUNDDOWN(B3*IF(COUNT(B22:B26)&gt;0,Предпосылки!$B$150,IF(COUNT(B22:B26)&gt;3,Предпосылки!$B$151,Предпосылки!$B$149))*Предпосылки!$E$123,0)</f>
        <v>80</v>
      </c>
      <c r="C11" s="3">
        <f>ROUNDDOWN(C3*IF(COUNT(C22:C26)&gt;0,Предпосылки!$B$150,IF(COUNT(C22:C26)&gt;3,Предпосылки!$B$151,Предпосылки!$B$149))*Предпосылки!$E$123,0)</f>
        <v>80</v>
      </c>
      <c r="D11" s="3">
        <f>ROUNDDOWN(D3*IF(COUNT(D22:D26)&gt;0,Предпосылки!$B$150,IF(COUNT(D22:D26)&gt;3,Предпосылки!$B$151,Предпосылки!$B$149))*Предпосылки!$E$123,0)</f>
        <v>145</v>
      </c>
      <c r="E11" s="3">
        <f>ROUNDDOWN(E3*IF(COUNT(E22:E26)&gt;0,Предпосылки!$B$150,IF(COUNT(E22:E26)&gt;3,Предпосылки!$B$151,Предпосылки!$B$149))*Предпосылки!$E$123,0)</f>
        <v>70</v>
      </c>
      <c r="F11" s="3">
        <f>ROUNDDOWN(F3*IF(COUNT(F22:F26)&gt;0,Предпосылки!$B$150,IF(COUNT(F22:F26)&gt;3,Предпосылки!$B$151,Предпосылки!$B$149))*Предпосылки!$E$123,0)</f>
        <v>70</v>
      </c>
      <c r="G11" s="3">
        <f>ROUNDDOWN(G3*IF(COUNT(G22:G26)&gt;0,Предпосылки!$B$150,IF(COUNT(G22:G26)&gt;3,Предпосылки!$B$151,Предпосылки!$B$149))*Предпосылки!$E$123,0)</f>
        <v>130</v>
      </c>
      <c r="H11" s="3">
        <f>ROUNDDOWN(H3*IF(COUNT(H22:H26)&gt;0,Предпосылки!$B$150,IF(COUNT(H22:H26)&gt;3,Предпосылки!$B$151,Предпосылки!$B$149))*Предпосылки!$E$123,0)</f>
        <v>63</v>
      </c>
      <c r="I11" s="3">
        <f>ROUNDDOWN(I3*IF(COUNT(I22:I26)&gt;0,Предпосылки!$B$150,IF(COUNT(I22:I26)&gt;3,Предпосылки!$B$151,Предпосылки!$B$149))*Предпосылки!$E$123,0)</f>
        <v>63</v>
      </c>
      <c r="J11" s="3">
        <f>ROUNDDOWN(J3*IF(COUNT(J22:J26)&gt;0,Предпосылки!$B$150,IF(COUNT(J22:J26)&gt;3,Предпосылки!$B$151,Предпосылки!$B$149))*Предпосылки!$E$123,0)</f>
        <v>159</v>
      </c>
      <c r="K11" s="3">
        <f>ROUNDDOWN(K3*IF(COUNT(K22:K26)&gt;0,Предпосылки!$B$150,IF(COUNT(K22:K26)&gt;3,Предпосылки!$B$151,Предпосылки!$B$149))*Предпосылки!$E$123,0)</f>
        <v>77</v>
      </c>
      <c r="L11" s="3">
        <f>ROUNDDOWN(L3*IF(COUNT(L22:L26)&gt;0,Предпосылки!$B$150,IF(COUNT(L22:L26)&gt;3,Предпосылки!$B$151,Предпосылки!$B$149))*Предпосылки!$E$123,0)</f>
        <v>77</v>
      </c>
      <c r="M11" s="3">
        <f>ROUNDDOWN(M3*IF(COUNT(M22:M26)&gt;0,Предпосылки!$B$150,IF(COUNT(M22:M26)&gt;3,Предпосылки!$B$151,Предпосылки!$B$149))*Предпосылки!$E$123,0)</f>
        <v>166</v>
      </c>
      <c r="N11" s="3">
        <f>ROUNDDOWN(N3*IF(COUNT(N22:N26)&gt;0,Предпосылки!$B$150,IF(COUNT(N22:N26)&gt;3,Предпосылки!$B$151,Предпосылки!$B$149))*Предпосылки!$E$123,0)</f>
        <v>80</v>
      </c>
      <c r="O11" s="3">
        <f>ROUNDDOWN(O3*IF(COUNT(O22:O26)&lt;3,Предпосылки!$B$150,IF(COUNT(O22:O26)&gt;3,Предпосылки!$B$151,Предпосылки!$B$149))*Предпосылки!$E$123,0)</f>
        <v>166</v>
      </c>
      <c r="P11" s="3">
        <f>ROUNDDOWN(P3*IF(COUNT(P22:P26)&lt;3,Предпосылки!$B$150,IF(COUNT(P22:P26)&gt;3,Предпосылки!$B$151,Предпосылки!$B$149))*Предпосылки!$E$123,0)</f>
        <v>70</v>
      </c>
      <c r="Q11" s="3">
        <f>ROUNDDOWN(Q3*IF(COUNT(Q22:Q26)&lt;3,Предпосылки!$B$150,IF(COUNT(Q22:Q26)&gt;3,Предпосылки!$B$151,Предпосылки!$B$149))*Предпосылки!$E$123,0)</f>
        <v>145</v>
      </c>
      <c r="R11" s="3">
        <f>ROUNDDOWN(R3*IF(COUNT(R22:R26)&lt;3,Предпосылки!$B$150,IF(COUNT(R22:R26)&gt;3,Предпосылки!$B$151,Предпосылки!$B$149))*Предпосылки!$E$123,0)</f>
        <v>145</v>
      </c>
      <c r="S11" s="3">
        <f>ROUNDDOWN(S3*IF(COUNT(S22:S26)&lt;3,Предпосылки!$B$150,IF(COUNT(S22:S26)&gt;3,Предпосылки!$B$151,Предпосылки!$B$149))*Предпосылки!$E$123,0)</f>
        <v>70</v>
      </c>
      <c r="T11" s="3">
        <f>ROUNDDOWN(T3*IF(COUNT(T22:T26)&lt;3,Предпосылки!$B$150,IF(COUNT(T22:T26)&gt;3,Предпосылки!$B$151,Предпосылки!$B$149))*Предпосылки!$E$123,0)</f>
        <v>145</v>
      </c>
      <c r="U11" s="3">
        <f>ROUNDDOWN(U3*IF(COUNT(U22:U26)&lt;3,Предпосылки!$B$150,IF(COUNT(U22:U26)&gt;3,Предпосылки!$B$151,Предпосылки!$B$149))*Предпосылки!$E$123,0)</f>
        <v>145</v>
      </c>
      <c r="V11" s="3">
        <f>ROUNDDOWN(V3*IF(COUNT(V22:V26)&lt;3,Предпосылки!$B$150,IF(COUNT(V22:V26)&gt;3,Предпосылки!$B$151,Предпосылки!$B$149))*Предпосылки!$E$123*(1+Предпосылки!$B$152),0)</f>
        <v>239</v>
      </c>
      <c r="W11" s="3">
        <f>ROUNDDOWN(W3*IF(COUNT(W22:W26)&lt;3,Предпосылки!$B$150,IF(COUNT(W22:W26)&gt;3,Предпосылки!$B$151,Предпосылки!$B$149))*Предпосылки!$E$123*(1+Предпосылки!$B$152),0)</f>
        <v>169</v>
      </c>
      <c r="X11" s="3">
        <f>ROUNDDOWN(X3*IF(COUNT(X22:X26)&lt;3,Предпосылки!$B$150,IF(COUNT(X22:X26)&gt;3,Предпосылки!$B$151,Предпосылки!$B$149))*Предпосылки!$E$123*(1+Предпосылки!$B$152),0)</f>
        <v>81</v>
      </c>
      <c r="Y11" s="3">
        <f>ROUNDDOWN(Y3*IF(COUNT(Y22:Y26)&lt;3,Предпосылки!$B$150,IF(COUNT(Y22:Y26)&gt;3,Предпосылки!$B$151,Предпосылки!$B$149))*Предпосылки!$E$123*(1+Предпосылки!$B$152),0)</f>
        <v>176</v>
      </c>
      <c r="Z11" s="3">
        <f>ROUNDDOWN(Z3*IF(COUNT(Z22:Z26)&lt;3,Предпосылки!$B$150,IF(COUNT(Z22:Z26)&gt;3,Предпосылки!$B$151,Предпосылки!$B$149))*Предпосылки!$E$123*(1+Предпосылки!$B$152),0)</f>
        <v>176</v>
      </c>
      <c r="AA11" s="3">
        <f>ROUNDDOWN(AA3*IF(COUNT(AA22:AA26)&lt;3,Предпосылки!$B$150,IF(COUNT(AA22:AA26)&gt;3,Предпосылки!$B$151,Предпосылки!$B$149))*Предпосылки!$E$123*(1+Предпосылки!$B$152)^2,0)</f>
        <v>90</v>
      </c>
      <c r="AB11" s="3">
        <f>ROUNDDOWN(AB3*IF(COUNT(AB22:AB26)&lt;3,Предпосылки!$B$150,IF(COUNT(AB22:AB26)&gt;3,Предпосылки!$B$151,Предпосылки!$B$149))*Предпосылки!$E$123*(1+Предпосылки!$B$152)^2,0)</f>
        <v>162</v>
      </c>
      <c r="AC11" s="3">
        <f>ROUNDDOWN(AC3*IF(COUNT(AC22:AC26)&lt;3,Предпосылки!$B$150,IF(COUNT(AC22:AC26)&gt;3,Предпосылки!$B$151,Предпосылки!$B$149))*Предпосылки!$E$123*(1+Предпосылки!$B$152)^2,0)</f>
        <v>162</v>
      </c>
      <c r="AD11" s="3">
        <f>ROUNDDOWN(AD3*IF(COUNT(AD22:AD26)&lt;3,Предпосылки!$B$150,IF(COUNT(AD22:AD26)&gt;3,Предпосылки!$B$151,Предпосылки!$B$149))*Предпосылки!$E$123*(1+Предпосылки!$B$152)^2,0)</f>
        <v>230</v>
      </c>
      <c r="AE11" s="3">
        <f>ROUNDDOWN(AE3*IF(COUNT(AE22:AE26)&lt;3,Предпосылки!$B$150,IF(COUNT(AE22:AE26)&gt;3,Предпосылки!$B$151,Предпосылки!$B$149))*Предпосылки!$E$123*(1+Предпосылки!$B$152)^2,0)</f>
        <v>230</v>
      </c>
      <c r="AF11" s="3">
        <f>ROUNDDOWN(AF3*IF(COUNT(AF22:AF26)&lt;3,Предпосылки!$B$150,IF(COUNT(AF22:AF26)&gt;3,Предпосылки!$B$151,Предпосылки!$B$149))*Предпосылки!$E$123*(1+Предпосылки!$B$152)^2,0)</f>
        <v>162</v>
      </c>
      <c r="AG11" s="3">
        <f>ROUNDDOWN(AG3*IF(COUNT(AG22:AG26)&lt;3,Предпосылки!$B$150,IF(COUNT(AG22:AG26)&gt;3,Предпосылки!$B$151,Предпосылки!$B$149))*Предпосылки!$E$123*(1+Предпосылки!$B$152)^2,0)</f>
        <v>78</v>
      </c>
      <c r="AH11" s="3">
        <f>ROUNDDOWN(AH3*IF(COUNT(AH22:AH26)&lt;3,Предпосылки!$B$150,IF(COUNT(AH22:AH26)&gt;3,Предпосылки!$B$151,Предпосылки!$B$149))*Предпосылки!$E$123*(1+Предпосылки!$B$152)^2,0)</f>
        <v>179</v>
      </c>
      <c r="AI11" s="3">
        <f>ROUNDDOWN(AI3*IF(COUNT(AI22:AI26)&lt;3,Предпосылки!$B$150,IF(COUNT(AI22:AI26)&gt;3,Предпосылки!$B$151,Предпосылки!$B$149))*Предпосылки!$E$123*(1+Предпосылки!$B$152)^2,0)</f>
        <v>179</v>
      </c>
      <c r="AJ11" s="3">
        <f>ROUNDDOWN(AJ3*IF(COUNT(AJ22:AJ26)&lt;3,Предпосылки!$B$150,IF(COUNT(AJ22:AJ26)&gt;3,Предпосылки!$B$151,Предпосылки!$B$149))*Предпосылки!$E$123*(1+Предпосылки!$B$152)^2,0)</f>
        <v>86</v>
      </c>
      <c r="AK11" s="3">
        <f>ROUNDDOWN(AK3*IF(COUNT(AK22:AK26)&lt;3,Предпосылки!$B$150,IF(COUNT(AK22:AK26)&gt;3,Предпосылки!$B$151,Предпосылки!$B$149))*Предпосылки!$E$123*(1+Предпосылки!$B$152)^2,0)</f>
        <v>187</v>
      </c>
      <c r="AL11" s="3">
        <f>ROUNDDOWN(AL3*IF(COUNT(AL22:AL26)&lt;3,Предпосылки!$B$150,IF(COUNT(AL22:AL26)&gt;3,Предпосылки!$B$151,Предпосылки!$B$149))*Предпосылки!$E$123*(1+Предпосылки!$B$152)^2,0)</f>
        <v>0</v>
      </c>
    </row>
    <row r="12" spans="1:65" ht="13.2" x14ac:dyDescent="0.25">
      <c r="A12" s="108" t="s">
        <v>224</v>
      </c>
      <c r="B12" s="113">
        <f>ROUNDDOWN(B3*IF(COUNT(B22:B26)&gt;0,Предпосылки!$B$150,(IF(COUNT(B22:B26)&gt;3,Предпосылки!$B$151,Предпосылки!$B$149))+3%)*Предпосылки!$E$124,0)</f>
        <v>115</v>
      </c>
      <c r="C12" s="113">
        <f>ROUNDDOWN(C3*IF(COUNT(C22:C26)&gt;0,Предпосылки!$B$150,(IF(COUNT(C22:C26)&gt;3,Предпосылки!$B$151,Предпосылки!$B$149))+3%)*Предпосылки!$E$124,0)</f>
        <v>115</v>
      </c>
      <c r="D12" s="113">
        <f>ROUNDDOWN(D3*IF(COUNT(D22:D26)&gt;0,Предпосылки!$B$150,(IF(COUNT(D22:D26)&gt;3,Предпосылки!$B$151,Предпосылки!$B$149))+3%)*Предпосылки!$E$124,0)</f>
        <v>145</v>
      </c>
      <c r="E12" s="113">
        <f>ROUNDDOWN(E3*IF(COUNT(E22:E26)&gt;0,Предпосылки!$B$150,(IF(COUNT(E22:E26)&gt;3,Предпосылки!$B$151,Предпосылки!$B$149))+3%)*Предпосылки!$E$124,0)</f>
        <v>100</v>
      </c>
      <c r="F12" s="113">
        <f>ROUNDDOWN(F3*IF(COUNT(F22:F26)&gt;0,Предпосылки!$B$150,(IF(COUNT(F22:F26)&gt;3,Предпосылки!$B$151,Предпосылки!$B$149))+3%)*Предпосылки!$E$124,0)</f>
        <v>100</v>
      </c>
      <c r="G12" s="113">
        <f>ROUNDDOWN(G3*IF(COUNT(G22:G26)&gt;0,Предпосылки!$B$150,(IF(COUNT(G22:G26)&gt;3,Предпосылки!$B$151,Предпосылки!$B$149))+3%)*Предпосылки!$E$124,0)</f>
        <v>130</v>
      </c>
      <c r="H12" s="113">
        <f>ROUNDDOWN(H3*IF(COUNT(H22:H26)&gt;0,Предпосылки!$B$150,(IF(COUNT(H22:H26)&gt;3,Предпосылки!$B$151,Предпосылки!$B$149))+3%)*Предпосылки!$E$124,0)</f>
        <v>90</v>
      </c>
      <c r="I12" s="113">
        <f>ROUNDDOWN(I3*IF(COUNT(I22:I26)&gt;0,Предпосылки!$B$150,(IF(COUNT(I22:I26)&gt;3,Предпосылки!$B$151,Предпосылки!$B$149))+3%)*Предпосылки!$E$124,0)</f>
        <v>90</v>
      </c>
      <c r="J12" s="113">
        <f>ROUNDDOWN(J3*IF(COUNT(J22:J26)&gt;0,Предпосылки!$B$150,(IF(COUNT(J22:J26)&gt;3,Предпосылки!$B$151,Предпосылки!$B$149))+3%)*Предпосылки!$E$124,0)</f>
        <v>159</v>
      </c>
      <c r="K12" s="113">
        <f>ROUNDDOWN(K3*IF(COUNT(K22:K26)&gt;0,Предпосылки!$B$150,(IF(COUNT(K22:K26)&gt;3,Предпосылки!$B$151,Предпосылки!$B$149))+3%)*Предпосылки!$E$124,0)</f>
        <v>110</v>
      </c>
      <c r="L12" s="113">
        <f>ROUNDDOWN(L3*IF(COUNT(L22:L26)&gt;0,Предпосылки!$B$150,(IF(COUNT(L22:L26)&gt;3,Предпосылки!$B$151,Предпосылки!$B$149))+3%)*Предпосылки!$E$124,0)</f>
        <v>110</v>
      </c>
      <c r="M12" s="113">
        <f>ROUNDDOWN(M3*IF(COUNT(M22:M26)&gt;0,Предпосылки!$B$150,(IF(COUNT(M22:M26)&gt;3,Предпосылки!$B$151,Предпосылки!$B$149))+3%)*Предпосылки!$E$124,0)</f>
        <v>166</v>
      </c>
      <c r="N12" s="113">
        <f>ROUNDDOWN(N3*IF(COUNT(N22:N26)&gt;0,Предпосылки!$B$150,(IF(COUNT(N22:N26)&gt;3,Предпосылки!$B$151,Предпосылки!$B$149))+3%)*Предпосылки!$E$124,0)</f>
        <v>115</v>
      </c>
      <c r="O12" s="113">
        <f>ROUNDDOWN(O3*IF(COUNT(O22:O26)&lt;3,Предпосылки!$B$150,(IF(COUNT(O22:O26)&gt;3,Предпосылки!$B$151,Предпосылки!$B$149))+2%)*Предпосылки!$E$124,0)</f>
        <v>166</v>
      </c>
      <c r="P12" s="113">
        <f>ROUNDDOWN(P3*IF(COUNT(P22:P26)&lt;3,Предпосылки!$B$150,(IF(COUNT(P22:P26)&gt;3,Предпосылки!$B$151,Предпосылки!$B$149))+2%)*Предпосылки!$E$124,0)</f>
        <v>90</v>
      </c>
      <c r="Q12" s="113">
        <f>ROUNDDOWN(Q3*IF(COUNT(Q22:Q26)&lt;3,Предпосылки!$B$150,(IF(COUNT(Q22:Q26)&gt;3,Предпосылки!$B$151,Предпосылки!$B$149))+2%)*Предпосылки!$E$124,0)</f>
        <v>145</v>
      </c>
      <c r="R12" s="113">
        <f>ROUNDDOWN(R3*IF(COUNT(R22:R26)&lt;3,Предпосылки!$B$150,(IF(COUNT(R22:R26)&gt;3,Предпосылки!$B$151,Предпосылки!$B$149))+2%)*Предпосылки!$E$124,0)</f>
        <v>145</v>
      </c>
      <c r="S12" s="113">
        <f>ROUNDDOWN(S3*IF(COUNT(S22:S26)&lt;3,Предпосылки!$B$150,(IF(COUNT(S22:S26)&gt;3,Предпосылки!$B$151,Предпосылки!$B$149))+2%)*Предпосылки!$E$124,0)</f>
        <v>90</v>
      </c>
      <c r="T12" s="113">
        <f>ROUNDDOWN(T3*IF(COUNT(T22:T26)&lt;3,Предпосылки!$B$150,(IF(COUNT(T22:T26)&gt;3,Предпосылки!$B$151,Предпосылки!$B$149))+2%)*Предпосылки!$E$124,0)</f>
        <v>145</v>
      </c>
      <c r="U12" s="113">
        <f>ROUNDDOWN(U3*IF(COUNT(U22:U26)&lt;3,Предпосылки!$B$150,(IF(COUNT(U22:U26)&gt;3,Предпосылки!$B$151,Предпосылки!$B$149))+2%)*Предпосылки!$E$124,0)</f>
        <v>145</v>
      </c>
      <c r="V12" s="113">
        <f>ROUNDDOWN(V3*IF(COUNT(V22:V26)&lt;3,Предпосылки!$B$150,(IF(COUNT(V22:V26)&gt;3,Предпосылки!$B$151,Предпосылки!$B$149))+3%)*Предпосылки!$E$124*(1+Предпосылки!$B$152),0)</f>
        <v>274</v>
      </c>
      <c r="W12" s="113">
        <f>ROUNDDOWN(W3*IF(COUNT(W22:W26)&lt;3,Предпосылки!$B$150,(IF(COUNT(W22:W26)&gt;3,Предпосылки!$B$151,Предпосылки!$B$149))+3%)*Предпосылки!$E$124*(1+Предпосылки!$B$152),0)</f>
        <v>169</v>
      </c>
      <c r="X12" s="113">
        <f>ROUNDDOWN(X3*IF(COUNT(X22:X26)&lt;3,Предпосылки!$B$150,(IF(COUNT(X22:X26)&gt;3,Предпосылки!$B$151,Предпосылки!$B$149))+3%)*Предпосылки!$E$124*(1+Предпосылки!$B$152),0)</f>
        <v>116</v>
      </c>
      <c r="Y12" s="113">
        <f>ROUNDDOWN(Y3*IF(COUNT(Y22:Y26)&lt;3,Предпосылки!$B$150,(IF(COUNT(Y22:Y26)&gt;3,Предпосылки!$B$151,Предпосылки!$B$149))+3%)*Предпосылки!$E$124*(1+Предпосылки!$B$152),0)</f>
        <v>176</v>
      </c>
      <c r="Z12" s="113">
        <f>ROUNDDOWN(Z3*IF(COUNT(Z22:Z26)&lt;3,Предпосылки!$B$150,(IF(COUNT(Z22:Z26)&gt;3,Предпосылки!$B$151,Предпосылки!$B$149))+3%)*Предпосылки!$E$124*(1+Предпосылки!$B$152),0)</f>
        <v>176</v>
      </c>
      <c r="AA12" s="113">
        <f>ROUNDDOWN(AA3*IF(COUNT(AA22:AA26)&lt;3,Предпосылки!$B$150,(IF(COUNT(AA22:AA26)&gt;3,Предпосылки!$B$151,Предпосылки!$B$149))+3%)*Предпосылки!$E$124*(1+Предпосылки!$B$152)^2,0)</f>
        <v>129</v>
      </c>
      <c r="AB12" s="113">
        <f>ROUNDDOWN(AB3*IF(COUNT(AB22:AB26)&lt;3,Предпосылки!$B$150,(IF(COUNT(AB22:AB26)&gt;3,Предпосылки!$B$151,Предпосылки!$B$149))+3%)*Предпосылки!$E$124*(1+Предпосылки!$B$152)^2,0)</f>
        <v>162</v>
      </c>
      <c r="AC12" s="113">
        <f>ROUNDDOWN(AC3*IF(COUNT(AC22:AC26)&lt;3,Предпосылки!$B$150,(IF(COUNT(AC22:AC26)&gt;3,Предпосылки!$B$151,Предпосылки!$B$149))+3%)*Предпосылки!$E$124*(1+Предпосылки!$B$152)^2,0)</f>
        <v>162</v>
      </c>
      <c r="AD12" s="113">
        <f>ROUNDDOWN(AD3*IF(COUNT(AD22:AD26)&lt;3,Предпосылки!$B$150,(IF(COUNT(AD22:AD26)&gt;3,Предпосылки!$B$151,Предпосылки!$B$149))+3%)*Предпосылки!$E$124*(1+Предпосылки!$B$152)^2,0)</f>
        <v>264</v>
      </c>
      <c r="AE12" s="113">
        <f>ROUNDDOWN(AE3*IF(COUNT(AE22:AE26)&lt;3,Предпосылки!$B$150,(IF(COUNT(AE22:AE26)&gt;3,Предпосылки!$B$151,Предпосылки!$B$149))+3%)*Предпосылки!$E$124*(1+Предпосылки!$B$152)^2,0)</f>
        <v>264</v>
      </c>
      <c r="AF12" s="113">
        <f>ROUNDDOWN(AF3*IF(COUNT(AF22:AF26)&lt;3,Предпосылки!$B$150,(IF(COUNT(AF22:AF26)&gt;3,Предпосылки!$B$151,Предпосылки!$B$149))+3%)*Предпосылки!$E$124*(1+Предпосылки!$B$152)^2,0)</f>
        <v>162</v>
      </c>
      <c r="AG12" s="113">
        <f>ROUNDDOWN(AG3*IF(COUNT(AG22:AG26)&lt;3,Предпосылки!$B$150,(IF(COUNT(AG22:AG26)&gt;3,Предпосылки!$B$151,Предпосылки!$B$149))+3%)*Предпосылки!$E$124*(1+Предпосылки!$B$152)^2,0)</f>
        <v>112</v>
      </c>
      <c r="AH12" s="113">
        <f>ROUNDDOWN(AH3*IF(COUNT(AH22:AH26)&lt;3,Предпосылки!$B$150,(IF(COUNT(AH22:AH26)&gt;3,Предпосылки!$B$151,Предпосылки!$B$149))+3%)*Предпосылки!$E$124*(1+Предпосылки!$B$152)^2,0)</f>
        <v>179</v>
      </c>
      <c r="AI12" s="113">
        <f>ROUNDDOWN(AI3*IF(COUNT(AI22:AI26)&lt;3,Предпосылки!$B$150,(IF(COUNT(AI22:AI26)&gt;3,Предпосылки!$B$151,Предпосылки!$B$149))+3%)*Предпосылки!$E$124*(1+Предпосылки!$B$152)^2,0)</f>
        <v>179</v>
      </c>
      <c r="AJ12" s="113">
        <f>ROUNDDOWN(AJ3*IF(COUNT(AJ22:AJ26)&lt;3,Предпосылки!$B$150,(IF(COUNT(AJ22:AJ26)&gt;3,Предпосылки!$B$151,Предпосылки!$B$149))+3%)*Предпосылки!$E$124*(1+Предпосылки!$B$152)^2,0)</f>
        <v>123</v>
      </c>
      <c r="AK12" s="113">
        <f>ROUNDDOWN(AK3*IF(COUNT(AK22:AK26)&lt;3,Предпосылки!$B$150,(IF(COUNT(AK22:AK26)&gt;3,Предпосылки!$B$151,Предпосылки!$B$149))+3%)*Предпосылки!$E$124*(1+Предпосылки!$B$152)^2,0)</f>
        <v>187</v>
      </c>
      <c r="AL12" s="113">
        <f>ROUNDDOWN(AL3*IF(COUNT(AL22:AL26)&lt;3,Предпосылки!$B$150,(IF(COUNT(AL22:AL26)&gt;3,Предпосылки!$B$151,Предпосылки!$B$149))+3%)*Предпосылки!$E$124*(1+Предпосылки!$B$152)^2,0)</f>
        <v>0</v>
      </c>
    </row>
    <row r="13" spans="1:65" ht="13.2" x14ac:dyDescent="0.25">
      <c r="A13" s="108" t="s">
        <v>225</v>
      </c>
      <c r="B13" s="113">
        <f>B$9*Предпосылки!$D$122</f>
        <v>275000</v>
      </c>
      <c r="C13" s="113">
        <f>C$9*Предпосылки!$D$122</f>
        <v>275000</v>
      </c>
      <c r="D13" s="113">
        <f>D$9*Предпосылки!$D$122</f>
        <v>435000</v>
      </c>
      <c r="E13" s="113">
        <f>E$9*Предпосылки!$D$122</f>
        <v>240000</v>
      </c>
      <c r="F13" s="113">
        <f>F$9*Предпосылки!$D$122</f>
        <v>240000</v>
      </c>
      <c r="G13" s="113">
        <f>G$9*Предпосылки!$D$122</f>
        <v>390000</v>
      </c>
      <c r="H13" s="113">
        <f>H$9*Предпосылки!$D$122</f>
        <v>216000</v>
      </c>
      <c r="I13" s="113">
        <f>I$9*Предпосылки!$D$122</f>
        <v>216000</v>
      </c>
      <c r="J13" s="113">
        <f>J$9*Предпосылки!$D$122</f>
        <v>477000</v>
      </c>
      <c r="K13" s="113">
        <f>K$9*Предпосылки!$D$122</f>
        <v>264000</v>
      </c>
      <c r="L13" s="113">
        <f>L$9*Предпосылки!$D$122</f>
        <v>264000</v>
      </c>
      <c r="M13" s="113">
        <f>M$9*Предпосылки!$D$122</f>
        <v>498000</v>
      </c>
      <c r="N13" s="113">
        <f>N$9*Предпосылки!$D$122</f>
        <v>275000</v>
      </c>
      <c r="O13" s="113">
        <f t="shared" ref="O13:U13" si="5">O$9*1000</f>
        <v>498000</v>
      </c>
      <c r="P13" s="113">
        <f t="shared" si="5"/>
        <v>230000</v>
      </c>
      <c r="Q13" s="113">
        <f t="shared" si="5"/>
        <v>435000</v>
      </c>
      <c r="R13" s="113">
        <f t="shared" si="5"/>
        <v>435000</v>
      </c>
      <c r="S13" s="113">
        <f t="shared" si="5"/>
        <v>230000</v>
      </c>
      <c r="T13" s="113">
        <f t="shared" si="5"/>
        <v>435000</v>
      </c>
      <c r="U13" s="113">
        <f t="shared" si="5"/>
        <v>435000</v>
      </c>
      <c r="V13" s="113">
        <f>V9*Предпосылки!$D$122</f>
        <v>752000</v>
      </c>
      <c r="W13" s="113">
        <f>W9*Предпосылки!$D$122</f>
        <v>507000</v>
      </c>
      <c r="X13" s="113">
        <f>X9*Предпосылки!$D$122</f>
        <v>278000</v>
      </c>
      <c r="Y13" s="113">
        <f>Y9*Предпосылки!$D$122</f>
        <v>528000</v>
      </c>
      <c r="Z13" s="113">
        <f>Z9*Предпосылки!$D$122</f>
        <v>528000</v>
      </c>
      <c r="AA13" s="113">
        <f>AA9*Предпосылки!$D$122</f>
        <v>309000</v>
      </c>
      <c r="AB13" s="113">
        <f>AB9*Предпосылки!$D$122</f>
        <v>486000</v>
      </c>
      <c r="AC13" s="113">
        <f>AC9*Предпосылки!$D$122</f>
        <v>486000</v>
      </c>
      <c r="AD13" s="113">
        <f>AD9*Предпосылки!$D$122</f>
        <v>724000</v>
      </c>
      <c r="AE13" s="113">
        <f>AE9*Предпосылки!$D$122</f>
        <v>724000</v>
      </c>
      <c r="AF13" s="113">
        <f>AF9*Предпосылки!$D$122</f>
        <v>486000</v>
      </c>
      <c r="AG13" s="113">
        <f>AG9*Предпосылки!$D$122</f>
        <v>268000</v>
      </c>
      <c r="AH13" s="113">
        <f>AH9*Предпосылки!$D$122</f>
        <v>537000</v>
      </c>
      <c r="AI13" s="113">
        <f>AI9*Предпосылки!$D$122</f>
        <v>537000</v>
      </c>
      <c r="AJ13" s="113">
        <f>AJ9*Предпосылки!$D$122</f>
        <v>295000</v>
      </c>
      <c r="AK13" s="113">
        <f>AK9*Предпосылки!$D$122</f>
        <v>561000</v>
      </c>
      <c r="AL13" s="113">
        <f>AL9*Предпосылки!$D$122</f>
        <v>0</v>
      </c>
    </row>
    <row r="14" spans="1:65" ht="13.2" x14ac:dyDescent="0.25">
      <c r="A14" s="108" t="s">
        <v>218</v>
      </c>
      <c r="N14" s="112">
        <f>N6*(1+Предпосылки!$N$122)*Предпосылки!$B$153</f>
        <v>427179.84026697191</v>
      </c>
      <c r="Z14" s="112">
        <f>Z6*(1+Предпосылки!$N$122)</f>
        <v>1012022.8458964519</v>
      </c>
      <c r="AH14" s="112"/>
      <c r="AL14" s="112">
        <f>AL6*(1+Предпосылки!$N$122)</f>
        <v>1420288.1428413559</v>
      </c>
    </row>
    <row r="15" spans="1:65" ht="13.2" x14ac:dyDescent="0.25">
      <c r="A15" s="108" t="s">
        <v>219</v>
      </c>
      <c r="N15" s="112">
        <f>N7*(1+Предпосылки!$N$123)</f>
        <v>875700.27548268135</v>
      </c>
      <c r="Z15" s="112">
        <f>Z7*(1+Предпосылки!$N$123)</f>
        <v>1020580.8967324194</v>
      </c>
      <c r="AH15" s="112"/>
      <c r="AL15" s="112">
        <f>AL7*(1+Предпосылки!$N$123)</f>
        <v>2151732.4880193318</v>
      </c>
    </row>
    <row r="16" spans="1:65" ht="13.2" x14ac:dyDescent="0.25">
      <c r="A16" s="108" t="s">
        <v>220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5">
        <f>N8*(1+Предпосылки!$N$124)</f>
        <v>1058958.9219649388</v>
      </c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5">
        <f>Z8*(1+Предпосылки!$N$124)</f>
        <v>1108604.2197022368</v>
      </c>
      <c r="AA16" s="113"/>
      <c r="AB16" s="113"/>
      <c r="AC16" s="113"/>
      <c r="AD16" s="113"/>
      <c r="AE16" s="113"/>
      <c r="AF16" s="113"/>
      <c r="AG16" s="113"/>
      <c r="AH16" s="115"/>
      <c r="AI16" s="113"/>
      <c r="AJ16" s="113"/>
      <c r="AK16" s="113"/>
      <c r="AL16" s="115">
        <f>AL8*(1+Предпосылки!$N$124)</f>
        <v>2370962.8406317858</v>
      </c>
    </row>
    <row r="17" spans="1:65" ht="13.2" x14ac:dyDescent="0.25">
      <c r="A17" s="154" t="s">
        <v>190</v>
      </c>
      <c r="B17" s="112">
        <f>Расходы!$C$15</f>
        <v>-500000</v>
      </c>
    </row>
    <row r="18" spans="1:65" ht="13.2" x14ac:dyDescent="0.25">
      <c r="A18" s="117" t="s">
        <v>226</v>
      </c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9"/>
      <c r="N18" s="118">
        <f>-(SUM(N14:N16))</f>
        <v>-2361839.0377145922</v>
      </c>
      <c r="O18" s="118"/>
      <c r="P18" s="119"/>
      <c r="Q18" s="119"/>
      <c r="R18" s="119"/>
      <c r="S18" s="119"/>
      <c r="T18" s="119"/>
      <c r="U18" s="119"/>
      <c r="V18" s="118"/>
      <c r="W18" s="118"/>
      <c r="X18" s="118"/>
      <c r="Y18" s="118"/>
      <c r="Z18" s="118">
        <f>-SUM(Z14:Z16)</f>
        <v>-3141207.9623311078</v>
      </c>
      <c r="AA18" s="118"/>
      <c r="AB18" s="118"/>
      <c r="AC18" s="118"/>
      <c r="AD18" s="118"/>
      <c r="AE18" s="118"/>
      <c r="AF18" s="118"/>
      <c r="AG18" s="119"/>
      <c r="AH18" s="118">
        <f>-(SUM(AH14:AH16))</f>
        <v>0</v>
      </c>
      <c r="AI18" s="118"/>
      <c r="AJ18" s="119"/>
      <c r="AK18" s="119"/>
      <c r="AL18" s="118">
        <f>-SUM(AL14:AL16)</f>
        <v>-5942983.471492473</v>
      </c>
    </row>
    <row r="19" spans="1:65" ht="13.2" x14ac:dyDescent="0.25">
      <c r="A19" s="120" t="s">
        <v>0</v>
      </c>
      <c r="B19" s="112">
        <f>Расходы!C4</f>
        <v>0</v>
      </c>
      <c r="C19" s="112">
        <f t="shared" ref="C19:U19" si="6">B19</f>
        <v>0</v>
      </c>
      <c r="D19" s="112">
        <f t="shared" si="6"/>
        <v>0</v>
      </c>
      <c r="E19" s="112">
        <f t="shared" si="6"/>
        <v>0</v>
      </c>
      <c r="F19" s="112">
        <f t="shared" si="6"/>
        <v>0</v>
      </c>
      <c r="G19" s="112">
        <f t="shared" si="6"/>
        <v>0</v>
      </c>
      <c r="H19" s="112">
        <f t="shared" si="6"/>
        <v>0</v>
      </c>
      <c r="I19" s="112">
        <f t="shared" si="6"/>
        <v>0</v>
      </c>
      <c r="J19" s="112">
        <f t="shared" si="6"/>
        <v>0</v>
      </c>
      <c r="K19" s="112">
        <f t="shared" si="6"/>
        <v>0</v>
      </c>
      <c r="L19" s="112">
        <f t="shared" si="6"/>
        <v>0</v>
      </c>
      <c r="M19" s="112">
        <f t="shared" si="6"/>
        <v>0</v>
      </c>
      <c r="N19" s="112">
        <f t="shared" si="6"/>
        <v>0</v>
      </c>
      <c r="O19" s="112">
        <f t="shared" si="6"/>
        <v>0</v>
      </c>
      <c r="P19" s="112">
        <f t="shared" si="6"/>
        <v>0</v>
      </c>
      <c r="Q19" s="112">
        <f t="shared" si="6"/>
        <v>0</v>
      </c>
      <c r="R19" s="112">
        <f t="shared" si="6"/>
        <v>0</v>
      </c>
      <c r="S19" s="112">
        <f t="shared" si="6"/>
        <v>0</v>
      </c>
      <c r="T19" s="112">
        <f t="shared" si="6"/>
        <v>0</v>
      </c>
      <c r="U19" s="112">
        <f t="shared" si="6"/>
        <v>0</v>
      </c>
      <c r="V19" s="112">
        <v>0</v>
      </c>
      <c r="W19" s="112">
        <f t="shared" ref="W19:AK19" si="7">V19</f>
        <v>0</v>
      </c>
      <c r="X19" s="112">
        <f t="shared" si="7"/>
        <v>0</v>
      </c>
      <c r="Y19" s="112">
        <f t="shared" si="7"/>
        <v>0</v>
      </c>
      <c r="Z19" s="112">
        <f t="shared" si="7"/>
        <v>0</v>
      </c>
      <c r="AA19" s="112">
        <f t="shared" si="7"/>
        <v>0</v>
      </c>
      <c r="AB19" s="112">
        <f t="shared" si="7"/>
        <v>0</v>
      </c>
      <c r="AC19" s="112">
        <f t="shared" si="7"/>
        <v>0</v>
      </c>
      <c r="AD19" s="112">
        <f t="shared" si="7"/>
        <v>0</v>
      </c>
      <c r="AE19" s="112">
        <f t="shared" si="7"/>
        <v>0</v>
      </c>
      <c r="AF19" s="112">
        <f t="shared" si="7"/>
        <v>0</v>
      </c>
      <c r="AG19" s="112">
        <f t="shared" si="7"/>
        <v>0</v>
      </c>
      <c r="AH19" s="112">
        <f t="shared" si="7"/>
        <v>0</v>
      </c>
      <c r="AI19" s="112">
        <f t="shared" si="7"/>
        <v>0</v>
      </c>
      <c r="AJ19" s="112">
        <f t="shared" si="7"/>
        <v>0</v>
      </c>
      <c r="AK19" s="112">
        <f t="shared" si="7"/>
        <v>0</v>
      </c>
      <c r="AL19" s="112">
        <v>0</v>
      </c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  <c r="BK19" s="112"/>
      <c r="BL19" s="112"/>
      <c r="BM19" s="112"/>
    </row>
    <row r="20" spans="1:65" ht="13.2" x14ac:dyDescent="0.25">
      <c r="A20" s="121" t="s">
        <v>162</v>
      </c>
      <c r="B20" s="112">
        <f>Расходы!C5</f>
        <v>0</v>
      </c>
      <c r="C20" s="112">
        <f t="shared" ref="C20:U20" si="8">B20</f>
        <v>0</v>
      </c>
      <c r="D20" s="112">
        <f t="shared" si="8"/>
        <v>0</v>
      </c>
      <c r="E20" s="112">
        <f t="shared" si="8"/>
        <v>0</v>
      </c>
      <c r="F20" s="112">
        <f t="shared" si="8"/>
        <v>0</v>
      </c>
      <c r="G20" s="112">
        <f t="shared" si="8"/>
        <v>0</v>
      </c>
      <c r="H20" s="112">
        <f t="shared" si="8"/>
        <v>0</v>
      </c>
      <c r="I20" s="112">
        <f t="shared" si="8"/>
        <v>0</v>
      </c>
      <c r="J20" s="112">
        <f t="shared" si="8"/>
        <v>0</v>
      </c>
      <c r="K20" s="112">
        <f t="shared" si="8"/>
        <v>0</v>
      </c>
      <c r="L20" s="112">
        <f t="shared" si="8"/>
        <v>0</v>
      </c>
      <c r="M20" s="112">
        <f t="shared" si="8"/>
        <v>0</v>
      </c>
      <c r="N20" s="112">
        <f t="shared" si="8"/>
        <v>0</v>
      </c>
      <c r="O20" s="112">
        <f t="shared" si="8"/>
        <v>0</v>
      </c>
      <c r="P20" s="112">
        <f t="shared" si="8"/>
        <v>0</v>
      </c>
      <c r="Q20" s="112">
        <f t="shared" si="8"/>
        <v>0</v>
      </c>
      <c r="R20" s="112">
        <f t="shared" si="8"/>
        <v>0</v>
      </c>
      <c r="S20" s="112">
        <f t="shared" si="8"/>
        <v>0</v>
      </c>
      <c r="T20" s="112">
        <f t="shared" si="8"/>
        <v>0</v>
      </c>
      <c r="U20" s="112">
        <f t="shared" si="8"/>
        <v>0</v>
      </c>
      <c r="V20" s="112">
        <v>0</v>
      </c>
      <c r="W20" s="112">
        <f t="shared" ref="W20:AK20" si="9">V20</f>
        <v>0</v>
      </c>
      <c r="X20" s="112">
        <f t="shared" si="9"/>
        <v>0</v>
      </c>
      <c r="Y20" s="112">
        <f t="shared" si="9"/>
        <v>0</v>
      </c>
      <c r="Z20" s="112">
        <f t="shared" si="9"/>
        <v>0</v>
      </c>
      <c r="AA20" s="112">
        <f t="shared" si="9"/>
        <v>0</v>
      </c>
      <c r="AB20" s="112">
        <f t="shared" si="9"/>
        <v>0</v>
      </c>
      <c r="AC20" s="112">
        <f t="shared" si="9"/>
        <v>0</v>
      </c>
      <c r="AD20" s="112">
        <f t="shared" si="9"/>
        <v>0</v>
      </c>
      <c r="AE20" s="112">
        <f t="shared" si="9"/>
        <v>0</v>
      </c>
      <c r="AF20" s="112">
        <f t="shared" si="9"/>
        <v>0</v>
      </c>
      <c r="AG20" s="112">
        <f t="shared" si="9"/>
        <v>0</v>
      </c>
      <c r="AH20" s="112">
        <f t="shared" si="9"/>
        <v>0</v>
      </c>
      <c r="AI20" s="112">
        <f t="shared" si="9"/>
        <v>0</v>
      </c>
      <c r="AJ20" s="112">
        <f t="shared" si="9"/>
        <v>0</v>
      </c>
      <c r="AK20" s="112">
        <f t="shared" si="9"/>
        <v>0</v>
      </c>
      <c r="AL20" s="112">
        <v>0</v>
      </c>
      <c r="AZ20" s="112"/>
      <c r="BA20" s="112"/>
      <c r="BB20" s="112"/>
      <c r="BC20" s="112"/>
      <c r="BD20" s="112"/>
      <c r="BE20" s="112"/>
      <c r="BF20" s="112"/>
      <c r="BG20" s="112"/>
      <c r="BH20" s="112"/>
      <c r="BI20" s="112"/>
      <c r="BJ20" s="112"/>
      <c r="BK20" s="112"/>
      <c r="BL20" s="112"/>
      <c r="BM20" s="112"/>
    </row>
    <row r="21" spans="1:65" ht="13.2" x14ac:dyDescent="0.25">
      <c r="A21" s="121" t="s">
        <v>165</v>
      </c>
      <c r="B21" s="115">
        <f>Расходы!C6</f>
        <v>0</v>
      </c>
      <c r="C21" s="115">
        <f t="shared" ref="C21:U21" si="10">B21</f>
        <v>0</v>
      </c>
      <c r="D21" s="115">
        <f t="shared" si="10"/>
        <v>0</v>
      </c>
      <c r="E21" s="115">
        <f t="shared" si="10"/>
        <v>0</v>
      </c>
      <c r="F21" s="115">
        <f t="shared" si="10"/>
        <v>0</v>
      </c>
      <c r="G21" s="115">
        <f t="shared" si="10"/>
        <v>0</v>
      </c>
      <c r="H21" s="115">
        <f t="shared" si="10"/>
        <v>0</v>
      </c>
      <c r="I21" s="115">
        <f t="shared" si="10"/>
        <v>0</v>
      </c>
      <c r="J21" s="115">
        <f t="shared" si="10"/>
        <v>0</v>
      </c>
      <c r="K21" s="115">
        <f t="shared" si="10"/>
        <v>0</v>
      </c>
      <c r="L21" s="115">
        <f t="shared" si="10"/>
        <v>0</v>
      </c>
      <c r="M21" s="115">
        <f t="shared" si="10"/>
        <v>0</v>
      </c>
      <c r="N21" s="115">
        <f t="shared" si="10"/>
        <v>0</v>
      </c>
      <c r="O21" s="115">
        <f t="shared" si="10"/>
        <v>0</v>
      </c>
      <c r="P21" s="115">
        <f t="shared" si="10"/>
        <v>0</v>
      </c>
      <c r="Q21" s="115">
        <f t="shared" si="10"/>
        <v>0</v>
      </c>
      <c r="R21" s="115">
        <f t="shared" si="10"/>
        <v>0</v>
      </c>
      <c r="S21" s="115">
        <f t="shared" si="10"/>
        <v>0</v>
      </c>
      <c r="T21" s="115">
        <f t="shared" si="10"/>
        <v>0</v>
      </c>
      <c r="U21" s="115">
        <f t="shared" si="10"/>
        <v>0</v>
      </c>
      <c r="V21" s="115">
        <v>0</v>
      </c>
      <c r="W21" s="115">
        <f t="shared" ref="W21:AK21" si="11">V21</f>
        <v>0</v>
      </c>
      <c r="X21" s="115">
        <f t="shared" si="11"/>
        <v>0</v>
      </c>
      <c r="Y21" s="115">
        <f t="shared" si="11"/>
        <v>0</v>
      </c>
      <c r="Z21" s="115">
        <f t="shared" si="11"/>
        <v>0</v>
      </c>
      <c r="AA21" s="115">
        <f t="shared" si="11"/>
        <v>0</v>
      </c>
      <c r="AB21" s="115">
        <f t="shared" si="11"/>
        <v>0</v>
      </c>
      <c r="AC21" s="115">
        <f t="shared" si="11"/>
        <v>0</v>
      </c>
      <c r="AD21" s="115">
        <f t="shared" si="11"/>
        <v>0</v>
      </c>
      <c r="AE21" s="115">
        <f t="shared" si="11"/>
        <v>0</v>
      </c>
      <c r="AF21" s="115">
        <f t="shared" si="11"/>
        <v>0</v>
      </c>
      <c r="AG21" s="115">
        <f t="shared" si="11"/>
        <v>0</v>
      </c>
      <c r="AH21" s="115">
        <f t="shared" si="11"/>
        <v>0</v>
      </c>
      <c r="AI21" s="115">
        <f t="shared" si="11"/>
        <v>0</v>
      </c>
      <c r="AJ21" s="115">
        <f t="shared" si="11"/>
        <v>0</v>
      </c>
      <c r="AK21" s="115">
        <f t="shared" si="11"/>
        <v>0</v>
      </c>
      <c r="AL21" s="115">
        <v>0</v>
      </c>
      <c r="AZ21" s="112"/>
      <c r="BA21" s="112"/>
      <c r="BB21" s="112"/>
      <c r="BC21" s="112"/>
      <c r="BD21" s="112"/>
      <c r="BE21" s="112"/>
      <c r="BF21" s="112"/>
      <c r="BG21" s="112"/>
      <c r="BH21" s="112"/>
      <c r="BI21" s="112"/>
      <c r="BJ21" s="112"/>
      <c r="BK21" s="112"/>
      <c r="BL21" s="112"/>
      <c r="BM21" s="112"/>
    </row>
    <row r="22" spans="1:65" ht="13.2" x14ac:dyDescent="0.25">
      <c r="A22" s="57" t="s">
        <v>170</v>
      </c>
      <c r="B22" s="112"/>
      <c r="C22" s="112"/>
      <c r="D22" s="112">
        <f>Расходы!C8</f>
        <v>0</v>
      </c>
      <c r="E22" s="112"/>
      <c r="F22" s="112"/>
      <c r="G22" s="112">
        <f t="shared" ref="G22:G24" si="12">D22</f>
        <v>0</v>
      </c>
      <c r="H22" s="112"/>
      <c r="I22" s="112"/>
      <c r="J22" s="112">
        <f t="shared" ref="J22:J24" si="13">G22</f>
        <v>0</v>
      </c>
      <c r="K22" s="112"/>
      <c r="L22" s="112"/>
      <c r="M22" s="112">
        <f t="shared" ref="M22:M24" si="14">J22</f>
        <v>0</v>
      </c>
      <c r="N22" s="112"/>
      <c r="O22" s="112"/>
      <c r="P22" s="112">
        <f t="shared" ref="P22:P24" si="15">M22</f>
        <v>0</v>
      </c>
      <c r="S22" s="112">
        <f t="shared" ref="S22:S24" si="16">P22</f>
        <v>0</v>
      </c>
      <c r="V22" s="112">
        <v>0</v>
      </c>
      <c r="W22" s="112"/>
      <c r="X22" s="112">
        <f>Расходы!C42</f>
        <v>0</v>
      </c>
      <c r="Y22" s="112">
        <v>0</v>
      </c>
      <c r="Z22" s="112"/>
      <c r="AA22" s="112">
        <f t="shared" ref="AA22:AA24" si="17">X22</f>
        <v>0</v>
      </c>
      <c r="AB22" s="112">
        <v>0</v>
      </c>
      <c r="AC22" s="112"/>
      <c r="AD22" s="112">
        <f t="shared" ref="AD22:AD24" si="18">AA22</f>
        <v>0</v>
      </c>
      <c r="AE22" s="112">
        <v>0</v>
      </c>
      <c r="AF22" s="112"/>
      <c r="AG22" s="112">
        <f t="shared" ref="AG22:AG24" si="19">AD22</f>
        <v>0</v>
      </c>
      <c r="AH22" s="112"/>
      <c r="AI22" s="112"/>
      <c r="AJ22" s="112">
        <f t="shared" ref="AJ22:AJ24" si="20">AG22</f>
        <v>0</v>
      </c>
    </row>
    <row r="23" spans="1:65" ht="13.2" x14ac:dyDescent="0.25">
      <c r="A23" s="57" t="s">
        <v>174</v>
      </c>
      <c r="B23" s="112"/>
      <c r="C23" s="112"/>
      <c r="D23" s="112">
        <f>Расходы!C9</f>
        <v>0</v>
      </c>
      <c r="E23" s="112"/>
      <c r="F23" s="112"/>
      <c r="G23" s="112">
        <f t="shared" si="12"/>
        <v>0</v>
      </c>
      <c r="H23" s="112"/>
      <c r="I23" s="112"/>
      <c r="J23" s="112">
        <f t="shared" si="13"/>
        <v>0</v>
      </c>
      <c r="K23" s="112"/>
      <c r="L23" s="112"/>
      <c r="M23" s="112">
        <f t="shared" si="14"/>
        <v>0</v>
      </c>
      <c r="N23" s="112"/>
      <c r="O23" s="112"/>
      <c r="P23" s="112">
        <f t="shared" si="15"/>
        <v>0</v>
      </c>
      <c r="S23" s="112">
        <f t="shared" si="16"/>
        <v>0</v>
      </c>
      <c r="V23" s="112">
        <v>0</v>
      </c>
      <c r="W23" s="112"/>
      <c r="X23" s="112">
        <f>Расходы!C43</f>
        <v>0</v>
      </c>
      <c r="Y23" s="112">
        <v>0</v>
      </c>
      <c r="Z23" s="112"/>
      <c r="AA23" s="112">
        <f t="shared" si="17"/>
        <v>0</v>
      </c>
      <c r="AB23" s="112">
        <v>0</v>
      </c>
      <c r="AC23" s="112"/>
      <c r="AD23" s="112">
        <f t="shared" si="18"/>
        <v>0</v>
      </c>
      <c r="AE23" s="112">
        <v>0</v>
      </c>
      <c r="AF23" s="112"/>
      <c r="AG23" s="112">
        <f t="shared" si="19"/>
        <v>0</v>
      </c>
      <c r="AH23" s="112"/>
      <c r="AI23" s="112"/>
      <c r="AJ23" s="112">
        <f t="shared" si="20"/>
        <v>0</v>
      </c>
    </row>
    <row r="24" spans="1:65" ht="13.2" x14ac:dyDescent="0.25">
      <c r="A24" s="57" t="s">
        <v>177</v>
      </c>
      <c r="B24" s="115"/>
      <c r="C24" s="115"/>
      <c r="D24" s="115">
        <f>Расходы!C10</f>
        <v>0</v>
      </c>
      <c r="E24" s="115"/>
      <c r="F24" s="115"/>
      <c r="G24" s="115">
        <f t="shared" si="12"/>
        <v>0</v>
      </c>
      <c r="H24" s="115"/>
      <c r="I24" s="115"/>
      <c r="J24" s="115">
        <f t="shared" si="13"/>
        <v>0</v>
      </c>
      <c r="K24" s="115"/>
      <c r="L24" s="115"/>
      <c r="M24" s="115">
        <f t="shared" si="14"/>
        <v>0</v>
      </c>
      <c r="N24" s="115"/>
      <c r="O24" s="115"/>
      <c r="P24" s="115">
        <f t="shared" si="15"/>
        <v>0</v>
      </c>
      <c r="Q24" s="113"/>
      <c r="R24" s="113"/>
      <c r="S24" s="115">
        <f t="shared" si="16"/>
        <v>0</v>
      </c>
      <c r="T24" s="113"/>
      <c r="U24" s="113"/>
      <c r="V24" s="115">
        <v>0</v>
      </c>
      <c r="W24" s="115"/>
      <c r="X24" s="115">
        <f>Расходы!C44</f>
        <v>0</v>
      </c>
      <c r="Y24" s="115"/>
      <c r="Z24" s="115"/>
      <c r="AA24" s="115">
        <f t="shared" si="17"/>
        <v>0</v>
      </c>
      <c r="AB24" s="115"/>
      <c r="AC24" s="115"/>
      <c r="AD24" s="115">
        <f t="shared" si="18"/>
        <v>0</v>
      </c>
      <c r="AE24" s="115">
        <v>0</v>
      </c>
      <c r="AF24" s="115"/>
      <c r="AG24" s="115">
        <f t="shared" si="19"/>
        <v>0</v>
      </c>
      <c r="AH24" s="115"/>
      <c r="AI24" s="115"/>
      <c r="AJ24" s="115">
        <f t="shared" si="20"/>
        <v>0</v>
      </c>
      <c r="AK24" s="113"/>
      <c r="AL24" s="113"/>
    </row>
    <row r="25" spans="1:65" ht="13.2" x14ac:dyDescent="0.25">
      <c r="A25" s="57" t="s">
        <v>181</v>
      </c>
      <c r="B25" s="112"/>
      <c r="C25" s="112"/>
      <c r="D25" s="112"/>
      <c r="E25" s="112"/>
      <c r="J25" s="112">
        <f>Расходы!C12</f>
        <v>-50000</v>
      </c>
      <c r="V25" s="112">
        <f>Расходы!C12</f>
        <v>-50000</v>
      </c>
      <c r="W25" s="112"/>
      <c r="X25" s="112"/>
      <c r="Y25" s="112"/>
      <c r="AD25" s="3">
        <f>Расходы!C46</f>
        <v>0</v>
      </c>
      <c r="AE25" s="112">
        <f t="shared" ref="AE25:AE26" si="21">V25</f>
        <v>-50000</v>
      </c>
    </row>
    <row r="26" spans="1:65" ht="13.2" x14ac:dyDescent="0.25">
      <c r="A26" s="57" t="s">
        <v>185</v>
      </c>
      <c r="B26" s="115"/>
      <c r="C26" s="115"/>
      <c r="D26" s="115"/>
      <c r="E26" s="115"/>
      <c r="F26" s="113"/>
      <c r="G26" s="113"/>
      <c r="H26" s="113"/>
      <c r="I26" s="113"/>
      <c r="J26" s="115">
        <f>Расходы!C13</f>
        <v>-200000</v>
      </c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5">
        <f>Расходы!C13</f>
        <v>-200000</v>
      </c>
      <c r="W26" s="115"/>
      <c r="X26" s="115"/>
      <c r="Y26" s="115"/>
      <c r="Z26" s="113"/>
      <c r="AA26" s="113"/>
      <c r="AB26" s="113"/>
      <c r="AC26" s="113"/>
      <c r="AD26" s="113">
        <f>Расходы!C47</f>
        <v>0</v>
      </c>
      <c r="AE26" s="115">
        <f t="shared" si="21"/>
        <v>-200000</v>
      </c>
      <c r="AF26" s="113"/>
      <c r="AG26" s="113"/>
      <c r="AH26" s="113"/>
      <c r="AI26" s="113"/>
      <c r="AJ26" s="113"/>
      <c r="AK26" s="113"/>
      <c r="AL26" s="113"/>
    </row>
    <row r="27" spans="1:65" ht="13.2" x14ac:dyDescent="0.25">
      <c r="A27" s="121" t="s">
        <v>227</v>
      </c>
      <c r="B27" s="112">
        <f>-B$13*Расходы!$C$17</f>
        <v>-5500</v>
      </c>
      <c r="C27" s="112">
        <f>-C$13*Расходы!$C$17</f>
        <v>-5500</v>
      </c>
      <c r="D27" s="112">
        <f>-D$13*Расходы!$C$17</f>
        <v>-8700</v>
      </c>
      <c r="E27" s="112">
        <f>-E$13*Расходы!$C$17</f>
        <v>-4800</v>
      </c>
      <c r="F27" s="112">
        <f>-F$13*Расходы!$C$17</f>
        <v>-4800</v>
      </c>
      <c r="G27" s="112">
        <f>-G$13*Расходы!$C$17</f>
        <v>-7800</v>
      </c>
      <c r="H27" s="112">
        <f>-H$13*Расходы!$C$17</f>
        <v>-4320</v>
      </c>
      <c r="I27" s="112">
        <f>-I$13*Расходы!$C$17</f>
        <v>-4320</v>
      </c>
      <c r="J27" s="112">
        <f>-J$13*Расходы!$C$17</f>
        <v>-9540</v>
      </c>
      <c r="K27" s="112">
        <f>-K$13*Расходы!$C$17</f>
        <v>-5280</v>
      </c>
      <c r="L27" s="112">
        <f>-L$13*Расходы!$C$17</f>
        <v>-5280</v>
      </c>
      <c r="M27" s="112">
        <f>-M$13*Расходы!$C$17</f>
        <v>-9960</v>
      </c>
      <c r="N27" s="112">
        <f>-N$13*Расходы!$C$17</f>
        <v>-5500</v>
      </c>
      <c r="O27" s="112">
        <f>-O$13*Расходы!$C$17</f>
        <v>-9960</v>
      </c>
      <c r="P27" s="112">
        <f>-P$13*Расходы!$C$17</f>
        <v>-4600</v>
      </c>
      <c r="Q27" s="112">
        <f>-Q$13*Расходы!$C$17</f>
        <v>-8700</v>
      </c>
      <c r="R27" s="112">
        <f>-R$13*Расходы!$C$17</f>
        <v>-8700</v>
      </c>
      <c r="S27" s="112">
        <f>-S$13*Расходы!$C$17</f>
        <v>-4600</v>
      </c>
      <c r="T27" s="112">
        <f>-T$13*Расходы!$C$17</f>
        <v>-8700</v>
      </c>
      <c r="U27" s="112">
        <f>-U$13*Расходы!$C$17</f>
        <v>-8700</v>
      </c>
      <c r="V27" s="112">
        <f>-V13*Расходы!$C$17</f>
        <v>-15040</v>
      </c>
      <c r="W27" s="112">
        <f>-W13*Расходы!$C$17</f>
        <v>-10140</v>
      </c>
      <c r="X27" s="112">
        <f>-X13*Расходы!$C$17</f>
        <v>-5560</v>
      </c>
      <c r="Y27" s="112">
        <f>-Y13*Расходы!$C$17</f>
        <v>-10560</v>
      </c>
      <c r="Z27" s="112">
        <f>-Z13*Расходы!$C$17</f>
        <v>-10560</v>
      </c>
      <c r="AA27" s="112">
        <f>-AA13*Расходы!$C$17</f>
        <v>-6180</v>
      </c>
      <c r="AB27" s="112">
        <f>-AB13*Расходы!$C$17</f>
        <v>-9720</v>
      </c>
      <c r="AC27" s="112">
        <f>-AC13*Расходы!$C$17</f>
        <v>-9720</v>
      </c>
      <c r="AD27" s="112">
        <f>-AD13*Расходы!$C$17</f>
        <v>-14480</v>
      </c>
      <c r="AE27" s="112">
        <f>-AE13*Расходы!$C$17</f>
        <v>-14480</v>
      </c>
      <c r="AF27" s="112">
        <f>-AF13*Расходы!$C$17</f>
        <v>-9720</v>
      </c>
      <c r="AG27" s="112">
        <f>-AG13*Расходы!$C$17</f>
        <v>-5360</v>
      </c>
      <c r="AH27" s="112">
        <f>-AH13*Расходы!$C$17</f>
        <v>-10740</v>
      </c>
      <c r="AI27" s="112">
        <f>-AI13*Расходы!$C$17</f>
        <v>-10740</v>
      </c>
      <c r="AJ27" s="112">
        <f>-AJ13*Расходы!$C$17</f>
        <v>-5900</v>
      </c>
      <c r="AK27" s="112">
        <f>-AK13*Расходы!$C$17</f>
        <v>-11220</v>
      </c>
      <c r="AL27" s="112">
        <f>-AL13*Расходы!$C$17</f>
        <v>0</v>
      </c>
      <c r="AZ27" s="112"/>
      <c r="BA27" s="112"/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  <c r="BL27" s="112"/>
      <c r="BM27" s="112"/>
    </row>
    <row r="28" spans="1:65" ht="13.2" x14ac:dyDescent="0.25">
      <c r="A28" s="122" t="s">
        <v>202</v>
      </c>
      <c r="B28" s="115">
        <f>-Расходы!$C$21*B$13</f>
        <v>-13750</v>
      </c>
      <c r="C28" s="115">
        <f>-Расходы!$C$21*C$13</f>
        <v>-13750</v>
      </c>
      <c r="D28" s="115">
        <f>-Расходы!$C$21*D$13</f>
        <v>-21750</v>
      </c>
      <c r="E28" s="115">
        <f>-Расходы!$C$21*E$13</f>
        <v>-12000</v>
      </c>
      <c r="F28" s="115">
        <f>-Расходы!$C$21*F$13</f>
        <v>-12000</v>
      </c>
      <c r="G28" s="115">
        <f>-Расходы!$C$21*G$13</f>
        <v>-19500</v>
      </c>
      <c r="H28" s="115">
        <f>-Расходы!$C$21*H$13</f>
        <v>-10800</v>
      </c>
      <c r="I28" s="115">
        <f>-Расходы!$C$21*I$13</f>
        <v>-10800</v>
      </c>
      <c r="J28" s="115">
        <f>-Расходы!$C$21*J$13</f>
        <v>-23850</v>
      </c>
      <c r="K28" s="115">
        <f>-Расходы!$C$21*K$13</f>
        <v>-13200</v>
      </c>
      <c r="L28" s="115">
        <f>-Расходы!$C$21*L$13</f>
        <v>-13200</v>
      </c>
      <c r="M28" s="115">
        <f>-Расходы!$C$21*M$13</f>
        <v>-24900</v>
      </c>
      <c r="N28" s="115">
        <f>-Расходы!$C$21*N$13</f>
        <v>-13750</v>
      </c>
      <c r="O28" s="115">
        <f>-Расходы!$C$21*O$13</f>
        <v>-24900</v>
      </c>
      <c r="P28" s="115">
        <f>-Расходы!$C$21*P$13</f>
        <v>-11500</v>
      </c>
      <c r="Q28" s="115">
        <f>-Расходы!$C$21*Q$13</f>
        <v>-21750</v>
      </c>
      <c r="R28" s="115">
        <f>-Расходы!$C$21*R$13</f>
        <v>-21750</v>
      </c>
      <c r="S28" s="115">
        <f>-Расходы!$C$21*S$13</f>
        <v>-11500</v>
      </c>
      <c r="T28" s="115">
        <f>-Расходы!$C$21*T$13</f>
        <v>-21750</v>
      </c>
      <c r="U28" s="115">
        <f>-Расходы!$C$21*U$13</f>
        <v>-21750</v>
      </c>
      <c r="V28" s="115">
        <f>-Расходы!$C$21*V13</f>
        <v>-37600</v>
      </c>
      <c r="W28" s="115">
        <f>-Расходы!$C$21*W13</f>
        <v>-25350</v>
      </c>
      <c r="X28" s="115">
        <f>-Расходы!$C$21*X13</f>
        <v>-13900</v>
      </c>
      <c r="Y28" s="115">
        <f>-Расходы!$C$21*Y13</f>
        <v>-26400</v>
      </c>
      <c r="Z28" s="115">
        <f>-Расходы!$C$21*Z13</f>
        <v>-26400</v>
      </c>
      <c r="AA28" s="115">
        <f>-Расходы!$C$21*AA13</f>
        <v>-15450</v>
      </c>
      <c r="AB28" s="115">
        <f>-Расходы!$C$21*AB13</f>
        <v>-24300</v>
      </c>
      <c r="AC28" s="115">
        <f>-Расходы!$C$21*AC13</f>
        <v>-24300</v>
      </c>
      <c r="AD28" s="115">
        <f>-Расходы!$C$21*AD13</f>
        <v>-36200</v>
      </c>
      <c r="AE28" s="115">
        <f>-Расходы!$C$21*AE13</f>
        <v>-36200</v>
      </c>
      <c r="AF28" s="115">
        <f>-Расходы!$C$21*AF13</f>
        <v>-24300</v>
      </c>
      <c r="AG28" s="115">
        <f>-Расходы!$C$21*AG13</f>
        <v>-13400</v>
      </c>
      <c r="AH28" s="115">
        <f>-Расходы!$C$21*AH13</f>
        <v>-26850</v>
      </c>
      <c r="AI28" s="115">
        <f>-Расходы!$C$21*AI13</f>
        <v>-26850</v>
      </c>
      <c r="AJ28" s="115">
        <f>-Расходы!$C$21*AJ13</f>
        <v>-14750</v>
      </c>
      <c r="AK28" s="115">
        <f>-Расходы!$C$21*AK13</f>
        <v>-28050</v>
      </c>
      <c r="AL28" s="115">
        <f>-Расходы!$C$21*AL13</f>
        <v>0</v>
      </c>
      <c r="AZ28" s="112"/>
      <c r="BA28" s="112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2"/>
      <c r="BM28" s="112"/>
    </row>
    <row r="29" spans="1:65" ht="13.2" x14ac:dyDescent="0.25">
      <c r="A29" s="108" t="s">
        <v>228</v>
      </c>
      <c r="B29" s="112">
        <f t="shared" ref="B29:N29" si="22">SUM(B17:B28)</f>
        <v>-519250</v>
      </c>
      <c r="C29" s="112">
        <f t="shared" si="22"/>
        <v>-19250</v>
      </c>
      <c r="D29" s="112">
        <f t="shared" si="22"/>
        <v>-30450</v>
      </c>
      <c r="E29" s="112">
        <f t="shared" si="22"/>
        <v>-16800</v>
      </c>
      <c r="F29" s="112">
        <f t="shared" si="22"/>
        <v>-16800</v>
      </c>
      <c r="G29" s="112">
        <f t="shared" si="22"/>
        <v>-27300</v>
      </c>
      <c r="H29" s="112">
        <f t="shared" si="22"/>
        <v>-15120</v>
      </c>
      <c r="I29" s="112">
        <f t="shared" si="22"/>
        <v>-15120</v>
      </c>
      <c r="J29" s="112">
        <f t="shared" si="22"/>
        <v>-283390</v>
      </c>
      <c r="K29" s="112">
        <f t="shared" si="22"/>
        <v>-18480</v>
      </c>
      <c r="L29" s="112">
        <f t="shared" si="22"/>
        <v>-18480</v>
      </c>
      <c r="M29" s="112">
        <f t="shared" si="22"/>
        <v>-34860</v>
      </c>
      <c r="N29" s="112">
        <f t="shared" si="22"/>
        <v>-2381089.0377145922</v>
      </c>
      <c r="O29" s="112">
        <f t="shared" ref="O29:U29" si="23">SUM(O19:O28)</f>
        <v>-34860</v>
      </c>
      <c r="P29" s="112">
        <f t="shared" si="23"/>
        <v>-16100</v>
      </c>
      <c r="Q29" s="112">
        <f t="shared" si="23"/>
        <v>-30450</v>
      </c>
      <c r="R29" s="112">
        <f t="shared" si="23"/>
        <v>-30450</v>
      </c>
      <c r="S29" s="112">
        <f t="shared" si="23"/>
        <v>-16100</v>
      </c>
      <c r="T29" s="112">
        <f t="shared" si="23"/>
        <v>-30450</v>
      </c>
      <c r="U29" s="112">
        <f t="shared" si="23"/>
        <v>-30450</v>
      </c>
      <c r="V29" s="112">
        <f t="shared" ref="V29:AL29" si="24">SUM(V17:V28)</f>
        <v>-302640</v>
      </c>
      <c r="W29" s="112">
        <f t="shared" si="24"/>
        <v>-35490</v>
      </c>
      <c r="X29" s="112">
        <f t="shared" si="24"/>
        <v>-19460</v>
      </c>
      <c r="Y29" s="112">
        <f t="shared" si="24"/>
        <v>-36960</v>
      </c>
      <c r="Z29" s="112">
        <f t="shared" si="24"/>
        <v>-3178167.9623311078</v>
      </c>
      <c r="AA29" s="112">
        <f t="shared" si="24"/>
        <v>-21630</v>
      </c>
      <c r="AB29" s="112">
        <f t="shared" si="24"/>
        <v>-34020</v>
      </c>
      <c r="AC29" s="112">
        <f t="shared" si="24"/>
        <v>-34020</v>
      </c>
      <c r="AD29" s="112">
        <f t="shared" si="24"/>
        <v>-50680</v>
      </c>
      <c r="AE29" s="112">
        <f t="shared" si="24"/>
        <v>-300680</v>
      </c>
      <c r="AF29" s="112">
        <f t="shared" si="24"/>
        <v>-34020</v>
      </c>
      <c r="AG29" s="112">
        <f t="shared" si="24"/>
        <v>-18760</v>
      </c>
      <c r="AH29" s="112">
        <f t="shared" si="24"/>
        <v>-37590</v>
      </c>
      <c r="AI29" s="112">
        <f t="shared" si="24"/>
        <v>-37590</v>
      </c>
      <c r="AJ29" s="112">
        <f t="shared" si="24"/>
        <v>-20650</v>
      </c>
      <c r="AK29" s="112">
        <f t="shared" si="24"/>
        <v>-39270</v>
      </c>
      <c r="AL29" s="112">
        <f t="shared" si="24"/>
        <v>-5942983.471492473</v>
      </c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</row>
    <row r="30" spans="1:65" ht="13.2" x14ac:dyDescent="0.25">
      <c r="A30" s="123" t="s">
        <v>229</v>
      </c>
      <c r="B30" s="125">
        <f t="shared" ref="B30:M30" si="25">B13+B29</f>
        <v>-244250</v>
      </c>
      <c r="C30" s="125">
        <f t="shared" si="25"/>
        <v>255750</v>
      </c>
      <c r="D30" s="125">
        <f t="shared" si="25"/>
        <v>404550</v>
      </c>
      <c r="E30" s="125">
        <f t="shared" si="25"/>
        <v>223200</v>
      </c>
      <c r="F30" s="125">
        <f t="shared" si="25"/>
        <v>223200</v>
      </c>
      <c r="G30" s="125">
        <f t="shared" si="25"/>
        <v>362700</v>
      </c>
      <c r="H30" s="125">
        <f t="shared" si="25"/>
        <v>200880</v>
      </c>
      <c r="I30" s="125">
        <f t="shared" si="25"/>
        <v>200880</v>
      </c>
      <c r="J30" s="125">
        <f t="shared" si="25"/>
        <v>193610</v>
      </c>
      <c r="K30" s="125">
        <f t="shared" si="25"/>
        <v>245520</v>
      </c>
      <c r="L30" s="125">
        <f t="shared" si="25"/>
        <v>245520</v>
      </c>
      <c r="M30" s="125">
        <f t="shared" si="25"/>
        <v>463140</v>
      </c>
      <c r="N30" s="125">
        <f t="shared" ref="N30:U30" si="26">N17+N13+N29</f>
        <v>-2106089.0377145922</v>
      </c>
      <c r="O30" s="125">
        <f t="shared" si="26"/>
        <v>463140</v>
      </c>
      <c r="P30" s="125">
        <f t="shared" si="26"/>
        <v>213900</v>
      </c>
      <c r="Q30" s="125">
        <f t="shared" si="26"/>
        <v>404550</v>
      </c>
      <c r="R30" s="125">
        <f t="shared" si="26"/>
        <v>404550</v>
      </c>
      <c r="S30" s="125">
        <f t="shared" si="26"/>
        <v>213900</v>
      </c>
      <c r="T30" s="125">
        <f t="shared" si="26"/>
        <v>404550</v>
      </c>
      <c r="U30" s="125">
        <f t="shared" si="26"/>
        <v>404550</v>
      </c>
      <c r="V30" s="125">
        <f t="shared" ref="V30:AL30" si="27">V13+V29</f>
        <v>449360</v>
      </c>
      <c r="W30" s="125">
        <f t="shared" si="27"/>
        <v>471510</v>
      </c>
      <c r="X30" s="125">
        <f t="shared" si="27"/>
        <v>258540</v>
      </c>
      <c r="Y30" s="125">
        <f t="shared" si="27"/>
        <v>491040</v>
      </c>
      <c r="Z30" s="125">
        <f t="shared" si="27"/>
        <v>-2650167.9623311078</v>
      </c>
      <c r="AA30" s="125">
        <f t="shared" si="27"/>
        <v>287370</v>
      </c>
      <c r="AB30" s="125">
        <f t="shared" si="27"/>
        <v>451980</v>
      </c>
      <c r="AC30" s="125">
        <f t="shared" si="27"/>
        <v>451980</v>
      </c>
      <c r="AD30" s="125">
        <f t="shared" si="27"/>
        <v>673320</v>
      </c>
      <c r="AE30" s="125">
        <f t="shared" si="27"/>
        <v>423320</v>
      </c>
      <c r="AF30" s="125">
        <f t="shared" si="27"/>
        <v>451980</v>
      </c>
      <c r="AG30" s="125">
        <f t="shared" si="27"/>
        <v>249240</v>
      </c>
      <c r="AH30" s="125">
        <f t="shared" si="27"/>
        <v>499410</v>
      </c>
      <c r="AI30" s="125">
        <f t="shared" si="27"/>
        <v>499410</v>
      </c>
      <c r="AJ30" s="125">
        <f t="shared" si="27"/>
        <v>274350</v>
      </c>
      <c r="AK30" s="125">
        <f t="shared" si="27"/>
        <v>521730</v>
      </c>
      <c r="AL30" s="125">
        <f t="shared" si="27"/>
        <v>-5942983.471492473</v>
      </c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</row>
    <row r="31" spans="1:65" ht="13.2" x14ac:dyDescent="0.25">
      <c r="A31" s="122" t="s">
        <v>203</v>
      </c>
      <c r="B31" s="126">
        <f>IF(B$30&gt;0,B$30*Расходы!$C$22,0)</f>
        <v>0</v>
      </c>
      <c r="C31" s="126">
        <f>IF(C$30&gt;0,C$30*Расходы!$C$22,0)</f>
        <v>12787.5</v>
      </c>
      <c r="D31" s="126">
        <f>IF(D$30&gt;0,D$30*Расходы!$C$22,0)</f>
        <v>20227.5</v>
      </c>
      <c r="E31" s="126">
        <f>IF(E$30&gt;0,E$30*Расходы!$C$22,0)</f>
        <v>11160</v>
      </c>
      <c r="F31" s="126">
        <f>IF(F$30&gt;0,F$30*Расходы!$C$22,0)</f>
        <v>11160</v>
      </c>
      <c r="G31" s="126">
        <f>IF(G$30&gt;0,G$30*Расходы!$C$22,0)</f>
        <v>18135</v>
      </c>
      <c r="H31" s="126">
        <f>IF(H$30&gt;0,H$30*Расходы!$C$22,0)</f>
        <v>10044</v>
      </c>
      <c r="I31" s="126">
        <f>IF(I$30&gt;0,I$30*Расходы!$C$22,0)</f>
        <v>10044</v>
      </c>
      <c r="J31" s="126">
        <f>IF(J$30&gt;0,J$30*Расходы!$C$22,0)</f>
        <v>9680.5</v>
      </c>
      <c r="K31" s="126">
        <f>IF(K$30&gt;0,K$30*Расходы!$C$22,0)</f>
        <v>12276</v>
      </c>
      <c r="L31" s="126">
        <f>IF(L$30&gt;0,L$30*Расходы!$C$22,0)</f>
        <v>12276</v>
      </c>
      <c r="M31" s="126">
        <f>IF(M$30&gt;0,M$30*Расходы!$C$22,0)</f>
        <v>23157</v>
      </c>
      <c r="N31" s="126">
        <f>IF(N$30&gt;0,N$30*Расходы!$C$22,0)</f>
        <v>0</v>
      </c>
      <c r="O31" s="126">
        <f>IF(O$30&gt;0,O$30*Расходы!$C$22,0)</f>
        <v>23157</v>
      </c>
      <c r="P31" s="126">
        <f>IF(P$30&gt;0,P$30*Расходы!$C$22,0)</f>
        <v>10695</v>
      </c>
      <c r="Q31" s="126">
        <f>IF(Q$30&gt;0,Q$30*Расходы!$C$22,0)</f>
        <v>20227.5</v>
      </c>
      <c r="R31" s="126">
        <f>IF(R$30&gt;0,R$30*Расходы!$C$22,0)</f>
        <v>20227.5</v>
      </c>
      <c r="S31" s="126">
        <f>IF(S$30&gt;0,S$30*Расходы!$C$22,0)</f>
        <v>10695</v>
      </c>
      <c r="T31" s="126">
        <f>IF(T$30&gt;0,T$30*Расходы!$C$22,0)</f>
        <v>20227.5</v>
      </c>
      <c r="U31" s="129">
        <f>IF(U$30&gt;0,U$30*Расходы!$C$22,0)</f>
        <v>20227.5</v>
      </c>
      <c r="V31" s="126">
        <f>IF(V30&gt;0,V30*Расходы!$C$22,0)</f>
        <v>22468</v>
      </c>
      <c r="W31" s="126">
        <f>IF(W30&gt;0,W30*Расходы!$C$22,0)</f>
        <v>23575.5</v>
      </c>
      <c r="X31" s="126">
        <f>IF(X30&gt;0,X30*Расходы!$C$22,0)</f>
        <v>12927</v>
      </c>
      <c r="Y31" s="126">
        <f>IF(Y30&gt;0,Y30*Расходы!$C$22,0)</f>
        <v>24552</v>
      </c>
      <c r="Z31" s="126">
        <f>IF(Z30&gt;0,Z30*Расходы!$C$22,0)</f>
        <v>0</v>
      </c>
      <c r="AA31" s="126">
        <f>IF(AA30&gt;0,AA30*Расходы!$C$22,0)</f>
        <v>14368.5</v>
      </c>
      <c r="AB31" s="126">
        <f>IF(AB30&gt;0,AB30*Расходы!$C$22,0)</f>
        <v>22599</v>
      </c>
      <c r="AC31" s="126">
        <f>IF(AC30&gt;0,AC30*Расходы!$C$22,0)</f>
        <v>22599</v>
      </c>
      <c r="AD31" s="126">
        <f>IF(AD30&gt;0,AD30*Расходы!$C$22,0)</f>
        <v>33666</v>
      </c>
      <c r="AE31" s="126">
        <f>IF(AE30&gt;0,AE30*Расходы!$C$22,0)</f>
        <v>21166</v>
      </c>
      <c r="AF31" s="126">
        <f>IF(AF30&gt;0,AF30*Расходы!$C$22,0)</f>
        <v>22599</v>
      </c>
      <c r="AG31" s="126">
        <f>IF(AG30&gt;0,AG30*Расходы!$C$22,0)</f>
        <v>12462</v>
      </c>
      <c r="AH31" s="126">
        <f>IF(AH30&gt;0,AH30*Расходы!$C$22,0)</f>
        <v>24970.5</v>
      </c>
      <c r="AI31" s="126">
        <f>IF(AI30&gt;0,AI30*Расходы!$C$22,0)</f>
        <v>24970.5</v>
      </c>
      <c r="AJ31" s="126">
        <f>IF(AJ30&gt;0,AJ30*Расходы!$C$22,0)</f>
        <v>13717.5</v>
      </c>
      <c r="AK31" s="126">
        <f>IF(AK30&gt;0,AK30*Расходы!$C$22,0)</f>
        <v>26086.5</v>
      </c>
      <c r="AL31" s="126">
        <f>IF(AL30&gt;0,AL30*Расходы!$C$22,0)</f>
        <v>0</v>
      </c>
      <c r="AZ31" s="112"/>
      <c r="BA31" s="112"/>
      <c r="BB31" s="112"/>
      <c r="BC31" s="112"/>
      <c r="BD31" s="112"/>
      <c r="BE31" s="112"/>
      <c r="BF31" s="112"/>
      <c r="BG31" s="112"/>
      <c r="BH31" s="112"/>
      <c r="BI31" s="112"/>
      <c r="BJ31" s="112"/>
      <c r="BK31" s="112"/>
      <c r="BL31" s="112"/>
      <c r="BM31" s="112"/>
    </row>
    <row r="32" spans="1:65" ht="13.2" x14ac:dyDescent="0.25">
      <c r="A32" s="3" t="s">
        <v>230</v>
      </c>
      <c r="B32" s="112">
        <f t="shared" ref="B32:AL32" si="28">B30-B31</f>
        <v>-244250</v>
      </c>
      <c r="C32" s="112">
        <f t="shared" si="28"/>
        <v>242962.5</v>
      </c>
      <c r="D32" s="112">
        <f t="shared" si="28"/>
        <v>384322.5</v>
      </c>
      <c r="E32" s="112">
        <f t="shared" si="28"/>
        <v>212040</v>
      </c>
      <c r="F32" s="112">
        <f t="shared" si="28"/>
        <v>212040</v>
      </c>
      <c r="G32" s="112">
        <f t="shared" si="28"/>
        <v>344565</v>
      </c>
      <c r="H32" s="112">
        <f t="shared" si="28"/>
        <v>190836</v>
      </c>
      <c r="I32" s="112">
        <f t="shared" si="28"/>
        <v>190836</v>
      </c>
      <c r="J32" s="112">
        <f t="shared" si="28"/>
        <v>183929.5</v>
      </c>
      <c r="K32" s="112">
        <f t="shared" si="28"/>
        <v>233244</v>
      </c>
      <c r="L32" s="112">
        <f t="shared" si="28"/>
        <v>233244</v>
      </c>
      <c r="M32" s="112">
        <f t="shared" si="28"/>
        <v>439983</v>
      </c>
      <c r="N32" s="112">
        <f t="shared" si="28"/>
        <v>-2106089.0377145922</v>
      </c>
      <c r="O32" s="112">
        <f t="shared" si="28"/>
        <v>439983</v>
      </c>
      <c r="P32" s="112">
        <f t="shared" si="28"/>
        <v>203205</v>
      </c>
      <c r="Q32" s="112">
        <f t="shared" si="28"/>
        <v>384322.5</v>
      </c>
      <c r="R32" s="112">
        <f t="shared" si="28"/>
        <v>384322.5</v>
      </c>
      <c r="S32" s="112">
        <f t="shared" si="28"/>
        <v>203205</v>
      </c>
      <c r="T32" s="112">
        <f t="shared" si="28"/>
        <v>384322.5</v>
      </c>
      <c r="U32" s="112">
        <f t="shared" si="28"/>
        <v>384322.5</v>
      </c>
      <c r="V32" s="112">
        <f t="shared" si="28"/>
        <v>426892</v>
      </c>
      <c r="W32" s="112">
        <f t="shared" si="28"/>
        <v>447934.5</v>
      </c>
      <c r="X32" s="112">
        <f t="shared" si="28"/>
        <v>245613</v>
      </c>
      <c r="Y32" s="112">
        <f t="shared" si="28"/>
        <v>466488</v>
      </c>
      <c r="Z32" s="112">
        <f t="shared" si="28"/>
        <v>-2650167.9623311078</v>
      </c>
      <c r="AA32" s="112">
        <f t="shared" si="28"/>
        <v>273001.5</v>
      </c>
      <c r="AB32" s="112">
        <f t="shared" si="28"/>
        <v>429381</v>
      </c>
      <c r="AC32" s="112">
        <f t="shared" si="28"/>
        <v>429381</v>
      </c>
      <c r="AD32" s="112">
        <f t="shared" si="28"/>
        <v>639654</v>
      </c>
      <c r="AE32" s="112">
        <f t="shared" si="28"/>
        <v>402154</v>
      </c>
      <c r="AF32" s="112">
        <f t="shared" si="28"/>
        <v>429381</v>
      </c>
      <c r="AG32" s="112">
        <f t="shared" si="28"/>
        <v>236778</v>
      </c>
      <c r="AH32" s="112">
        <f t="shared" si="28"/>
        <v>474439.5</v>
      </c>
      <c r="AI32" s="112">
        <f t="shared" si="28"/>
        <v>474439.5</v>
      </c>
      <c r="AJ32" s="112">
        <f t="shared" si="28"/>
        <v>260632.5</v>
      </c>
      <c r="AK32" s="112">
        <f t="shared" si="28"/>
        <v>495643.5</v>
      </c>
      <c r="AL32" s="112">
        <f t="shared" si="28"/>
        <v>-5942983.471492473</v>
      </c>
      <c r="AZ32" s="112"/>
      <c r="BA32" s="112"/>
      <c r="BB32" s="112"/>
      <c r="BC32" s="112"/>
      <c r="BD32" s="112"/>
      <c r="BE32" s="112"/>
      <c r="BF32" s="112"/>
      <c r="BG32" s="112"/>
      <c r="BH32" s="112"/>
      <c r="BI32" s="112"/>
      <c r="BJ32" s="112"/>
      <c r="BK32" s="112"/>
      <c r="BL32" s="112"/>
      <c r="BM32" s="112"/>
    </row>
    <row r="34" spans="1:11" ht="13.2" x14ac:dyDescent="0.25">
      <c r="A34" s="127" t="s">
        <v>231</v>
      </c>
      <c r="B34" s="128">
        <f>SUM(B32:AL32)</f>
        <v>440008.02846182697</v>
      </c>
    </row>
    <row r="36" spans="1:11" ht="120.6" customHeight="1" x14ac:dyDescent="0.35">
      <c r="A36" s="168" t="s">
        <v>278</v>
      </c>
      <c r="B36" s="241" t="s">
        <v>286</v>
      </c>
      <c r="C36" s="242"/>
      <c r="D36" s="242"/>
      <c r="E36" s="242"/>
      <c r="F36" s="242"/>
      <c r="G36" s="242"/>
      <c r="H36" s="242"/>
      <c r="I36" s="242"/>
      <c r="J36" s="242"/>
      <c r="K36" s="243"/>
    </row>
    <row r="37" spans="1:11" ht="15.75" customHeight="1" x14ac:dyDescent="0.25">
      <c r="B37" s="65"/>
      <c r="C37" s="65"/>
      <c r="D37" s="65"/>
      <c r="E37" s="65"/>
      <c r="F37" s="65"/>
      <c r="G37" s="65"/>
      <c r="H37" s="65"/>
      <c r="I37" s="65"/>
      <c r="J37" s="65"/>
      <c r="K37" s="65"/>
    </row>
  </sheetData>
  <mergeCells count="2">
    <mergeCell ref="B36:K36"/>
    <mergeCell ref="A1:H1"/>
  </mergeCells>
  <conditionalFormatting sqref="B5:BM5">
    <cfRule type="cellIs" dxfId="1" priority="1" operator="lessThanOrEqual">
      <formula>300000000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O46"/>
  <sheetViews>
    <sheetView workbookViewId="0">
      <pane xSplit="1" ySplit="2" topLeftCell="B34" activePane="bottomRight" state="frozen"/>
      <selection pane="topRight" activeCell="B1" sqref="B1"/>
      <selection pane="bottomLeft" activeCell="A3" sqref="A3"/>
      <selection pane="bottomRight" activeCell="A37" sqref="A37"/>
    </sheetView>
  </sheetViews>
  <sheetFormatPr defaultColWidth="12.6640625" defaultRowHeight="15.75" customHeight="1" x14ac:dyDescent="0.25"/>
  <cols>
    <col min="1" max="1" width="58.44140625" customWidth="1"/>
    <col min="2" max="38" width="11.77734375" bestFit="1" customWidth="1"/>
  </cols>
  <sheetData>
    <row r="1" spans="1:41" ht="22.8" customHeight="1" x14ac:dyDescent="0.25">
      <c r="A1" s="198" t="s">
        <v>233</v>
      </c>
      <c r="B1" s="179"/>
      <c r="C1" s="179"/>
      <c r="D1" s="179"/>
      <c r="E1" s="179"/>
      <c r="F1" s="179"/>
      <c r="G1" s="179"/>
      <c r="H1" s="177"/>
      <c r="I1" s="64"/>
      <c r="J1" s="64"/>
      <c r="K1" s="64"/>
      <c r="L1" s="64"/>
      <c r="M1" s="65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</row>
    <row r="2" spans="1:41" ht="13.2" x14ac:dyDescent="0.25">
      <c r="A2" s="108" t="s">
        <v>214</v>
      </c>
      <c r="B2" s="109">
        <v>1</v>
      </c>
      <c r="C2" s="109">
        <v>2</v>
      </c>
      <c r="D2" s="109">
        <v>3</v>
      </c>
      <c r="E2" s="109">
        <v>4</v>
      </c>
      <c r="F2" s="109">
        <v>5</v>
      </c>
      <c r="G2" s="109">
        <v>6</v>
      </c>
      <c r="H2" s="109">
        <v>7</v>
      </c>
      <c r="I2" s="109">
        <v>8</v>
      </c>
      <c r="J2" s="109">
        <v>9</v>
      </c>
      <c r="K2" s="109">
        <v>10</v>
      </c>
      <c r="L2" s="109">
        <v>11</v>
      </c>
      <c r="M2" s="109">
        <v>12</v>
      </c>
      <c r="N2" s="109">
        <v>13</v>
      </c>
      <c r="O2" s="109">
        <v>14</v>
      </c>
      <c r="P2" s="109">
        <v>15</v>
      </c>
      <c r="Q2" s="109">
        <v>16</v>
      </c>
      <c r="R2" s="109">
        <v>17</v>
      </c>
      <c r="S2" s="109">
        <v>18</v>
      </c>
      <c r="T2" s="109">
        <v>19</v>
      </c>
      <c r="U2" s="109">
        <v>20</v>
      </c>
      <c r="V2" s="155">
        <v>21</v>
      </c>
      <c r="W2" s="155">
        <v>22</v>
      </c>
      <c r="X2" s="155">
        <v>23</v>
      </c>
      <c r="Y2" s="155">
        <v>24</v>
      </c>
      <c r="Z2" s="155">
        <v>25</v>
      </c>
      <c r="AA2" s="155">
        <v>26</v>
      </c>
      <c r="AB2" s="155">
        <v>27</v>
      </c>
      <c r="AC2" s="155">
        <v>28</v>
      </c>
      <c r="AD2" s="155">
        <v>29</v>
      </c>
      <c r="AE2" s="155">
        <v>30</v>
      </c>
      <c r="AF2" s="155">
        <v>31</v>
      </c>
      <c r="AG2" s="155">
        <v>32</v>
      </c>
      <c r="AH2" s="155">
        <v>33</v>
      </c>
      <c r="AI2" s="155">
        <v>34</v>
      </c>
      <c r="AJ2" s="155">
        <v>35</v>
      </c>
      <c r="AK2" s="155">
        <v>36</v>
      </c>
      <c r="AL2" s="155">
        <v>37</v>
      </c>
      <c r="AM2" s="64"/>
      <c r="AN2" s="64"/>
      <c r="AO2" s="64"/>
    </row>
    <row r="3" spans="1:41" ht="13.2" x14ac:dyDescent="0.25">
      <c r="A3" s="108" t="s">
        <v>215</v>
      </c>
      <c r="B3" s="130">
        <f>IF(OR(B2=1,B2=2,B2=12,B2=13,B2=14,B2=24,B2=25,B2=26,B2=36),1+Предпосылки!$B$158,IF(OR(B2=9,B2=10,B2=11,B2=21,B2=22,B2=23,B2=33,B2=34,B2=35),1+Предпосылки!$B$157,IF(OR(B2=6,B2=7,B2=8),1+Предпосылки!$B$160,IF(OR(B2=3,B2=4,B2=5,B2=15,B2=16,B2=17,B2=27,B2=28,B2=29),Предпосылки!$B$159+1,1))))</f>
        <v>1.1499999999999999</v>
      </c>
      <c r="C3" s="130">
        <f>IF(OR(C2=1,C2=2,C2=12,C2=13,C2=14,C2=24,C2=25,C2=26,C2=36),1+Предпосылки!$B$158,IF(OR(C2=9,C2=10,C2=11,C2=21,C2=22,C2=23,C2=33,C2=34,C2=35),1+Предпосылки!$B$157,IF(OR(C2=6,C2=7,C2=8),1+Предпосылки!$B$160,IF(OR(C2=3,C2=4,C2=5,C2=15,C2=16,C2=17,C2=27,C2=28,C2=29),Предпосылки!$B$159+1,1))))</f>
        <v>1.1499999999999999</v>
      </c>
      <c r="D3" s="130">
        <f>IF(OR(D2=1,D2=2,D2=12,D2=13,D2=14,D2=24,D2=25,D2=26,D2=36),1+Предпосылки!$B$158,IF(OR(D2=9,D2=10,D2=11,D2=21,D2=22,D2=23,D2=33,D2=34,D2=35),1+Предпосылки!$B$157,IF(OR(D2=6,D2=7,D2=8),1+Предпосылки!$B$160,IF(OR(D2=3,D2=4,D2=5,D2=15,D2=16,D2=17,D2=27,D2=28,D2=29),Предпосылки!$B$159+1,1))))</f>
        <v>1</v>
      </c>
      <c r="E3" s="130">
        <f>IF(OR(E2=1,E2=2,E2=12,E2=13,E2=14,E2=24,E2=25,E2=26,E2=36),1+Предпосылки!$B$158,IF(OR(E2=9,E2=10,E2=11,E2=21,E2=22,E2=23,E2=33,E2=34,E2=35),1+Предпосылки!$B$157,IF(OR(E2=6,E2=7,E2=8),1+Предпосылки!$B$160,IF(OR(E2=3,E2=4,E2=5,E2=15,E2=16,E2=17,E2=27,E2=28,E2=29),Предпосылки!$B$159+1,1))))</f>
        <v>1</v>
      </c>
      <c r="F3" s="130">
        <f>IF(OR(F2=1,F2=2,F2=12,F2=13,F2=14,F2=24,F2=25,F2=26,F2=36),1+Предпосылки!$B$158,IF(OR(F2=9,F2=10,F2=11,F2=21,F2=22,F2=23,F2=33,F2=34,F2=35),1+Предпосылки!$B$157,IF(OR(F2=6,F2=7,F2=8),1+Предпосылки!$B$160,IF(OR(F2=3,F2=4,F2=5,F2=15,F2=16,F2=17,F2=27,F2=28,F2=29),Предпосылки!$B$159+1,1))))</f>
        <v>1</v>
      </c>
      <c r="G3" s="130">
        <f>IF(OR(G2=1,G2=2,G2=12,G2=13,G2=14,G2=24,G2=25,G2=26,G2=36),1+Предпосылки!$B$158,IF(OR(G2=9,G2=10,G2=11,G2=21,G2=22,G2=23,G2=33,G2=34,G2=35),1+Предпосылки!$B$157,IF(OR(G2=6,G2=7,G2=8),1+Предпосылки!$B$160,IF(OR(G2=3,G2=4,G2=5,G2=15,G2=16,G2=17,G2=27,G2=28,G2=29),Предпосылки!$B$159+1,1))))</f>
        <v>0.9</v>
      </c>
      <c r="H3" s="130">
        <f>IF(OR(H2=1,H2=2,H2=12,H2=13,H2=14,H2=24,H2=25,H2=26,H2=36),1+Предпосылки!$B$158,IF(OR(H2=9,H2=10,H2=11,H2=21,H2=22,H2=23,H2=33,H2=34,H2=35),1+Предпосылки!$B$157,IF(OR(H2=6,H2=7,H2=8),1+Предпосылки!$B$160,IF(OR(H2=3,H2=4,H2=5,H2=15,H2=16,H2=17,H2=27,H2=28,H2=29),Предпосылки!$B$159+1,1))))</f>
        <v>0.9</v>
      </c>
      <c r="I3" s="130">
        <f>IF(OR(I2=1,I2=2,I2=12,I2=13,I2=14,I2=24,I2=25,I2=26,I2=36),1+Предпосылки!$B$158,IF(OR(I2=9,I2=10,I2=11,I2=21,I2=22,I2=23,I2=33,I2=34,I2=35),1+Предпосылки!$B$157,IF(OR(I2=6,I2=7,I2=8),1+Предпосылки!$B$160,IF(OR(I2=3,I2=4,I2=5,I2=15,I2=16,I2=17,I2=27,I2=28,I2=29),Предпосылки!$B$159+1,1))))</f>
        <v>0.9</v>
      </c>
      <c r="J3" s="130">
        <f>IF(OR(J2=1,J2=2,J2=12,J2=13,J2=14,J2=24,J2=25,J2=26,J2=36),1+Предпосылки!$B$158,IF(OR(J2=9,J2=10,J2=11,J2=21,J2=22,J2=23,J2=33,J2=34,J2=35),1+Предпосылки!$B$157,IF(OR(J2=6,J2=7,J2=8),1+Предпосылки!$B$160,IF(OR(J2=3,J2=4,J2=5,J2=15,J2=16,J2=17,J2=27,J2=28,J2=29),Предпосылки!$B$159+1,1))))</f>
        <v>1.1000000000000001</v>
      </c>
      <c r="K3" s="130">
        <f>IF(OR(K2=1,K2=2,K2=12,K2=13,K2=14,K2=24,K2=25,K2=26,K2=36),1+Предпосылки!$B$158,IF(OR(K2=9,K2=10,K2=11,K2=21,K2=22,K2=23,K2=33,K2=34,K2=35),1+Предпосылки!$B$157,IF(OR(K2=6,K2=7,K2=8),1+Предпосылки!$B$160,IF(OR(K2=3,K2=4,K2=5,K2=15,K2=16,K2=17,K2=27,K2=28,K2=29),Предпосылки!$B$159+1,1))))</f>
        <v>1.1000000000000001</v>
      </c>
      <c r="L3" s="130">
        <f>IF(OR(L2=1,L2=2,L2=12,L2=13,L2=14,L2=24,L2=25,L2=26,L2=36),1+Предпосылки!$B$158,IF(OR(L2=9,L2=10,L2=11,L2=21,L2=22,L2=23,L2=33,L2=34,L2=35),1+Предпосылки!$B$157,IF(OR(L2=6,L2=7,L2=8),1+Предпосылки!$B$160,IF(OR(L2=3,L2=4,L2=5,L2=15,L2=16,L2=17,L2=27,L2=28,L2=29),Предпосылки!$B$159+1,1))))</f>
        <v>1.1000000000000001</v>
      </c>
      <c r="M3" s="130">
        <f>IF(OR(M2=1,M2=2,M2=12,M2=13,M2=14,M2=24,M2=25,M2=26,M2=36),1+Предпосылки!$B$158,IF(OR(M2=9,M2=10,M2=11,M2=21,M2=22,M2=23,M2=33,M2=34,M2=35),1+Предпосылки!$B$157,IF(OR(M2=6,M2=7,M2=8),1+Предпосылки!$B$160,IF(OR(M2=3,M2=4,M2=5,M2=15,M2=16,M2=17,M2=27,M2=28,M2=29),Предпосылки!$B$159+1,1))))</f>
        <v>1.1499999999999999</v>
      </c>
      <c r="N3" s="130">
        <f>IF(OR(N2=1,N2=2,N2=12,N2=13,N2=14,N2=24,N2=25,N2=26,N2=36),1+Предпосылки!$B$158,IF(OR(N2=9,N2=10,N2=11,N2=21,N2=22,N2=23,N2=33,N2=34,N2=35),1+Предпосылки!$B$157,IF(OR(N2=6,N2=7,N2=8),1+Предпосылки!$B$160,IF(OR(N2=3,N2=4,N2=5,N2=15,N2=16,N2=17,N2=27,N2=28,N2=29),Предпосылки!$B$159+1,1))))</f>
        <v>1.1499999999999999</v>
      </c>
      <c r="O3" s="130">
        <f>IF(OR(O2=1,O2=2,O2=12,O2=13,O2=14,O2=24,O2=25,O2=26,O2=36),1+Предпосылки!$B$158,IF(OR(O2=9,O2=10,O2=11,O2=21,O2=22,O2=23,O2=33,O2=34,O2=35),1+Предпосылки!$B$157,IF(OR(O2=6,O2=7,O2=8),1+Предпосылки!$B$160,IF(OR(O2=3,O2=4,O2=5,O2=15,O2=16,O2=17,O2=27,O2=28,O2=29),Предпосылки!$B$159+1,1))))</f>
        <v>1.1499999999999999</v>
      </c>
      <c r="P3" s="130">
        <f>IF(OR(P2=1,P2=2,P2=12,P2=13,P2=14,P2=24,P2=25,P2=26,P2=36),1+Предпосылки!$B$158,IF(OR(P2=9,P2=10,P2=11,P2=21,P2=22,P2=23,P2=33,P2=34,P2=35),1+Предпосылки!$B$157,IF(OR(P2=6,P2=7,P2=8),1+Предпосылки!$B$160,IF(OR(P2=3,P2=4,P2=5,P2=15,P2=16,P2=17,P2=27,P2=28,P2=29),Предпосылки!$B$159+1,1))))</f>
        <v>1</v>
      </c>
      <c r="Q3" s="130">
        <f>IF(OR(Q2=1,Q2=2,Q2=12,Q2=13,Q2=14,Q2=24,Q2=25,Q2=26,Q2=36),1+Предпосылки!$B$158,IF(OR(Q2=9,Q2=10,Q2=11,Q2=21,Q2=22,Q2=23,Q2=33,Q2=34,Q2=35),1+Предпосылки!$B$157,IF(OR(Q2=6,Q2=7,Q2=8),1+Предпосылки!$B$160,IF(OR(Q2=3,Q2=4,Q2=5,Q2=15,Q2=16,Q2=17,Q2=27,Q2=28,Q2=29),Предпосылки!$B$159+1,1))))</f>
        <v>1</v>
      </c>
      <c r="R3" s="130">
        <f>IF(OR(R2=1,R2=2,R2=12,R2=13,R2=14,R2=24,R2=25,R2=26,R2=36),1+Предпосылки!$B$158,IF(OR(R2=9,R2=10,R2=11,R2=21,R2=22,R2=23,R2=33,R2=34,R2=35),1+Предпосылки!$B$157,IF(OR(R2=6,R2=7,R2=8),1+Предпосылки!$B$160,IF(OR(R2=3,R2=4,R2=5,R2=15,R2=16,R2=17,R2=27,R2=28,R2=29),Предпосылки!$B$159+1,1))))</f>
        <v>1</v>
      </c>
      <c r="S3" s="130">
        <f>IF(OR(S2=1,S2=2,S2=12,S2=13,S2=14,S2=24,S2=25,S2=26,S2=36),1+Предпосылки!$B$158,IF(OR(S2=9,S2=10,S2=11,S2=21,S2=22,S2=23,S2=33,S2=34,S2=35),1+Предпосылки!$B$157,IF(OR(S2=6,S2=7,S2=8),1+Предпосылки!$B$160,IF(OR(S2=3,S2=4,S2=5,S2=15,S2=16,S2=17,S2=27,S2=28,S2=29),Предпосылки!$B$159+1,1))))</f>
        <v>1</v>
      </c>
      <c r="T3" s="130">
        <f>IF(OR(T2=1,T2=2,T2=12,T2=13,T2=14,T2=24,T2=25,T2=26,T2=36),1+Предпосылки!$B$158,IF(OR(T2=9,T2=10,T2=11,T2=21,T2=22,T2=23,T2=33,T2=34,T2=35),1+Предпосылки!$B$157,IF(OR(T2=6,T2=7,T2=8),1+Предпосылки!$B$160,IF(OR(T2=3,T2=4,T2=5,T2=15,T2=16,T2=17,T2=27,T2=28,T2=29),Предпосылки!$B$159+1,1))))</f>
        <v>1</v>
      </c>
      <c r="U3" s="130">
        <f>IF(OR(U2=1,U2=2,U2=12,U2=13,U2=14,U2=24,U2=25,U2=26,U2=36),1+Предпосылки!$B$158,IF(OR(U2=9,U2=10,U2=11,U2=21,U2=22,U2=23,U2=33,U2=34,U2=35),1+Предпосылки!$B$157,IF(OR(U2=6,U2=7,U2=8),1+Предпосылки!$B$160,IF(OR(U2=3,U2=4,U2=5,U2=15,U2=16,U2=17,U2=27,U2=28,U2=29),Предпосылки!$B$159+1,1))))</f>
        <v>1</v>
      </c>
      <c r="V3" s="130">
        <f>IF(OR(V2=1,V2=2,V2=12,V2=13,V2=14,V2=24,V2=25,V2=26,V2=36),1+Предпосылки!$B$158,IF(OR(V2=9,V2=10,V2=11,V2=21,V2=22,V2=23,V2=33,V2=34,V2=35),1+Предпосылки!$B$157,IF(OR(V2=6,V2=7,V2=8),1+Предпосылки!$B$160,IF(OR(V2=3,V2=4,V2=5,V2=15,V2=16,V2=17,V2=27,V2=28,V2=29),Предпосылки!$B$159+1,1))))</f>
        <v>1.1000000000000001</v>
      </c>
      <c r="W3" s="130">
        <f>IF(OR(W2=1,W2=2,W2=12,W2=13,W2=14,W2=24,W2=25,W2=26,W2=36),1+Предпосылки!$B$158,IF(OR(W2=9,W2=10,W2=11,W2=21,W2=22,W2=23,W2=33,W2=34,W2=35),1+Предпосылки!$B$157,IF(OR(W2=6,W2=7,W2=8),1+Предпосылки!$B$160,IF(OR(W2=3,W2=4,W2=5,W2=15,W2=16,W2=17,W2=27,W2=28,W2=29),Предпосылки!$B$159+1,1))))</f>
        <v>1.1000000000000001</v>
      </c>
      <c r="X3" s="130">
        <f>IF(OR(X2=1,X2=2,X2=12,X2=13,X2=14,X2=24,X2=25,X2=26,X2=36),1+Предпосылки!$B$158,IF(OR(X2=9,X2=10,X2=11,X2=21,X2=22,X2=23,X2=33,X2=34,X2=35),1+Предпосылки!$B$157,IF(OR(X2=6,X2=7,X2=8),1+Предпосылки!$B$160,IF(OR(X2=3,X2=4,X2=5,X2=15,X2=16,X2=17,X2=27,X2=28,X2=29),Предпосылки!$B$159+1,1))))</f>
        <v>1.1000000000000001</v>
      </c>
      <c r="Y3" s="130">
        <f>IF(OR(Y2=1,Y2=2,Y2=12,Y2=13,Y2=14,Y2=24,Y2=25,Y2=26,Y2=36),1+Предпосылки!$B$158,IF(OR(Y2=9,Y2=10,Y2=11,Y2=21,Y2=22,Y2=23,Y2=33,Y2=34,Y2=35),1+Предпосылки!$B$157,IF(OR(Y2=6,Y2=7,Y2=8),1+Предпосылки!$B$160,IF(OR(Y2=3,Y2=4,Y2=5,Y2=15,Y2=16,Y2=17,Y2=27,Y2=28,Y2=29),Предпосылки!$B$159+1,1))))</f>
        <v>1.1499999999999999</v>
      </c>
      <c r="Z3" s="130">
        <f>IF(OR(Z2=1,Z2=2,Z2=12,Z2=13,Z2=14,Z2=24,Z2=25,Z2=26,Z2=36),1+Предпосылки!$B$158,IF(OR(Z2=9,Z2=10,Z2=11,Z2=21,Z2=22,Z2=23,Z2=33,Z2=34,Z2=35),1+Предпосылки!$B$157,IF(OR(Z2=6,Z2=7,Z2=8),1+Предпосылки!$B$160,IF(OR(Z2=3,Z2=4,Z2=5,Z2=15,Z2=16,Z2=17,Z2=27,Z2=28,Z2=29),Предпосылки!$B$159+1,1))))</f>
        <v>1.1499999999999999</v>
      </c>
      <c r="AA3" s="130">
        <f>IF(OR(AA2=1,AA2=2,AA2=12,AA2=13,AA2=14,AA2=24,AA2=25,AA2=26,AA2=36),1+Предпосылки!$B$158,IF(OR(AA2=9,AA2=10,AA2=11,AA2=21,AA2=22,AA2=23,AA2=33,AA2=34,AA2=35),1+Предпосылки!$B$157,IF(OR(AA2=6,AA2=7,AA2=8),1+Предпосылки!$B$160,IF(OR(AA2=3,AA2=4,AA2=5,AA2=15,AA2=16,AA2=17,AA2=27,AA2=28,AA2=29),Предпосылки!$B$159+1,1))))</f>
        <v>1.1499999999999999</v>
      </c>
      <c r="AB3" s="130">
        <f>IF(OR(AB2=1,AB2=2,AB2=12,AB2=13,AB2=14,AB2=24,AB2=25,AB2=26,AB2=36),1+Предпосылки!$B$158,IF(OR(AB2=9,AB2=10,AB2=11,AB2=21,AB2=22,AB2=23,AB2=33,AB2=34,AB2=35),1+Предпосылки!$B$157,IF(OR(AB2=6,AB2=7,AB2=8),1+Предпосылки!$B$160,IF(OR(AB2=3,AB2=4,AB2=5,AB2=15,AB2=16,AB2=17,AB2=27,AB2=28,AB2=29),Предпосылки!$B$159+1,1))))</f>
        <v>1</v>
      </c>
      <c r="AC3" s="130">
        <f>IF(OR(AC2=1,AC2=2,AC2=12,AC2=13,AC2=14,AC2=24,AC2=25,AC2=26,AC2=36),1+Предпосылки!$B$158,IF(OR(AC2=9,AC2=10,AC2=11,AC2=21,AC2=22,AC2=23,AC2=33,AC2=34,AC2=35),1+Предпосылки!$B$157,IF(OR(AC2=6,AC2=7,AC2=8),1+Предпосылки!$B$160,IF(OR(AC2=3,AC2=4,AC2=5,AC2=15,AC2=16,AC2=17,AC2=27,AC2=28,AC2=29),Предпосылки!$B$159+1,1))))</f>
        <v>1</v>
      </c>
      <c r="AD3" s="130">
        <f>IF(OR(AD2=1,AD2=2,AD2=12,AD2=13,AD2=14,AD2=24,AD2=25,AD2=26,AD2=36),1+Предпосылки!$B$158,IF(OR(AD2=9,AD2=10,AD2=11,AD2=21,AD2=22,AD2=23,AD2=33,AD2=34,AD2=35),1+Предпосылки!$B$157,IF(OR(AD2=6,AD2=7,AD2=8),1+Предпосылки!$B$160,IF(OR(AD2=3,AD2=4,AD2=5,AD2=15,AD2=16,AD2=17,AD2=27,AD2=28,AD2=29),Предпосылки!$B$159+1,1))))</f>
        <v>1</v>
      </c>
      <c r="AE3" s="130">
        <f>IF(OR(AE2=1,AE2=2,AE2=12,AE2=13,AE2=14,AE2=24,AE2=25,AE2=26,AE2=36),1+Предпосылки!$B$158,IF(OR(AE2=9,AE2=10,AE2=11,AE2=21,AE2=22,AE2=23,AE2=33,AE2=34,AE2=35),1+Предпосылки!$B$157,IF(OR(AE2=6,AE2=7,AE2=8),1+Предпосылки!$B$160,IF(OR(AE2=3,AE2=4,AE2=5,AE2=15,AE2=16,AE2=17,AE2=27,AE2=28,AE2=29),Предпосылки!$B$159+1,1))))</f>
        <v>1</v>
      </c>
      <c r="AF3" s="130">
        <f>IF(OR(AF2=1,AF2=2,AF2=12,AF2=13,AF2=14,AF2=24,AF2=25,AF2=26,AF2=36),1+Предпосылки!$B$158,IF(OR(AF2=9,AF2=10,AF2=11,AF2=21,AF2=22,AF2=23,AF2=33,AF2=34,AF2=35),1+Предпосылки!$B$157,IF(OR(AF2=6,AF2=7,AF2=8),1+Предпосылки!$B$160,IF(OR(AF2=3,AF2=4,AF2=5,AF2=15,AF2=16,AF2=17,AF2=27,AF2=28,AF2=29),Предпосылки!$B$159+1,1))))</f>
        <v>1</v>
      </c>
      <c r="AG3" s="130">
        <f>IF(OR(AG2=1,AG2=2,AG2=12,AG2=13,AG2=14,AG2=24,AG2=25,AG2=26,AG2=36),1+Предпосылки!$B$158,IF(OR(AG2=9,AG2=10,AG2=11,AG2=21,AG2=22,AG2=23,AG2=33,AG2=34,AG2=35),1+Предпосылки!$B$157,IF(OR(AG2=6,AG2=7,AG2=8),1+Предпосылки!$B$160,IF(OR(AG2=3,AG2=4,AG2=5,AG2=15,AG2=16,AG2=17,AG2=27,AG2=28,AG2=29),Предпосылки!$B$159+1,1))))</f>
        <v>1</v>
      </c>
      <c r="AH3" s="130">
        <f>IF(OR(AH2=1,AH2=2,AH2=12,AH2=13,AH2=14,AH2=24,AH2=25,AH2=26,AH2=36),1+Предпосылки!$B$158,IF(OR(AH2=9,AH2=10,AH2=11,AH2=21,AH2=22,AH2=23,AH2=33,AH2=34,AH2=35),1+Предпосылки!$B$157,IF(OR(AH2=6,AH2=7,AH2=8),1+Предпосылки!$B$160,IF(OR(AH2=3,AH2=4,AH2=5,AH2=15,AH2=16,AH2=17,AH2=27,AH2=28,AH2=29),Предпосылки!$B$159+1,1))))</f>
        <v>1.1000000000000001</v>
      </c>
      <c r="AI3" s="130">
        <f>IF(OR(AI2=1,AI2=2,AI2=12,AI2=13,AI2=14,AI2=24,AI2=25,AI2=26,AI2=36),1+Предпосылки!$B$158,IF(OR(AI2=9,AI2=10,AI2=11,AI2=21,AI2=22,AI2=23,AI2=33,AI2=34,AI2=35),1+Предпосылки!$B$157,IF(OR(AI2=6,AI2=7,AI2=8),1+Предпосылки!$B$160,IF(OR(AI2=3,AI2=4,AI2=5,AI2=15,AI2=16,AI2=17,AI2=27,AI2=28,AI2=29),Предпосылки!$B$159+1,1))))</f>
        <v>1.1000000000000001</v>
      </c>
      <c r="AJ3" s="130">
        <f>IF(OR(AJ2=1,AJ2=2,AJ2=12,AJ2=13,AJ2=14,AJ2=24,AJ2=25,AJ2=26,AJ2=36),1+Предпосылки!$B$158,IF(OR(AJ2=9,AJ2=10,AJ2=11,AJ2=21,AJ2=22,AJ2=23,AJ2=33,AJ2=34,AJ2=35),1+Предпосылки!$B$157,IF(OR(AJ2=6,AJ2=7,AJ2=8),1+Предпосылки!$B$160,IF(OR(AJ2=3,AJ2=4,AJ2=5,AJ2=15,AJ2=16,AJ2=17,AJ2=27,AJ2=28,AJ2=29),Предпосылки!$B$159+1,1))))</f>
        <v>1.1000000000000001</v>
      </c>
      <c r="AK3" s="130">
        <f>IF(OR(AK2=1,AK2=2,AK2=12,AK2=13,AK2=14,AK2=24,AK2=25,AK2=26,AK2=36),1+Предпосылки!$B$158,IF(OR(AK2=9,AK2=10,AK2=11,AK2=21,AK2=22,AK2=23,AK2=33,AK2=34,AK2=35),1+Предпосылки!$B$157,IF(OR(AK2=6,AK2=7,AK2=8),1+Предпосылки!$B$160,IF(OR(AK2=3,AK2=4,AK2=5,AK2=15,AK2=16,AK2=17,AK2=27,AK2=28,AK2=29),Предпосылки!$B$159+1,1))))</f>
        <v>1.1499999999999999</v>
      </c>
      <c r="AL3" s="130"/>
      <c r="AM3" s="131"/>
      <c r="AN3" s="131"/>
      <c r="AO3" s="131"/>
    </row>
    <row r="4" spans="1:41" ht="13.2" x14ac:dyDescent="0.25">
      <c r="A4" s="57" t="s">
        <v>216</v>
      </c>
      <c r="B4" s="112">
        <f>Предпосылки!$H$125</f>
        <v>300000000</v>
      </c>
      <c r="C4" s="112">
        <f t="shared" ref="C4:U4" si="0">B$4-B$14</f>
        <v>299725000</v>
      </c>
      <c r="D4" s="112">
        <f t="shared" si="0"/>
        <v>299450000</v>
      </c>
      <c r="E4" s="112">
        <f t="shared" si="0"/>
        <v>299015000</v>
      </c>
      <c r="F4" s="112">
        <f t="shared" si="0"/>
        <v>298775000</v>
      </c>
      <c r="G4" s="112">
        <f t="shared" si="0"/>
        <v>298535000</v>
      </c>
      <c r="H4" s="112">
        <f t="shared" si="0"/>
        <v>298145000</v>
      </c>
      <c r="I4" s="112">
        <f t="shared" si="0"/>
        <v>297929000</v>
      </c>
      <c r="J4" s="112">
        <f t="shared" si="0"/>
        <v>297713000</v>
      </c>
      <c r="K4" s="112">
        <f t="shared" si="0"/>
        <v>297236000</v>
      </c>
      <c r="L4" s="112">
        <f t="shared" si="0"/>
        <v>296972000</v>
      </c>
      <c r="M4" s="112">
        <f t="shared" si="0"/>
        <v>296708000</v>
      </c>
      <c r="N4" s="112">
        <f t="shared" si="0"/>
        <v>296210000</v>
      </c>
      <c r="O4" s="112">
        <f t="shared" si="0"/>
        <v>295935000</v>
      </c>
      <c r="P4" s="112">
        <f t="shared" si="0"/>
        <v>295407000</v>
      </c>
      <c r="Q4" s="112">
        <f t="shared" si="0"/>
        <v>295164000</v>
      </c>
      <c r="R4" s="112">
        <f t="shared" si="0"/>
        <v>294705000</v>
      </c>
      <c r="S4" s="112">
        <f t="shared" si="0"/>
        <v>294246000</v>
      </c>
      <c r="T4" s="112">
        <f t="shared" si="0"/>
        <v>294003000</v>
      </c>
      <c r="U4" s="112">
        <f t="shared" si="0"/>
        <v>293544000</v>
      </c>
      <c r="V4" s="112">
        <f t="shared" ref="V4:AL4" si="1">U4-U14</f>
        <v>293085000</v>
      </c>
      <c r="W4" s="112">
        <f t="shared" si="1"/>
        <v>292333000</v>
      </c>
      <c r="X4" s="112">
        <f t="shared" si="1"/>
        <v>291826000</v>
      </c>
      <c r="Y4" s="112">
        <f t="shared" si="1"/>
        <v>291548000</v>
      </c>
      <c r="Z4" s="112">
        <f t="shared" si="1"/>
        <v>291020000</v>
      </c>
      <c r="AA4" s="112">
        <f t="shared" si="1"/>
        <v>290492000</v>
      </c>
      <c r="AB4" s="112">
        <f t="shared" si="1"/>
        <v>290183000</v>
      </c>
      <c r="AC4" s="112">
        <f t="shared" si="1"/>
        <v>289697000</v>
      </c>
      <c r="AD4" s="112">
        <f t="shared" si="1"/>
        <v>289211000</v>
      </c>
      <c r="AE4" s="112">
        <f t="shared" si="1"/>
        <v>288487000</v>
      </c>
      <c r="AF4" s="112">
        <f t="shared" si="1"/>
        <v>287763000</v>
      </c>
      <c r="AG4" s="112">
        <f t="shared" si="1"/>
        <v>287277000</v>
      </c>
      <c r="AH4" s="112">
        <f t="shared" si="1"/>
        <v>287009000</v>
      </c>
      <c r="AI4" s="112">
        <f t="shared" si="1"/>
        <v>286472000</v>
      </c>
      <c r="AJ4" s="112">
        <f t="shared" si="1"/>
        <v>285935000</v>
      </c>
      <c r="AK4" s="112">
        <f t="shared" si="1"/>
        <v>285640000</v>
      </c>
      <c r="AL4" s="112">
        <f t="shared" si="1"/>
        <v>285079000</v>
      </c>
    </row>
    <row r="5" spans="1:41" ht="13.2" x14ac:dyDescent="0.25">
      <c r="A5" s="57" t="s">
        <v>234</v>
      </c>
      <c r="B5" s="3">
        <v>0</v>
      </c>
      <c r="C5" s="112">
        <f t="shared" ref="C5:AK5" si="2">SUM(C7:C9)</f>
        <v>272367.1178606801</v>
      </c>
      <c r="D5" s="112">
        <f t="shared" si="2"/>
        <v>536936.17804887518</v>
      </c>
      <c r="E5" s="112">
        <f t="shared" si="2"/>
        <v>944286.30724044831</v>
      </c>
      <c r="F5" s="112">
        <f t="shared" si="2"/>
        <v>1139579.5143102882</v>
      </c>
      <c r="G5" s="112">
        <f t="shared" si="2"/>
        <v>1314790.7612887376</v>
      </c>
      <c r="H5" s="112">
        <f t="shared" si="2"/>
        <v>1609173.8687311532</v>
      </c>
      <c r="I5" s="112">
        <f t="shared" si="2"/>
        <v>1706310.6914432955</v>
      </c>
      <c r="J5" s="112">
        <f t="shared" si="2"/>
        <v>1779915.694501543</v>
      </c>
      <c r="K5" s="112">
        <f t="shared" si="2"/>
        <v>2069727.4953304529</v>
      </c>
      <c r="L5" s="112">
        <f t="shared" si="2"/>
        <v>2119678.3149110535</v>
      </c>
      <c r="M5" s="112">
        <f t="shared" si="2"/>
        <v>2144319.2326090322</v>
      </c>
      <c r="N5" s="112">
        <f t="shared" si="2"/>
        <v>1618348.3527433437</v>
      </c>
      <c r="O5" s="112">
        <f t="shared" si="2"/>
        <v>259055.6599069506</v>
      </c>
      <c r="P5" s="112">
        <f t="shared" si="2"/>
        <v>497104.48413201096</v>
      </c>
      <c r="Q5" s="112">
        <f t="shared" si="2"/>
        <v>227158.34906461395</v>
      </c>
      <c r="R5" s="112">
        <f t="shared" si="2"/>
        <v>428502.57538525341</v>
      </c>
      <c r="S5" s="112">
        <f t="shared" si="2"/>
        <v>426700.71236220235</v>
      </c>
      <c r="T5" s="112">
        <f t="shared" si="2"/>
        <v>224172.8665021036</v>
      </c>
      <c r="U5" s="112">
        <f t="shared" si="2"/>
        <v>423132.263288246</v>
      </c>
      <c r="V5" s="112">
        <f t="shared" si="2"/>
        <v>778733.28366547986</v>
      </c>
      <c r="W5" s="112">
        <f t="shared" si="2"/>
        <v>1520721.8647227217</v>
      </c>
      <c r="X5" s="112">
        <f t="shared" si="2"/>
        <v>2001284.8775919206</v>
      </c>
      <c r="Y5" s="112">
        <f t="shared" si="2"/>
        <v>2234855.2705962644</v>
      </c>
      <c r="Z5" s="112">
        <f t="shared" si="2"/>
        <v>2691281.9245469533</v>
      </c>
      <c r="AA5" s="112">
        <f t="shared" si="2"/>
        <v>512865.87415613257</v>
      </c>
      <c r="AB5" s="112">
        <f t="shared" si="2"/>
        <v>805405.14116539038</v>
      </c>
      <c r="AC5" s="112">
        <f t="shared" si="2"/>
        <v>1261960.9450805795</v>
      </c>
      <c r="AD5" s="112">
        <f t="shared" si="2"/>
        <v>1707793.0713418955</v>
      </c>
      <c r="AE5" s="112">
        <f t="shared" si="2"/>
        <v>2367631.3057605913</v>
      </c>
      <c r="AF5" s="112">
        <f t="shared" si="2"/>
        <v>3009751.3401319128</v>
      </c>
      <c r="AG5" s="112">
        <f t="shared" si="2"/>
        <v>3409782.7488268204</v>
      </c>
      <c r="AH5" s="112">
        <f t="shared" si="2"/>
        <v>3592485.4261385985</v>
      </c>
      <c r="AI5" s="112">
        <f t="shared" si="2"/>
        <v>4017353.7507568784</v>
      </c>
      <c r="AJ5" s="112">
        <f t="shared" si="2"/>
        <v>4426674.5653711297</v>
      </c>
      <c r="AK5" s="112">
        <f t="shared" si="2"/>
        <v>4598858.9741219915</v>
      </c>
      <c r="AL5" s="3"/>
      <c r="AM5" s="112"/>
      <c r="AN5" s="112"/>
      <c r="AO5" s="112"/>
    </row>
    <row r="6" spans="1:41" ht="13.2" x14ac:dyDescent="0.25">
      <c r="A6" s="57" t="s">
        <v>217</v>
      </c>
      <c r="B6" s="132"/>
      <c r="C6" s="133">
        <f t="shared" ref="C6:U6" si="3">B$14+B6</f>
        <v>275000</v>
      </c>
      <c r="D6" s="133">
        <f t="shared" si="3"/>
        <v>550000</v>
      </c>
      <c r="E6" s="133">
        <f t="shared" si="3"/>
        <v>985000</v>
      </c>
      <c r="F6" s="133">
        <f t="shared" si="3"/>
        <v>1225000</v>
      </c>
      <c r="G6" s="133">
        <f t="shared" si="3"/>
        <v>1465000</v>
      </c>
      <c r="H6" s="133">
        <f t="shared" si="3"/>
        <v>1855000</v>
      </c>
      <c r="I6" s="133">
        <f t="shared" si="3"/>
        <v>2071000</v>
      </c>
      <c r="J6" s="133">
        <f t="shared" si="3"/>
        <v>2287000</v>
      </c>
      <c r="K6" s="133">
        <f t="shared" si="3"/>
        <v>2764000</v>
      </c>
      <c r="L6" s="133">
        <f t="shared" si="3"/>
        <v>3028000</v>
      </c>
      <c r="M6" s="133">
        <f t="shared" si="3"/>
        <v>3292000</v>
      </c>
      <c r="N6" s="133">
        <f t="shared" si="3"/>
        <v>3790000</v>
      </c>
      <c r="O6" s="133">
        <f t="shared" si="3"/>
        <v>4065000</v>
      </c>
      <c r="P6" s="133">
        <f t="shared" si="3"/>
        <v>4593000</v>
      </c>
      <c r="Q6" s="133">
        <f t="shared" si="3"/>
        <v>4836000</v>
      </c>
      <c r="R6" s="133">
        <f t="shared" si="3"/>
        <v>5295000</v>
      </c>
      <c r="S6" s="133">
        <f t="shared" si="3"/>
        <v>5754000</v>
      </c>
      <c r="T6" s="133">
        <f t="shared" si="3"/>
        <v>5997000</v>
      </c>
      <c r="U6" s="133">
        <f t="shared" si="3"/>
        <v>6456000</v>
      </c>
      <c r="V6" s="133">
        <f>V14+U6</f>
        <v>7208000</v>
      </c>
      <c r="W6" s="133">
        <f t="shared" ref="W6:AK6" si="4">V14+V6</f>
        <v>7960000</v>
      </c>
      <c r="X6" s="133">
        <f t="shared" si="4"/>
        <v>8467000</v>
      </c>
      <c r="Y6" s="133">
        <f t="shared" si="4"/>
        <v>8745000</v>
      </c>
      <c r="Z6" s="133">
        <f t="shared" si="4"/>
        <v>9273000</v>
      </c>
      <c r="AA6" s="133">
        <f t="shared" si="4"/>
        <v>9801000</v>
      </c>
      <c r="AB6" s="133">
        <f t="shared" si="4"/>
        <v>10110000</v>
      </c>
      <c r="AC6" s="133">
        <f t="shared" si="4"/>
        <v>10596000</v>
      </c>
      <c r="AD6" s="133">
        <f t="shared" si="4"/>
        <v>11082000</v>
      </c>
      <c r="AE6" s="133">
        <f t="shared" si="4"/>
        <v>11806000</v>
      </c>
      <c r="AF6" s="133">
        <f t="shared" si="4"/>
        <v>12530000</v>
      </c>
      <c r="AG6" s="133">
        <f t="shared" si="4"/>
        <v>13016000</v>
      </c>
      <c r="AH6" s="133">
        <f t="shared" si="4"/>
        <v>13284000</v>
      </c>
      <c r="AI6" s="133">
        <f t="shared" si="4"/>
        <v>13821000</v>
      </c>
      <c r="AJ6" s="133">
        <f t="shared" si="4"/>
        <v>14358000</v>
      </c>
      <c r="AK6" s="133">
        <f t="shared" si="4"/>
        <v>14653000</v>
      </c>
      <c r="AL6" s="133"/>
      <c r="AM6" s="134"/>
      <c r="AN6" s="134"/>
      <c r="AO6" s="134"/>
    </row>
    <row r="7" spans="1:41" ht="13.2" x14ac:dyDescent="0.25">
      <c r="A7" s="57" t="s">
        <v>218</v>
      </c>
      <c r="B7" s="3">
        <v>0</v>
      </c>
      <c r="C7" s="112">
        <f>(B7+B11*Предпосылки!$D$122)/(1+Предпосылки!$D$172/12)^(C$2-1)</f>
        <v>79234.070650379654</v>
      </c>
      <c r="D7" s="112">
        <f>(C7+C11*Предпосылки!$D$122)/(1+Предпосылки!$D$172/12)^(D$2-1)</f>
        <v>156199.61543240002</v>
      </c>
      <c r="E7" s="112">
        <f>(D7+D11*Предпосылки!$D$122)/(1+Предпосылки!$D$172/12)^(E$2-1)</f>
        <v>292631.01736768748</v>
      </c>
      <c r="F7" s="112">
        <f>(E7+E11*Предпосылки!$D$122)/(1+Предпосылки!$D$172/12)^(F$2-1)</f>
        <v>348941.70110658265</v>
      </c>
      <c r="G7" s="112">
        <f>(F7+F11*Предпосылки!$D$122)/(1+Предпосылки!$D$172/12)^(G$2-1)</f>
        <v>399267.07552547398</v>
      </c>
      <c r="H7" s="112">
        <f>(G7+G11*Предпосылки!$D$122)/(1+Предпосылки!$D$172/12)^(H$2-1)</f>
        <v>499581.9820559799</v>
      </c>
      <c r="I7" s="112">
        <f>(H7+H11*Предпосылки!$D$122)/(1+Предпосылки!$D$172/12)^(I$2-1)</f>
        <v>525944.22221419448</v>
      </c>
      <c r="J7" s="112">
        <f>(I7+I11*Предпосылки!$D$122)/(1+Предпосылки!$D$172/12)^(J$2-1)</f>
        <v>545318.23027941107</v>
      </c>
      <c r="K7" s="112">
        <f>(J7+J11*Предпосылки!$D$122)/(1+Предпосылки!$D$172/12)^(K$2-1)</f>
        <v>645902.19750930357</v>
      </c>
      <c r="L7" s="112">
        <f>(K7+K11*Предпосылки!$D$122)/(1+Предпосылки!$D$172/12)^(L$2-1)</f>
        <v>656597.70257154375</v>
      </c>
      <c r="M7" s="112">
        <f>(L7+L11*Предпосылки!$D$122)/(1+Предпосылки!$D$172/12)^(M$2-1)</f>
        <v>659932.86626876926</v>
      </c>
      <c r="N7" s="112"/>
      <c r="O7" s="112">
        <f>(N11*Предпосылки!$D$122)/(1+Предпосылки!$D$92/12)^(O$2-1)</f>
        <v>80000</v>
      </c>
      <c r="P7" s="112">
        <f>(O11*Предпосылки!$D$122)/(1+Предпосылки!$D$92/12)^(P$2-1)</f>
        <v>176000</v>
      </c>
      <c r="Q7" s="112">
        <f>(P11*Предпосылки!$D$122)/(1+Предпосылки!$D$92/12)^(Q$2-1)</f>
        <v>74000</v>
      </c>
      <c r="R7" s="112">
        <f>(Q11*Предпосылки!$D$122)/(1+Предпосылки!$D$92/12)^(R$2-1)</f>
        <v>153000</v>
      </c>
      <c r="S7" s="112">
        <f>(R11*Предпосылки!$D$122)/(1+Предпосылки!$D$92/12)^(S$2-1)</f>
        <v>153000</v>
      </c>
      <c r="T7" s="112">
        <f>(S11*Предпосылки!$D$122)/(1+Предпосылки!$D$92/12)^(T$2-1)</f>
        <v>74000</v>
      </c>
      <c r="U7" s="112">
        <f>(T11*Предпосылки!$D$122)/(1+Предпосылки!$D$92/12)^(U$2-1)</f>
        <v>153000</v>
      </c>
      <c r="V7" s="112">
        <f>(U7+U11*Предпосылки!$D$122)/(1+Предпосылки!$D$173/12)^(U$2-1)</f>
        <v>270132.263288246</v>
      </c>
      <c r="W7" s="112">
        <f>(V7+V11*Предпосылки!$D$122)/(1+Предпосылки!$D$173/12)^(C$2-1)</f>
        <v>505802.39750467351</v>
      </c>
      <c r="X7" s="112">
        <f>(W7+W11*Предпосылки!$D$122)/(1+Предпосылки!$D$173/12)^(D$2-1)</f>
        <v>666004.47378099547</v>
      </c>
      <c r="Y7" s="112">
        <f>(X7+X11*Предпосылки!$D$122)/(1+Предпосылки!$D$173/12)^(E$2-1)</f>
        <v>732443.27718798723</v>
      </c>
      <c r="Z7" s="112">
        <f>(Y7+Y11*Предпосылки!$D$122)/(1+Предпосылки!$D$173/12)^(F$2-1)</f>
        <v>884909.53449204285</v>
      </c>
      <c r="AA7" s="112">
        <f>(Z11*Предпосылки!$D$122)/(1+Предпосылки!$D$174/12)^(G$2-1)</f>
        <v>170955.29138537752</v>
      </c>
      <c r="AB7" s="112">
        <f>(AA7+AA11*Предпосылки!$D$122)/(1+Предпосылки!$D$174/12)^(H$2-1)</f>
        <v>252005.46740986279</v>
      </c>
      <c r="AC7" s="112">
        <f>(AB7+AB11*Предпосылки!$D$122)/(1+Предпосылки!$D$174/12)^(I$2-1)</f>
        <v>397487.89579161641</v>
      </c>
      <c r="AD7" s="112">
        <f>(AC7+AC11*Предпосылки!$D$122)/(1+Предпосылки!$D$174/12)^(J$2-1)</f>
        <v>534050.71746293863</v>
      </c>
      <c r="AE7" s="112">
        <f>(AD7+AD11*Предпосылки!$D$122)/(1+Предпосылки!$D$174/12)^(K$2-1)</f>
        <v>725083.41483705794</v>
      </c>
      <c r="AF7" s="112">
        <f>(AE7+AE11*Предпосылки!$D$122)/(1+Предпосылки!$D$174/12)^(L$2-1)</f>
        <v>901116.75123531348</v>
      </c>
      <c r="AG7" s="112">
        <f>(AF7+AF11*Предпосылки!$D$122)/(1+Предпосылки!$D$174/12)^(M$2-1)</f>
        <v>997228.53424481605</v>
      </c>
      <c r="AH7" s="112">
        <f>(AG7+AG11*Предпосылки!$D$122)/(1+Предпосылки!$D$174/12)^(N$2-1)</f>
        <v>1002740.3530453567</v>
      </c>
      <c r="AI7" s="112">
        <f>(AH7+AH11*Предпосылки!$D$122)/(1+Предпосылки!$D$174/12)^(O$2-1)</f>
        <v>1095680.047234006</v>
      </c>
      <c r="AJ7" s="112">
        <f>(AI7+AI11*Предпосылки!$D$122)/(1+Предпосылки!$D$174/12)^(P$2-1)</f>
        <v>1174997.2524733131</v>
      </c>
      <c r="AK7" s="112">
        <f>(AJ7+AJ11*Предпосылки!$D$122)/(1+Предпосылки!$D$174/12)^(Q$2-1)</f>
        <v>1155643.2303039005</v>
      </c>
      <c r="AL7" s="112">
        <f>(AK7+AK11*Предпосылки!$D$122)/(1+Предпосылки!$D$174/12)^(R$2-1)</f>
        <v>1223331.7337134848</v>
      </c>
      <c r="AM7" s="112"/>
      <c r="AN7" s="112"/>
      <c r="AO7" s="112"/>
    </row>
    <row r="8" spans="1:41" ht="13.2" x14ac:dyDescent="0.25">
      <c r="A8" s="57" t="s">
        <v>219</v>
      </c>
      <c r="B8" s="3">
        <v>0</v>
      </c>
      <c r="C8" s="112">
        <f>(B8+B12*Предпосылки!$D$122)/(1+Предпосылки!$D$172/12)^(C$2-1)</f>
        <v>79234.070650379654</v>
      </c>
      <c r="D8" s="112">
        <f>(C8+C12*Предпосылки!$D$122)/(1+Предпосылки!$D$172/12)^(D$2-1)</f>
        <v>156199.61543240002</v>
      </c>
      <c r="E8" s="112">
        <f>(D8+D12*Предпосылки!$D$122)/(1+Предпосылки!$D$172/12)^(E$2-1)</f>
        <v>292631.01736768748</v>
      </c>
      <c r="F8" s="112">
        <f>(E8+E12*Предпосылки!$D$122)/(1+Предпосылки!$D$172/12)^(F$2-1)</f>
        <v>348941.70110658265</v>
      </c>
      <c r="G8" s="112">
        <f>(F8+F12*Предпосылки!$D$122)/(1+Предпосылки!$D$172/12)^(G$2-1)</f>
        <v>399267.07552547398</v>
      </c>
      <c r="H8" s="112">
        <f>(G8+G12*Предпосылки!$D$122)/(1+Предпосылки!$D$172/12)^(H$2-1)</f>
        <v>499581.9820559799</v>
      </c>
      <c r="I8" s="112">
        <f>(H8+H12*Предпосылки!$D$122)/(1+Предпосылки!$D$172/12)^(I$2-1)</f>
        <v>525944.22221419448</v>
      </c>
      <c r="J8" s="112">
        <f>(I8+I12*Предпосылки!$D$122)/(1+Предпосылки!$D$172/12)^(J$2-1)</f>
        <v>545318.23027941107</v>
      </c>
      <c r="K8" s="112">
        <f>(J8+J12*Предпосылки!$D$122)/(1+Предпосылки!$D$172/12)^(K$2-1)</f>
        <v>645902.19750930357</v>
      </c>
      <c r="L8" s="112">
        <f>(K8+K12*Предпосылки!$D$122)/(1+Предпосылки!$D$172/12)^(L$2-1)</f>
        <v>656597.70257154375</v>
      </c>
      <c r="M8" s="112">
        <f>(L8+L12*Предпосылки!$D$122)/(1+Предпосылки!$D$172/12)^(M$2-1)</f>
        <v>659932.86626876926</v>
      </c>
      <c r="N8" s="112">
        <f>(M8+M12*Предпосылки!$D$122)/(1+Предпосылки!$D$172/12)^(N$2-1)</f>
        <v>735882.58443922806</v>
      </c>
      <c r="O8" s="112">
        <f>(N12*Предпосылки!$D$122)/(1+Предпосылки!$D$173/12)^(O$2-1)</f>
        <v>73458.732269518194</v>
      </c>
      <c r="P8" s="112">
        <f>(O12*Предпосылки!$D$122)/(1+Предпосылки!$D$173/12)^(P$2-1)</f>
        <v>160552.24206600548</v>
      </c>
      <c r="Q8" s="112">
        <f>(P12*Предпосылки!$D$122)/(1+Предпосылки!$D$173/12)^(Q$2-1)</f>
        <v>67063.419117049896</v>
      </c>
      <c r="R8" s="112">
        <f>(Q12*Предпосылки!$D$122)/(1+Предпосылки!$D$173/12)^(R$2-1)</f>
        <v>137751.28769262673</v>
      </c>
      <c r="S8" s="112">
        <f>(R12*Предпосылки!$D$122)/(1+Предпосылки!$D$173/12)^(S$2-1)</f>
        <v>136850.35618110118</v>
      </c>
      <c r="T8" s="112">
        <f>(S12*Предпосылки!$D$122)/(1+Предпосылки!$D$173/12)^(T$2-1)</f>
        <v>65756.166397370805</v>
      </c>
      <c r="U8" s="112">
        <f>(T12*Предпосылки!$D$122)/(1+Предпосылки!$D$173/12)^(U$2-1)</f>
        <v>135066.131644123</v>
      </c>
      <c r="V8" s="112">
        <f>(U8+U12*Предпосылки!$D$122)/(1+Предпосылки!$D$173/12)^(U$2-1)</f>
        <v>254300.51018861693</v>
      </c>
      <c r="W8" s="112">
        <f>(V8+V12*Предпосылки!$D$122)/(1+Предпосылки!$D$173/12)^(C$2-1)</f>
        <v>490074.18844800087</v>
      </c>
      <c r="X8" s="112">
        <f>(W8+W12*Предпосылки!$D$122)/(1+Предпосылки!$D$173/12)^(D$2-1)</f>
        <v>650481.32561933796</v>
      </c>
      <c r="Y8" s="112">
        <f>(X8+X12*Предпосылки!$D$122)/(1+Предпосылки!$D$173/12)^(E$2-1)</f>
        <v>717222.71839501208</v>
      </c>
      <c r="Z8" s="112">
        <f>(Y8+Y12*Предпосылки!$D$122)/(1+Предпосылки!$D$173/12)^(F$2-1)</f>
        <v>870083.27298027067</v>
      </c>
      <c r="AA8" s="112">
        <f>(Z12*Предпосылки!$D$122)/(1+Предпосылки!$D$174/12)^(G$2-1)</f>
        <v>170955.29138537752</v>
      </c>
      <c r="AB8" s="112">
        <f>AA8+(AA12*Предпосылки!$D$122)/(1+Предпосылки!$D$174/12)^(H$2-1)</f>
        <v>257868.61644761282</v>
      </c>
      <c r="AC8" s="112">
        <f>AB8+(AB12*Предпосылки!$D$122)/(1+Предпосылки!$D$174/12)^(I$2-1)</f>
        <v>413405.30421433051</v>
      </c>
      <c r="AD8" s="112">
        <f>AC8+(AC12*Предпосылки!$D$122)/(1+Предпосылки!$D$174/12)^(J$2-1)</f>
        <v>568039.9565093274</v>
      </c>
      <c r="AE8" s="112">
        <f>AD8+(AD12*Предпосылки!$D$122)/(1+Предпосылки!$D$174/12)^(K$2-1)</f>
        <v>786309.74096327985</v>
      </c>
      <c r="AF8" s="112">
        <f>AE8+(AE12*Предпосылки!$D$122)/(1+Предпосылки!$D$174/12)^(L$2-1)</f>
        <v>1003313.6691693634</v>
      </c>
      <c r="AG8" s="112">
        <f>AF8+(AF12*Предпосылки!$D$122)/(1+Предпосылки!$D$174/12)^(M$2-1)</f>
        <v>1155273.4820120661</v>
      </c>
      <c r="AH8" s="112">
        <f>AG8+(AG12*Предпосылки!$D$122)/(1+Предпосылки!$D$174/12)^(N$2-1)</f>
        <v>1228014.9923482579</v>
      </c>
      <c r="AI8" s="112">
        <f>AH8+(AH12*Предпосылки!$D$122)/(1+Предпосылки!$D$174/12)^(O$2-1)</f>
        <v>1393979.3075630735</v>
      </c>
      <c r="AJ8" s="112">
        <f>AI8+(AI12*Предпосылки!$D$122)/(1+Предпосылки!$D$174/12)^(P$2-1)</f>
        <v>1558981.1122505455</v>
      </c>
      <c r="AK8" s="112">
        <f>AJ8+(AJ12*Предпосылки!$D$122)/(1+Предпосылки!$D$174/12)^(Q$2-1)</f>
        <v>1637795.9689928594</v>
      </c>
      <c r="AL8" s="112">
        <f>AK8+(AK12*Предпосылки!$D$122)/(1+Предпосылки!$D$174/12)^(R$2-1)</f>
        <v>1808178.5613607829</v>
      </c>
      <c r="AM8" s="112"/>
      <c r="AN8" s="112"/>
      <c r="AO8" s="112"/>
    </row>
    <row r="9" spans="1:41" ht="13.2" x14ac:dyDescent="0.25">
      <c r="A9" s="57" t="s">
        <v>220</v>
      </c>
      <c r="B9" s="113">
        <v>0</v>
      </c>
      <c r="C9" s="115">
        <f>(B9+B13*Предпосылки!$D$122)/(1+Предпосылки!$D$172/12)^(C$2-1)</f>
        <v>113898.97655992076</v>
      </c>
      <c r="D9" s="115">
        <f>(C9+C13*Предпосылки!$D$122)/(1+Предпосылки!$D$172/12)^(D$2-1)</f>
        <v>224536.94718407508</v>
      </c>
      <c r="E9" s="115">
        <f>(D9+D13*Предпосылки!$D$122)/(1+Предпосылки!$D$172/12)^(E$2-1)</f>
        <v>359024.27250507334</v>
      </c>
      <c r="F9" s="115">
        <f>(E9+E13*Предпосылки!$D$122)/(1+Предпосылки!$D$172/12)^(F$2-1)</f>
        <v>441696.112097123</v>
      </c>
      <c r="G9" s="115">
        <f>(F9+F13*Предпосылки!$D$122)/(1+Предпосылки!$D$172/12)^(G$2-1)</f>
        <v>516256.61023778969</v>
      </c>
      <c r="H9" s="115">
        <f>(G9+G13*Предпосылки!$D$122)/(1+Предпосылки!$D$172/12)^(H$2-1)</f>
        <v>610009.9046191934</v>
      </c>
      <c r="I9" s="115">
        <f>(H9+H13*Предпосылки!$D$122)/(1+Предпосылки!$D$172/12)^(I$2-1)</f>
        <v>654422.24701490649</v>
      </c>
      <c r="J9" s="115">
        <f>(I9+I13*Предпосылки!$D$122)/(1+Предпосылки!$D$172/12)^(J$2-1)</f>
        <v>689279.23394272069</v>
      </c>
      <c r="K9" s="115">
        <f>(J9+J13*Предпосылки!$D$122)/(1+Предпосылки!$D$172/12)^(K$2-1)</f>
        <v>777923.10031184566</v>
      </c>
      <c r="L9" s="115">
        <f>(K9+K13*Предпосылки!$D$122)/(1+Предпосылки!$D$172/12)^(L$2-1)</f>
        <v>806482.90976796625</v>
      </c>
      <c r="M9" s="115">
        <f>(L9+L13*Предпосылки!$D$122)/(1+Предпосылки!$D$172/12)^(M$2-1)</f>
        <v>824453.50007149356</v>
      </c>
      <c r="N9" s="115">
        <f>(M9+M13*Предпосылки!$D$122)/(1+Предпосылки!$D$172/12)^(N$2-1)</f>
        <v>882465.76830411563</v>
      </c>
      <c r="O9" s="115">
        <f>(N13*Предпосылки!$D$122)/(1+Предпосылки!$D$173/12)^(O$2-1)</f>
        <v>105596.9276374324</v>
      </c>
      <c r="P9" s="115">
        <f>(O13*Предпосылки!$D$122)/(1+Предпосылки!$D$173/12)^(P$2-1)</f>
        <v>160552.24206600548</v>
      </c>
      <c r="Q9" s="115">
        <f>(P13*Предпосылки!$D$122)/(1+Предпосылки!$D$173/12)^(Q$2-1)</f>
        <v>86094.929947564058</v>
      </c>
      <c r="R9" s="115">
        <f>(Q13*Предпосылки!$D$122)/(1+Предпосылки!$D$173/12)^(R$2-1)</f>
        <v>137751.28769262673</v>
      </c>
      <c r="S9" s="115">
        <f>(R13*Предпосылки!$D$122)/(1+Предпосылки!$D$173/12)^(S$2-1)</f>
        <v>136850.35618110118</v>
      </c>
      <c r="T9" s="115">
        <f>(S13*Предпосылки!$D$122)/(1+Предпосылки!$D$173/12)^(T$2-1)</f>
        <v>84416.700104732794</v>
      </c>
      <c r="U9" s="115">
        <f>(T13*Предпосылки!$D$122)/(1+Предпосылки!$D$173/12)^(U$2-1)</f>
        <v>135066.131644123</v>
      </c>
      <c r="V9" s="115">
        <f>(U9+U13*Предпосылки!$D$122)/(1+Предпосылки!$D$173/12)^(U$2-1)</f>
        <v>254300.51018861693</v>
      </c>
      <c r="W9" s="115">
        <f>(V9+V13*Предпосылки!$D$122)/(1+Предпосылки!$D$173/12)^(C$2-1)</f>
        <v>524845.27877004747</v>
      </c>
      <c r="X9" s="115">
        <f>(W9+W13*Предпосылки!$D$122)/(1+Предпосылки!$D$173/12)^(D$2-1)</f>
        <v>684799.07819158735</v>
      </c>
      <c r="Y9" s="115">
        <f>(X9+X13*Предпосылки!$D$122)/(1+Предпосылки!$D$173/12)^(E$2-1)</f>
        <v>785189.27501326508</v>
      </c>
      <c r="Z9" s="115">
        <f>(Y9+Y13*Предпосылки!$D$122)/(1+Предпосылки!$D$173/12)^(F$2-1)</f>
        <v>936289.11707463954</v>
      </c>
      <c r="AA9" s="115">
        <f>(Z13*Предпосылки!$D$122)/(1+Предпосылки!$D$174/12)^(G$2-1)</f>
        <v>170955.29138537752</v>
      </c>
      <c r="AB9" s="115">
        <f>AA9+(AA13*Предпосылки!$D$122)/(1+Предпосылки!$D$174/12)^(H$2-1)</f>
        <v>295531.05730791483</v>
      </c>
      <c r="AC9" s="115">
        <f>AB9+(AB13*Предпосылки!$D$122)/(1+Предпосылки!$D$174/12)^(I$2-1)</f>
        <v>451067.74507463258</v>
      </c>
      <c r="AD9" s="115">
        <f>AC9+(AC13*Предпосылки!$D$122)/(1+Предпосылки!$D$174/12)^(J$2-1)</f>
        <v>605702.39736962947</v>
      </c>
      <c r="AE9" s="115">
        <f>AD9+(AD13*Предпосылки!$D$122)/(1+Предпосылки!$D$174/12)^(K$2-1)</f>
        <v>856238.14996025315</v>
      </c>
      <c r="AF9" s="115">
        <f>AE9+(AE13*Предпосылки!$D$122)/(1+Предпосылки!$D$174/12)^(L$2-1)</f>
        <v>1105320.919727236</v>
      </c>
      <c r="AG9" s="115">
        <f>AF9+(AF13*Предпосылки!$D$122)/(1+Предпосылки!$D$174/12)^(M$2-1)</f>
        <v>1257280.7325699385</v>
      </c>
      <c r="AH9" s="115">
        <f>AG9+(AG13*Предпосылки!$D$122)/(1+Предпосылки!$D$174/12)^(N$2-1)</f>
        <v>1361730.0807449834</v>
      </c>
      <c r="AI9" s="115">
        <f>AH9+(AH13*Предпосылки!$D$122)/(1+Предпосылки!$D$174/12)^(O$2-1)</f>
        <v>1527694.3959597989</v>
      </c>
      <c r="AJ9" s="115">
        <f>AI9+(AI13*Предпосылки!$D$122)/(1+Предпосылки!$D$174/12)^(P$2-1)</f>
        <v>1692696.200647271</v>
      </c>
      <c r="AK9" s="115">
        <f>AJ9+(AJ13*Предпосылки!$D$122)/(1+Предпосылки!$D$174/12)^(Q$2-1)</f>
        <v>1805419.7748252314</v>
      </c>
      <c r="AL9" s="115">
        <f>AK9+(AK13*Предпосылки!$D$122)/(1+Предпосылки!$D$174/12)^(R$2-1)</f>
        <v>1975802.367193155</v>
      </c>
      <c r="AM9" s="112"/>
      <c r="AN9" s="112"/>
      <c r="AO9" s="112"/>
    </row>
    <row r="10" spans="1:41" ht="13.2" x14ac:dyDescent="0.25">
      <c r="A10" s="108" t="s">
        <v>221</v>
      </c>
      <c r="B10" s="113">
        <f t="shared" ref="B10:AK10" si="5">SUM(B11:B13)</f>
        <v>275</v>
      </c>
      <c r="C10" s="113">
        <f t="shared" si="5"/>
        <v>275</v>
      </c>
      <c r="D10" s="113">
        <f t="shared" si="5"/>
        <v>435</v>
      </c>
      <c r="E10" s="113">
        <f t="shared" si="5"/>
        <v>240</v>
      </c>
      <c r="F10" s="113">
        <f t="shared" si="5"/>
        <v>240</v>
      </c>
      <c r="G10" s="113">
        <f t="shared" si="5"/>
        <v>390</v>
      </c>
      <c r="H10" s="113">
        <f t="shared" si="5"/>
        <v>216</v>
      </c>
      <c r="I10" s="113">
        <f t="shared" si="5"/>
        <v>216</v>
      </c>
      <c r="J10" s="113">
        <f t="shared" si="5"/>
        <v>477</v>
      </c>
      <c r="K10" s="113">
        <f t="shared" si="5"/>
        <v>264</v>
      </c>
      <c r="L10" s="113">
        <f t="shared" si="5"/>
        <v>264</v>
      </c>
      <c r="M10" s="113">
        <f t="shared" si="5"/>
        <v>498</v>
      </c>
      <c r="N10" s="113">
        <f t="shared" si="5"/>
        <v>275</v>
      </c>
      <c r="O10" s="113">
        <f t="shared" si="5"/>
        <v>528</v>
      </c>
      <c r="P10" s="113">
        <f t="shared" si="5"/>
        <v>243</v>
      </c>
      <c r="Q10" s="113">
        <f t="shared" si="5"/>
        <v>459</v>
      </c>
      <c r="R10" s="113">
        <f t="shared" si="5"/>
        <v>459</v>
      </c>
      <c r="S10" s="113">
        <f t="shared" si="5"/>
        <v>243</v>
      </c>
      <c r="T10" s="113">
        <f t="shared" si="5"/>
        <v>459</v>
      </c>
      <c r="U10" s="113">
        <f t="shared" si="5"/>
        <v>459</v>
      </c>
      <c r="V10" s="113">
        <f t="shared" si="5"/>
        <v>752</v>
      </c>
      <c r="W10" s="113">
        <f t="shared" si="5"/>
        <v>507</v>
      </c>
      <c r="X10" s="113">
        <f t="shared" si="5"/>
        <v>278</v>
      </c>
      <c r="Y10" s="113">
        <f t="shared" si="5"/>
        <v>528</v>
      </c>
      <c r="Z10" s="113">
        <f t="shared" si="5"/>
        <v>528</v>
      </c>
      <c r="AA10" s="113">
        <f t="shared" si="5"/>
        <v>309</v>
      </c>
      <c r="AB10" s="113">
        <f t="shared" si="5"/>
        <v>486</v>
      </c>
      <c r="AC10" s="113">
        <f t="shared" si="5"/>
        <v>486</v>
      </c>
      <c r="AD10" s="113">
        <f t="shared" si="5"/>
        <v>724</v>
      </c>
      <c r="AE10" s="113">
        <f t="shared" si="5"/>
        <v>724</v>
      </c>
      <c r="AF10" s="113">
        <f t="shared" si="5"/>
        <v>486</v>
      </c>
      <c r="AG10" s="113">
        <f t="shared" si="5"/>
        <v>268</v>
      </c>
      <c r="AH10" s="113">
        <f t="shared" si="5"/>
        <v>537</v>
      </c>
      <c r="AI10" s="113">
        <f t="shared" si="5"/>
        <v>537</v>
      </c>
      <c r="AJ10" s="113">
        <f t="shared" si="5"/>
        <v>295</v>
      </c>
      <c r="AK10" s="113">
        <f t="shared" si="5"/>
        <v>561</v>
      </c>
      <c r="AL10" s="113"/>
    </row>
    <row r="11" spans="1:41" ht="13.2" x14ac:dyDescent="0.25">
      <c r="A11" s="108" t="s">
        <v>222</v>
      </c>
      <c r="B11" s="3">
        <f>ROUNDDOWN(B3*IF(COUNT(B23:B27)&gt;0,Предпосылки!$B$150,IF(COUNT(B23:B27)&gt;3,Предпосылки!$B$151,Предпосылки!$B$149))*Предпосылки!$E$122,0)</f>
        <v>80</v>
      </c>
      <c r="C11" s="3">
        <f>ROUNDDOWN(C3*IF(COUNT(C23:C27)&gt;0,Предпосылки!$B$150,IF(COUNT(C23:C27)&gt;3,Предпосылки!$B$151,Предпосылки!$B$149))*Предпосылки!$E$122,0)</f>
        <v>80</v>
      </c>
      <c r="D11" s="3">
        <f>ROUNDDOWN(D3*IF(COUNT(D23:D27)&gt;0,Предпосылки!$B$150,IF(COUNT(D23:D27)&gt;3,Предпосылки!$B$151,Предпосылки!$B$149))*Предпосылки!$E$122,0)</f>
        <v>145</v>
      </c>
      <c r="E11" s="3">
        <f>ROUNDDOWN(E3*IF(COUNT(E23:E27)&gt;0,Предпосылки!$B$150,IF(COUNT(E23:E27)&gt;3,Предпосылки!$B$151,Предпосылки!$B$149))*Предпосылки!$E$122,0)</f>
        <v>70</v>
      </c>
      <c r="F11" s="3">
        <f>ROUNDDOWN(F3*IF(COUNT(F23:F27)&gt;0,Предпосылки!$B$150,IF(COUNT(F23:F27)&gt;3,Предпосылки!$B$151,Предпосылки!$B$149))*Предпосылки!$E$122,0)</f>
        <v>70</v>
      </c>
      <c r="G11" s="3">
        <f>ROUNDDOWN(G3*IF(COUNT(G23:G27)&gt;0,Предпосылки!$B$150,IF(COUNT(G23:G27)&gt;3,Предпосылки!$B$151,Предпосылки!$B$149))*Предпосылки!$E$122,0)</f>
        <v>130</v>
      </c>
      <c r="H11" s="3">
        <f>ROUNDDOWN(H3*IF(COUNT(H23:H27)&gt;0,Предпосылки!$B$150,IF(COUNT(H23:H27)&gt;3,Предпосылки!$B$151,Предпосылки!$B$149))*Предпосылки!$E$122,0)</f>
        <v>63</v>
      </c>
      <c r="I11" s="3">
        <f>ROUNDDOWN(I3*IF(COUNT(I23:I27)&gt;0,Предпосылки!$B$150,IF(COUNT(I23:I27)&gt;3,Предпосылки!$B$151,Предпосылки!$B$149))*Предпосылки!$E$122,0)</f>
        <v>63</v>
      </c>
      <c r="J11" s="3">
        <f>ROUNDDOWN(J3*IF(COUNT(J23:J27)&gt;0,Предпосылки!$B$150,IF(COUNT(J23:J27)&gt;3,Предпосылки!$B$151,Предпосылки!$B$149))*Предпосылки!$E$122,0)</f>
        <v>159</v>
      </c>
      <c r="K11" s="3">
        <f>ROUNDDOWN(K3*IF(COUNT(K23:K27)&gt;0,Предпосылки!$B$150,IF(COUNT(K23:K27)&gt;3,Предпосылки!$B$151,Предпосылки!$B$149))*Предпосылки!$E$122,0)</f>
        <v>77</v>
      </c>
      <c r="L11" s="3">
        <f>ROUNDDOWN(L3*IF(COUNT(L23:L27)&gt;0,Предпосылки!$B$150,IF(COUNT(L23:L27)&gt;3,Предпосылки!$B$151,Предпосылки!$B$149))*Предпосылки!$E$122,0)</f>
        <v>77</v>
      </c>
      <c r="M11" s="3">
        <f>ROUNDDOWN(M3*IF(COUNT(M23:M27)&gt;0,Предпосылки!$B$150,IF(COUNT(M23:M27)&gt;3,Предпосылки!$B$151,Предпосылки!$B$149))*Предпосылки!$E$122,0)</f>
        <v>166</v>
      </c>
      <c r="N11" s="3">
        <f>ROUNDDOWN(N3*IF(COUNT(N23:N27)&gt;0,Предпосылки!$B$150,IF(COUNT(N23:N27)&gt;3,Предпосылки!$B$151,Предпосылки!$B$149))*Предпосылки!$E$122,0)</f>
        <v>80</v>
      </c>
      <c r="O11" s="3">
        <f>ROUNDDOWN(O3*IF(COUNT(O23:O27)&lt;3,Предпосылки!$B$150,IF(COUNT(O23:O27)&gt;3,Предпосылки!$B$151,Предпосылки!$B$149))*Предпосылки!$E$122*(1+Предпосылки!$B$152),0)</f>
        <v>176</v>
      </c>
      <c r="P11" s="3">
        <f>ROUNDDOWN(P3*IF(COUNT(P23:P27)&lt;3,Предпосылки!$B$150,IF(COUNT(P23:P27)&gt;3,Предпосылки!$B$151,Предпосылки!$B$149))*Предпосылки!$E$122*(1+Предпосылки!$B$152),0)</f>
        <v>74</v>
      </c>
      <c r="Q11" s="3">
        <f>ROUNDDOWN(Q3*IF(COUNT(Q23:Q27)&lt;3,Предпосылки!$B$150,IF(COUNT(Q23:Q27)&gt;3,Предпосылки!$B$151,Предпосылки!$B$149))*Предпосылки!$E$122*(1+Предпосылки!$B$152),0)</f>
        <v>153</v>
      </c>
      <c r="R11" s="3">
        <f>ROUNDDOWN(R3*IF(COUNT(R23:R27)&lt;3,Предпосылки!$B$150,IF(COUNT(R23:R27)&gt;3,Предпосылки!$B$151,Предпосылки!$B$149))*Предпосылки!$E$122*(1+Предпосылки!$B$152),0)</f>
        <v>153</v>
      </c>
      <c r="S11" s="3">
        <f>ROUNDDOWN(S3*IF(COUNT(S23:S27)&lt;3,Предпосылки!$B$150,IF(COUNT(S23:S27)&gt;3,Предпосылки!$B$151,Предпосылки!$B$149))*Предпосылки!$E$122*(1+Предпосылки!$B$152),0)</f>
        <v>74</v>
      </c>
      <c r="T11" s="3">
        <f>ROUNDDOWN(T3*IF(COUNT(T23:T27)&lt;3,Предпосылки!$B$150,IF(COUNT(T23:T27)&gt;3,Предпосылки!$B$151,Предпосылки!$B$149))*Предпосылки!$E$122*(1+Предпосылки!$B$152),0)</f>
        <v>153</v>
      </c>
      <c r="U11" s="3">
        <f>ROUNDDOWN(U3*IF(COUNT(U23:U27)&lt;3,Предпосылки!$B$150,IF(COUNT(U23:U27)&gt;3,Предпосылки!$B$151,Предпосылки!$B$149))*Предпосылки!$E$122*(1+Предпосылки!$B$152),0)</f>
        <v>153</v>
      </c>
      <c r="V11" s="3">
        <f>ROUNDDOWN(V3*IF(COUNT(V23:V27)&lt;3,Предпосылки!$B$150,IF(COUNT(V23:V27)&gt;3,Предпосылки!$B$151,Предпосылки!$B$149))*Предпосылки!$E$122*(1+Предпосылки!$B$152),0)</f>
        <v>239</v>
      </c>
      <c r="W11" s="3">
        <f>ROUNDDOWN(W3*IF(COUNT(W23:W27)&lt;3,Предпосылки!$B$150,IF(COUNT(W23:W27)&gt;3,Предпосылки!$B$151,Предпосылки!$B$149))*Предпосылки!$E$122*(1+Предпосылки!$B$152),0)</f>
        <v>169</v>
      </c>
      <c r="X11" s="3">
        <f>ROUNDDOWN(X3*IF(COUNT(X23:X27)&lt;3,Предпосылки!$B$150,IF(COUNT(X23:X27)&gt;3,Предпосылки!$B$151,Предпосылки!$B$149))*Предпосылки!$E$122*(1+Предпосылки!$B$152),0)</f>
        <v>81</v>
      </c>
      <c r="Y11" s="3">
        <f>ROUNDDOWN(Y3*IF(COUNT(Y23:Y27)&lt;3,Предпосылки!$B$150,IF(COUNT(Y23:Y27)&gt;3,Предпосылки!$B$151,Предпосылки!$B$149))*Предпосылки!$E$122*(1+Предпосылки!$B$152),0)</f>
        <v>176</v>
      </c>
      <c r="Z11" s="3">
        <f>ROUNDDOWN(Z3*IF(COUNT(Z23:Z27)&lt;3,Предпосылки!$B$150,IF(COUNT(Z23:Z27)&gt;3,Предпосылки!$B$151,Предпосылки!$B$149))*Предпосылки!$E$122*(1+Предпосылки!$B$152),0)</f>
        <v>176</v>
      </c>
      <c r="AA11" s="3">
        <f>ROUNDDOWN(AA3*IF(COUNT(AA23:AA27)&lt;3,Предпосылки!$B$150,IF(COUNT(AA23:AA27)&gt;3,Предпосылки!$B$151,Предпосылки!$B$149))*Предпосылки!$E$122*(1+Предпосылки!$B$152)^2,0)</f>
        <v>90</v>
      </c>
      <c r="AB11" s="3">
        <f>ROUNDDOWN(AB3*IF(COUNT(AB23:AB27)&lt;3,Предпосылки!$B$150,IF(COUNT(AB23:AB27)&gt;3,Предпосылки!$B$151,Предпосылки!$B$149))*Предпосылки!$E$122*(1+Предпосылки!$B$152)^2,0)</f>
        <v>162</v>
      </c>
      <c r="AC11" s="3">
        <f>ROUNDDOWN(AC3*IF(COUNT(AC23:AC27)&lt;3,Предпосылки!$B$150,IF(COUNT(AC23:AC27)&gt;3,Предпосылки!$B$151,Предпосылки!$B$149))*Предпосылки!$E$122*(1+Предпосылки!$B$152)^2,0)</f>
        <v>162</v>
      </c>
      <c r="AD11" s="3">
        <f>ROUNDDOWN(AD3*IF(COUNT(AD23:AD27)&lt;3,Предпосылки!$B$150,IF(COUNT(AD23:AD27)&gt;3,Предпосылки!$B$151,Предпосылки!$B$149))*Предпосылки!$E$122*(1+Предпосылки!$B$152)^2,0)</f>
        <v>230</v>
      </c>
      <c r="AE11" s="3">
        <f>ROUNDDOWN(AE3*IF(COUNT(AE23:AE27)&lt;3,Предпосылки!$B$150,IF(COUNT(AE23:AE27)&gt;3,Предпосылки!$B$151,Предпосылки!$B$149))*Предпосылки!$E$122*(1+Предпосылки!$B$152)^2,0)</f>
        <v>230</v>
      </c>
      <c r="AF11" s="3">
        <f>ROUNDDOWN(AF3*IF(COUNT(AF23:AF27)&lt;3,Предпосылки!$B$150,IF(COUNT(AF23:AF27)&gt;3,Предпосылки!$B$151,Предпосылки!$B$149))*Предпосылки!$E$122*(1+Предпосылки!$B$152)^2,0)</f>
        <v>162</v>
      </c>
      <c r="AG11" s="3">
        <f>ROUNDDOWN(AG3*IF(COUNT(AG23:AG27)&lt;3,Предпосылки!$B$150,IF(COUNT(AG23:AG27)&gt;3,Предпосылки!$B$151,Предпосылки!$B$149))*Предпосылки!$E$122*(1+Предпосылки!$B$152)^2,0)</f>
        <v>78</v>
      </c>
      <c r="AH11" s="3">
        <f>ROUNDDOWN(AH3*IF(COUNT(AH23:AH27)&lt;3,Предпосылки!$B$150,IF(COUNT(AH23:AH27)&gt;3,Предпосылки!$B$151,Предпосылки!$B$149))*Предпосылки!$E$122*(1+Предпосылки!$B$152)^2,0)</f>
        <v>179</v>
      </c>
      <c r="AI11" s="3">
        <f>ROUNDDOWN(AI3*IF(COUNT(AI23:AI27)&lt;3,Предпосылки!$B$150,IF(COUNT(AI23:AI27)&gt;3,Предпосылки!$B$151,Предпосылки!$B$149))*Предпосылки!$E$122*(1+Предпосылки!$B$152)^2,0)</f>
        <v>179</v>
      </c>
      <c r="AJ11" s="3">
        <f>ROUNDDOWN(AJ3*IF(COUNT(AJ23:AJ27)&lt;3,Предпосылки!$B$150,IF(COUNT(AJ23:AJ27)&gt;3,Предпосылки!$B$151,Предпосылки!$B$149))*Предпосылки!$E$122*(1+Предпосылки!$B$152)^2,0)</f>
        <v>86</v>
      </c>
      <c r="AK11" s="3">
        <f>ROUNDDOWN(AK3*IF(COUNT(AK23:AK27)&lt;3,Предпосылки!$B$150,IF(COUNT(AK23:AK27)&gt;3,Предпосылки!$B$151,Предпосылки!$B$149))*Предпосылки!$E$122*(1+Предпосылки!$B$152)^2,0)</f>
        <v>187</v>
      </c>
    </row>
    <row r="12" spans="1:41" ht="13.2" x14ac:dyDescent="0.25">
      <c r="A12" s="108" t="s">
        <v>223</v>
      </c>
      <c r="B12" s="3">
        <f>ROUNDDOWN(B3*IF(COUNT(B23:B27)&gt;0,Предпосылки!$B$150,IF(COUNT(B23:B27)&gt;3,Предпосылки!$B$151,Предпосылки!$B$149))*Предпосылки!$E$123,0)</f>
        <v>80</v>
      </c>
      <c r="C12" s="3">
        <f>ROUNDDOWN(C3*IF(COUNT(C23:C27)&gt;0,Предпосылки!$B$150,IF(COUNT(C23:C27)&gt;3,Предпосылки!$B$151,Предпосылки!$B$149))*Предпосылки!$E$123,0)</f>
        <v>80</v>
      </c>
      <c r="D12" s="3">
        <f>ROUNDDOWN(D3*IF(COUNT(D23:D27)&gt;0,Предпосылки!$B$150,IF(COUNT(D23:D27)&gt;3,Предпосылки!$B$151,Предпосылки!$B$149))*Предпосылки!$E$123,0)</f>
        <v>145</v>
      </c>
      <c r="E12" s="3">
        <f>ROUNDDOWN(E3*IF(COUNT(E23:E27)&gt;0,Предпосылки!$B$150,IF(COUNT(E23:E27)&gt;3,Предпосылки!$B$151,Предпосылки!$B$149))*Предпосылки!$E$123,0)</f>
        <v>70</v>
      </c>
      <c r="F12" s="3">
        <f>ROUNDDOWN(F3*IF(COUNT(F23:F27)&gt;0,Предпосылки!$B$150,IF(COUNT(F23:F27)&gt;3,Предпосылки!$B$151,Предпосылки!$B$149))*Предпосылки!$E$123,0)</f>
        <v>70</v>
      </c>
      <c r="G12" s="3">
        <f>ROUNDDOWN(G3*IF(COUNT(G23:G27)&gt;0,Предпосылки!$B$150,IF(COUNT(G23:G27)&gt;3,Предпосылки!$B$151,Предпосылки!$B$149))*Предпосылки!$E$123,0)</f>
        <v>130</v>
      </c>
      <c r="H12" s="3">
        <f>ROUNDDOWN(H3*IF(COUNT(H23:H27)&gt;0,Предпосылки!$B$150,IF(COUNT(H23:H27)&gt;3,Предпосылки!$B$151,Предпосылки!$B$149))*Предпосылки!$E$123,0)</f>
        <v>63</v>
      </c>
      <c r="I12" s="3">
        <f>ROUNDDOWN(I3*IF(COUNT(I23:I27)&gt;0,Предпосылки!$B$150,IF(COUNT(I23:I27)&gt;3,Предпосылки!$B$151,Предпосылки!$B$149))*Предпосылки!$E$123,0)</f>
        <v>63</v>
      </c>
      <c r="J12" s="3">
        <f>ROUNDDOWN(J3*IF(COUNT(J23:J27)&gt;0,Предпосылки!$B$150,IF(COUNT(J23:J27)&gt;3,Предпосылки!$B$151,Предпосылки!$B$149))*Предпосылки!$E$123,0)</f>
        <v>159</v>
      </c>
      <c r="K12" s="3">
        <f>ROUNDDOWN(K3*IF(COUNT(K23:K27)&gt;0,Предпосылки!$B$150,IF(COUNT(K23:K27)&gt;3,Предпосылки!$B$151,Предпосылки!$B$149))*Предпосылки!$E$123,0)</f>
        <v>77</v>
      </c>
      <c r="L12" s="3">
        <f>ROUNDDOWN(L3*IF(COUNT(L23:L27)&gt;0,Предпосылки!$B$150,IF(COUNT(L23:L27)&gt;3,Предпосылки!$B$151,Предпосылки!$B$149))*Предпосылки!$E$123,0)</f>
        <v>77</v>
      </c>
      <c r="M12" s="3">
        <f>ROUNDDOWN(M3*IF(COUNT(M23:M27)&gt;0,Предпосылки!$B$150,IF(COUNT(M23:M27)&gt;3,Предпосылки!$B$151,Предпосылки!$B$149))*Предпосылки!$E$123,0)</f>
        <v>166</v>
      </c>
      <c r="N12" s="3">
        <f>ROUNDDOWN(N3*IF(COUNT(N23:N27)&gt;0,Предпосылки!$B$150,IF(COUNT(N23:N27)&gt;3,Предпосылки!$B$151,Предпосылки!$B$149))*Предпосылки!$E$123,0)</f>
        <v>80</v>
      </c>
      <c r="O12" s="3">
        <f>ROUNDDOWN(O3*IF(COUNT(O23:O27)&lt;3,Предпосылки!$B$150,IF(COUNT(O23:O27)&gt;3,Предпосылки!$B$151,Предпосылки!$B$149))*Предпосылки!$E$123*(1+Предпосылки!$B$152),0)</f>
        <v>176</v>
      </c>
      <c r="P12" s="3">
        <f>ROUNDDOWN(P3*IF(COUNT(P23:P27)&lt;3,Предпосылки!$B$150,IF(COUNT(P23:P27)&gt;3,Предпосылки!$B$151,Предпосылки!$B$149))*Предпосылки!$E$123*(1+Предпосылки!$B$152),0)</f>
        <v>74</v>
      </c>
      <c r="Q12" s="3">
        <f>ROUNDDOWN(Q3*IF(COUNT(Q23:Q27)&lt;3,Предпосылки!$B$150,IF(COUNT(Q23:Q27)&gt;3,Предпосылки!$B$151,Предпосылки!$B$149))*Предпосылки!$E$123*(1+Предпосылки!$B$152),0)</f>
        <v>153</v>
      </c>
      <c r="R12" s="3">
        <f>ROUNDDOWN(R3*IF(COUNT(R23:R27)&lt;3,Предпосылки!$B$150,IF(COUNT(R23:R27)&gt;3,Предпосылки!$B$151,Предпосылки!$B$149))*Предпосылки!$E$123*(1+Предпосылки!$B$152),0)</f>
        <v>153</v>
      </c>
      <c r="S12" s="3">
        <f>ROUNDDOWN(S3*IF(COUNT(S23:S27)&lt;3,Предпосылки!$B$150,IF(COUNT(S23:S27)&gt;3,Предпосылки!$B$151,Предпосылки!$B$149))*Предпосылки!$E$123*(1+Предпосылки!$B$152),0)</f>
        <v>74</v>
      </c>
      <c r="T12" s="3">
        <f>ROUNDDOWN(T3*IF(COUNT(T23:T27)&lt;3,Предпосылки!$B$150,IF(COUNT(T23:T27)&gt;3,Предпосылки!$B$151,Предпосылки!$B$149))*Предпосылки!$E$123*(1+Предпосылки!$B$152),0)</f>
        <v>153</v>
      </c>
      <c r="U12" s="3">
        <f>ROUNDDOWN(U3*IF(COUNT(U23:U27)&lt;3,Предпосылки!$B$150,IF(COUNT(U23:U27)&gt;3,Предпосылки!$B$151,Предпосылки!$B$149))*Предпосылки!$E$123*(1+Предпосылки!$B$152),0)</f>
        <v>153</v>
      </c>
      <c r="V12" s="3">
        <f>ROUNDDOWN(V3*IF(COUNT(V23:V27)&lt;3,Предпосылки!$B$150,IF(COUNT(V23:V27)&gt;3,Предпосылки!$B$151,Предпосылки!$B$149))*Предпосылки!$E$123*(1+Предпосылки!$B$152),0)</f>
        <v>239</v>
      </c>
      <c r="W12" s="3">
        <f>ROUNDDOWN(W3*IF(COUNT(W23:W27)&lt;3,Предпосылки!$B$150,IF(COUNT(W23:W27)&gt;3,Предпосылки!$B$151,Предпосылки!$B$149))*Предпосылки!$E$123*(1+Предпосылки!$B$152),0)</f>
        <v>169</v>
      </c>
      <c r="X12" s="3">
        <f>ROUNDDOWN(X3*IF(COUNT(X23:X27)&lt;3,Предпосылки!$B$150,IF(COUNT(X23:X27)&gt;3,Предпосылки!$B$151,Предпосылки!$B$149))*Предпосылки!$E$123*(1+Предпосылки!$B$152),0)</f>
        <v>81</v>
      </c>
      <c r="Y12" s="3">
        <f>ROUNDDOWN(Y3*IF(COUNT(Y23:Y27)&lt;3,Предпосылки!$B$150,IF(COUNT(Y23:Y27)&gt;3,Предпосылки!$B$151,Предпосылки!$B$149))*Предпосылки!$E$123*(1+Предпосылки!$B$152),0)</f>
        <v>176</v>
      </c>
      <c r="Z12" s="3">
        <f>ROUNDDOWN(Z3*IF(COUNT(Z23:Z27)&lt;3,Предпосылки!$B$150,IF(COUNT(Z23:Z27)&gt;3,Предпосылки!$B$151,Предпосылки!$B$149))*Предпосылки!$E$123*(1+Предпосылки!$B$152),0)</f>
        <v>176</v>
      </c>
      <c r="AA12" s="3">
        <f>ROUNDDOWN(AA3*IF(COUNT(AA23:AA27)&lt;3,Предпосылки!$B$150,IF(COUNT(AA23:AA27)&gt;3,Предпосылки!$B$151,Предпосылки!$B$149))*Предпосылки!$E$123*(1+Предпосылки!$B$152)^2,0)</f>
        <v>90</v>
      </c>
      <c r="AB12" s="3">
        <f>ROUNDDOWN(AB3*IF(COUNT(AB23:AB27)&lt;3,Предпосылки!$B$150,IF(COUNT(AB23:AB27)&gt;3,Предпосылки!$B$151,Предпосылки!$B$149))*Предпосылки!$E$123*(1+Предпосылки!$B$152)^2,0)</f>
        <v>162</v>
      </c>
      <c r="AC12" s="3">
        <f>ROUNDDOWN(AC3*IF(COUNT(AC23:AC27)&lt;3,Предпосылки!$B$150,IF(COUNT(AC23:AC27)&gt;3,Предпосылки!$B$151,Предпосылки!$B$149))*Предпосылки!$E$123*(1+Предпосылки!$B$152)^2,0)</f>
        <v>162</v>
      </c>
      <c r="AD12" s="3">
        <f>ROUNDDOWN(AD3*IF(COUNT(AD23:AD27)&lt;3,Предпосылки!$B$150,IF(COUNT(AD23:AD27)&gt;3,Предпосылки!$B$151,Предпосылки!$B$149))*Предпосылки!$E$123*(1+Предпосылки!$B$152)^2,0)</f>
        <v>230</v>
      </c>
      <c r="AE12" s="3">
        <f>ROUNDDOWN(AE3*IF(COUNT(AE23:AE27)&lt;3,Предпосылки!$B$150,IF(COUNT(AE23:AE27)&gt;3,Предпосылки!$B$151,Предпосылки!$B$149))*Предпосылки!$E$123*(1+Предпосылки!$B$152)^2,0)</f>
        <v>230</v>
      </c>
      <c r="AF12" s="3">
        <f>ROUNDDOWN(AF3*IF(COUNT(AF23:AF27)&lt;3,Предпосылки!$B$150,IF(COUNT(AF23:AF27)&gt;3,Предпосылки!$B$151,Предпосылки!$B$149))*Предпосылки!$E$123*(1+Предпосылки!$B$152)^2,0)</f>
        <v>162</v>
      </c>
      <c r="AG12" s="3">
        <f>ROUNDDOWN(AG3*IF(COUNT(AG23:AG27)&lt;3,Предпосылки!$B$150,IF(COUNT(AG23:AG27)&gt;3,Предпосылки!$B$151,Предпосылки!$B$149))*Предпосылки!$E$123*(1+Предпосылки!$B$152)^2,0)</f>
        <v>78</v>
      </c>
      <c r="AH12" s="3">
        <f>ROUNDDOWN(AH3*IF(COUNT(AH23:AH27)&lt;3,Предпосылки!$B$150,IF(COUNT(AH23:AH27)&gt;3,Предпосылки!$B$151,Предпосылки!$B$149))*Предпосылки!$E$123*(1+Предпосылки!$B$152)^2,0)</f>
        <v>179</v>
      </c>
      <c r="AI12" s="3">
        <f>ROUNDDOWN(AI3*IF(COUNT(AI23:AI27)&lt;3,Предпосылки!$B$150,IF(COUNT(AI23:AI27)&gt;3,Предпосылки!$B$151,Предпосылки!$B$149))*Предпосылки!$E$123*(1+Предпосылки!$B$152)^2,0)</f>
        <v>179</v>
      </c>
      <c r="AJ12" s="3">
        <f>ROUNDDOWN(AJ3*IF(COUNT(AJ23:AJ27)&lt;3,Предпосылки!$B$150,IF(COUNT(AJ23:AJ27)&gt;3,Предпосылки!$B$151,Предпосылки!$B$149))*Предпосылки!$E$123*(1+Предпосылки!$B$152)^2,0)</f>
        <v>86</v>
      </c>
      <c r="AK12" s="3">
        <f>ROUNDDOWN(AK3*IF(COUNT(AK23:AK27)&lt;3,Предпосылки!$B$150,IF(COUNT(AK23:AK27)&gt;3,Предпосылки!$B$151,Предпосылки!$B$149))*Предпосылки!$E$123*(1+Предпосылки!$B$152)^2,0)</f>
        <v>187</v>
      </c>
    </row>
    <row r="13" spans="1:41" ht="13.2" x14ac:dyDescent="0.25">
      <c r="A13" s="108" t="s">
        <v>224</v>
      </c>
      <c r="B13" s="113">
        <f>ROUNDDOWN(B3*IF(COUNT(B23:B27)&gt;0,Предпосылки!$B$150,(IF(COUNT(B23:B27)&gt;3,Предпосылки!$B$151,Предпосылки!$B$149))+3%)*Предпосылки!$E$124,0)</f>
        <v>115</v>
      </c>
      <c r="C13" s="113">
        <f>ROUNDDOWN(C3*IF(COUNT(C23:C27)&gt;0,Предпосылки!$B$150,(IF(COUNT(C23:C27)&gt;3,Предпосылки!$B$151,Предпосылки!$B$149))+3%)*Предпосылки!$E$124,0)</f>
        <v>115</v>
      </c>
      <c r="D13" s="113">
        <f>ROUNDDOWN(D3*IF(COUNT(D23:D27)&gt;0,Предпосылки!$B$150,(IF(COUNT(D23:D27)&gt;3,Предпосылки!$B$151,Предпосылки!$B$149))+3%)*Предпосылки!$E$124,0)</f>
        <v>145</v>
      </c>
      <c r="E13" s="113">
        <f>ROUNDDOWN(E3*IF(COUNT(E23:E27)&gt;0,Предпосылки!$B$150,(IF(COUNT(E23:E27)&gt;3,Предпосылки!$B$151,Предпосылки!$B$149))+3%)*Предпосылки!$E$124,0)</f>
        <v>100</v>
      </c>
      <c r="F13" s="113">
        <f>ROUNDDOWN(F3*IF(COUNT(F23:F27)&gt;0,Предпосылки!$B$150,(IF(COUNT(F23:F27)&gt;3,Предпосылки!$B$151,Предпосылки!$B$149))+3%)*Предпосылки!$E$124,0)</f>
        <v>100</v>
      </c>
      <c r="G13" s="113">
        <f>ROUNDDOWN(G3*IF(COUNT(G23:G27)&gt;0,Предпосылки!$B$150,(IF(COUNT(G23:G27)&gt;3,Предпосылки!$B$151,Предпосылки!$B$149))+3%)*Предпосылки!$E$124,0)</f>
        <v>130</v>
      </c>
      <c r="H13" s="113">
        <f>ROUNDDOWN(H3*IF(COUNT(H23:H27)&gt;0,Предпосылки!$B$150,(IF(COUNT(H23:H27)&gt;3,Предпосылки!$B$151,Предпосылки!$B$149))+3%)*Предпосылки!$E$124,0)</f>
        <v>90</v>
      </c>
      <c r="I13" s="113">
        <f>ROUNDDOWN(I3*IF(COUNT(I23:I27)&gt;0,Предпосылки!$B$150,(IF(COUNT(I23:I27)&gt;3,Предпосылки!$B$151,Предпосылки!$B$149))+3%)*Предпосылки!$E$124,0)</f>
        <v>90</v>
      </c>
      <c r="J13" s="113">
        <f>ROUNDDOWN(J3*IF(COUNT(J23:J27)&gt;0,Предпосылки!$B$150,(IF(COUNT(J23:J27)&gt;3,Предпосылки!$B$151,Предпосылки!$B$149))+3%)*Предпосылки!$E$124,0)</f>
        <v>159</v>
      </c>
      <c r="K13" s="113">
        <f>ROUNDDOWN(K3*IF(COUNT(K23:K27)&gt;0,Предпосылки!$B$150,(IF(COUNT(K23:K27)&gt;3,Предпосылки!$B$151,Предпосылки!$B$149))+3%)*Предпосылки!$E$124,0)</f>
        <v>110</v>
      </c>
      <c r="L13" s="113">
        <f>ROUNDDOWN(L3*IF(COUNT(L23:L27)&gt;0,Предпосылки!$B$150,(IF(COUNT(L23:L27)&gt;3,Предпосылки!$B$151,Предпосылки!$B$149))+3%)*Предпосылки!$E$124,0)</f>
        <v>110</v>
      </c>
      <c r="M13" s="113">
        <f>ROUNDDOWN(M3*IF(COUNT(M23:M27)&gt;0,Предпосылки!$B$150,(IF(COUNT(M23:M27)&gt;3,Предпосылки!$B$151,Предпосылки!$B$149))+3%)*Предпосылки!$E$124,0)</f>
        <v>166</v>
      </c>
      <c r="N13" s="113">
        <f>ROUNDDOWN(N3*IF(COUNT(N23:N27)&gt;0,Предпосылки!$B$150,(IF(COUNT(N23:N27)&gt;3,Предпосылки!$B$151,Предпосылки!$B$149))+3%)*Предпосылки!$E$124,0)</f>
        <v>115</v>
      </c>
      <c r="O13" s="113">
        <f>ROUNDDOWN(O3*IF(COUNT(O23:O27)&lt;3,Предпосылки!$B$150,(IF(COUNT(O23:O27)&gt;3,Предпосылки!$B$151,Предпосылки!$B$149))+2%)*Предпосылки!$E$124*(1+Предпосылки!$B$152),0)</f>
        <v>176</v>
      </c>
      <c r="P13" s="113">
        <f>ROUNDDOWN(P3*IF(COUNT(P23:P27)&lt;3,Предпосылки!$B$150,(IF(COUNT(P23:P27)&gt;3,Предпосылки!$B$151,Предпосылки!$B$149))+2%)*Предпосылки!$E$124*(1+Предпосылки!$B$152),0)</f>
        <v>95</v>
      </c>
      <c r="Q13" s="113">
        <f>ROUNDDOWN(Q3*IF(COUNT(Q23:Q27)&lt;3,Предпосылки!$B$150,(IF(COUNT(Q23:Q27)&gt;3,Предпосылки!$B$151,Предпосылки!$B$149))+2%)*Предпосылки!$E$124*(1+Предпосылки!$B$152),0)</f>
        <v>153</v>
      </c>
      <c r="R13" s="113">
        <f>ROUNDDOWN(R3*IF(COUNT(R23:R27)&lt;3,Предпосылки!$B$150,(IF(COUNT(R23:R27)&gt;3,Предпосылки!$B$151,Предпосылки!$B$149))+2%)*Предпосылки!$E$124*(1+Предпосылки!$B$152),0)</f>
        <v>153</v>
      </c>
      <c r="S13" s="113">
        <f>ROUNDDOWN(S3*IF(COUNT(S23:S27)&lt;3,Предпосылки!$B$150,(IF(COUNT(S23:S27)&gt;3,Предпосылки!$B$151,Предпосылки!$B$149))+2%)*Предпосылки!$E$124*(1+Предпосылки!$B$152),0)</f>
        <v>95</v>
      </c>
      <c r="T13" s="113">
        <f>ROUNDDOWN(T3*IF(COUNT(T23:T27)&lt;3,Предпосылки!$B$150,(IF(COUNT(T23:T27)&gt;3,Предпосылки!$B$151,Предпосылки!$B$149))+2%)*Предпосылки!$E$124*(1+Предпосылки!$B$152),0)</f>
        <v>153</v>
      </c>
      <c r="U13" s="113">
        <f>ROUNDDOWN(U3*IF(COUNT(U23:U27)&lt;3,Предпосылки!$B$150,(IF(COUNT(U23:U27)&gt;3,Предпосылки!$B$151,Предпосылки!$B$149))+2%)*Предпосылки!$E$124*(1+Предпосылки!$B$152),0)</f>
        <v>153</v>
      </c>
      <c r="V13" s="3">
        <f>ROUNDDOWN(V3*IF(COUNT(V23:V27)&lt;3,Предпосылки!$B$150,(IF(COUNT(V23:V27)&gt;3,Предпосылки!$B$151,Предпосылки!$B$149))+3%)*Предпосылки!$E$124*(1+Предпосылки!$B$152),0)</f>
        <v>274</v>
      </c>
      <c r="W13" s="3">
        <f>ROUNDDOWN(W3*IF(COUNT(W23:W27)&lt;3,Предпосылки!$B$150,(IF(COUNT(W23:W27)&gt;3,Предпосылки!$B$151,Предпосылки!$B$149))+3%)*Предпосылки!$E$124*(1+Предпосылки!$B$152),0)</f>
        <v>169</v>
      </c>
      <c r="X13" s="3">
        <f>ROUNDDOWN(X3*IF(COUNT(X23:X27)&lt;3,Предпосылки!$B$150,(IF(COUNT(X23:X27)&gt;3,Предпосылки!$B$151,Предпосылки!$B$149))+3%)*Предпосылки!$E$124*(1+Предпосылки!$B$152),0)</f>
        <v>116</v>
      </c>
      <c r="Y13" s="3">
        <f>ROUNDDOWN(Y3*IF(COUNT(Y23:Y27)&lt;3,Предпосылки!$B$150,(IF(COUNT(Y23:Y27)&gt;3,Предпосылки!$B$151,Предпосылки!$B$149))+3%)*Предпосылки!$E$124*(1+Предпосылки!$B$152),0)</f>
        <v>176</v>
      </c>
      <c r="Z13" s="3">
        <f>ROUNDDOWN(Z3*IF(COUNT(Z23:Z27)&lt;3,Предпосылки!$B$150,(IF(COUNT(Z23:Z27)&gt;3,Предпосылки!$B$151,Предпосылки!$B$149))+3%)*Предпосылки!$E$124*(1+Предпосылки!$B$152),0)</f>
        <v>176</v>
      </c>
      <c r="AA13" s="3">
        <f>ROUNDDOWN(AA3*IF(COUNT(AA23:AA27)&lt;3,Предпосылки!$B$150,(IF(COUNT(AA23:AA27)&gt;3,Предпосылки!$B$151,Предпосылки!$B$149))+3%)*Предпосылки!$E$124*(1+Предпосылки!$B$152)^2,0)</f>
        <v>129</v>
      </c>
      <c r="AB13" s="3">
        <f>ROUNDDOWN(AB3*IF(COUNT(AB23:AB27)&lt;3,Предпосылки!$B$150,(IF(COUNT(AB23:AB27)&gt;3,Предпосылки!$B$151,Предпосылки!$B$149))+3%)*Предпосылки!$E$124*(1+Предпосылки!$B$152)^2,0)</f>
        <v>162</v>
      </c>
      <c r="AC13" s="3">
        <f>ROUNDDOWN(AC3*IF(COUNT(AC23:AC27)&lt;3,Предпосылки!$B$150,(IF(COUNT(AC23:AC27)&gt;3,Предпосылки!$B$151,Предпосылки!$B$149))+3%)*Предпосылки!$E$124*(1+Предпосылки!$B$152)^2,0)</f>
        <v>162</v>
      </c>
      <c r="AD13" s="3">
        <f>ROUNDDOWN(AD3*IF(COUNT(AD23:AD27)&lt;3,Предпосылки!$B$150,(IF(COUNT(AD23:AD27)&gt;3,Предпосылки!$B$151,Предпосылки!$B$149))+3%)*Предпосылки!$E$124*(1+Предпосылки!$B$152)^2,0)</f>
        <v>264</v>
      </c>
      <c r="AE13" s="3">
        <f>ROUNDDOWN(AE3*IF(COUNT(AE23:AE27)&lt;3,Предпосылки!$B$150,(IF(COUNT(AE23:AE27)&gt;3,Предпосылки!$B$151,Предпосылки!$B$149))+3%)*Предпосылки!$E$124*(1+Предпосылки!$B$152)^2,0)</f>
        <v>264</v>
      </c>
      <c r="AF13" s="3">
        <f>ROUNDDOWN(AF3*IF(COUNT(AF23:AF27)&lt;3,Предпосылки!$B$150,(IF(COUNT(AF23:AF27)&gt;3,Предпосылки!$B$151,Предпосылки!$B$149))+3%)*Предпосылки!$E$124*(1+Предпосылки!$B$152)^2,0)</f>
        <v>162</v>
      </c>
      <c r="AG13" s="3">
        <f>ROUNDDOWN(AG3*IF(COUNT(AG23:AG27)&lt;3,Предпосылки!$B$150,(IF(COUNT(AG23:AG27)&gt;3,Предпосылки!$B$151,Предпосылки!$B$149))+3%)*Предпосылки!$E$124*(1+Предпосылки!$B$152)^2,0)</f>
        <v>112</v>
      </c>
      <c r="AH13" s="3">
        <f>ROUNDDOWN(AH3*IF(COUNT(AH23:AH27)&lt;3,Предпосылки!$B$150,(IF(COUNT(AH23:AH27)&gt;3,Предпосылки!$B$151,Предпосылки!$B$149))+3%)*Предпосылки!$E$124*(1+Предпосылки!$B$152)^2,0)</f>
        <v>179</v>
      </c>
      <c r="AI13" s="3">
        <f>ROUNDDOWN(AI3*IF(COUNT(AI23:AI27)&lt;3,Предпосылки!$B$150,(IF(COUNT(AI23:AI27)&gt;3,Предпосылки!$B$151,Предпосылки!$B$149))+3%)*Предпосылки!$E$124*(1+Предпосылки!$B$152)^2,0)</f>
        <v>179</v>
      </c>
      <c r="AJ13" s="3">
        <f>ROUNDDOWN(AJ3*IF(COUNT(AJ23:AJ27)&lt;3,Предпосылки!$B$150,(IF(COUNT(AJ23:AJ27)&gt;3,Предпосылки!$B$151,Предпосылки!$B$149))+3%)*Предпосылки!$E$124*(1+Предпосылки!$B$152)^2,0)</f>
        <v>123</v>
      </c>
      <c r="AK13" s="3">
        <f>ROUNDDOWN(AK3*IF(COUNT(AK23:AK27)&lt;3,Предпосылки!$B$150,(IF(COUNT(AK23:AK27)&gt;3,Предпосылки!$B$151,Предпосылки!$B$149))+3%)*Предпосылки!$E$124*(1+Предпосылки!$B$152)^2,0)</f>
        <v>187</v>
      </c>
    </row>
    <row r="14" spans="1:41" ht="13.2" x14ac:dyDescent="0.25">
      <c r="A14" s="108" t="s">
        <v>225</v>
      </c>
      <c r="B14" s="113">
        <f>B$10*Предпосылки!$D$122</f>
        <v>275000</v>
      </c>
      <c r="C14" s="113">
        <f>C$10*Предпосылки!$D$122</f>
        <v>275000</v>
      </c>
      <c r="D14" s="113">
        <f>D$10*Предпосылки!$D$122</f>
        <v>435000</v>
      </c>
      <c r="E14" s="113">
        <f>E$10*Предпосылки!$D$122</f>
        <v>240000</v>
      </c>
      <c r="F14" s="113">
        <f>F$10*Предпосылки!$D$122</f>
        <v>240000</v>
      </c>
      <c r="G14" s="113">
        <f>G$10*Предпосылки!$D$122</f>
        <v>390000</v>
      </c>
      <c r="H14" s="113">
        <f>H$10*Предпосылки!$D$122</f>
        <v>216000</v>
      </c>
      <c r="I14" s="113">
        <f>I$10*Предпосылки!$D$122</f>
        <v>216000</v>
      </c>
      <c r="J14" s="113">
        <f>J$10*Предпосылки!$D$122</f>
        <v>477000</v>
      </c>
      <c r="K14" s="113">
        <f>K$10*Предпосылки!$D$122</f>
        <v>264000</v>
      </c>
      <c r="L14" s="113">
        <f>L$10*Предпосылки!$D$122</f>
        <v>264000</v>
      </c>
      <c r="M14" s="113">
        <f>M$10*Предпосылки!$D$122</f>
        <v>498000</v>
      </c>
      <c r="N14" s="113">
        <f>N$10*Предпосылки!$D$122</f>
        <v>275000</v>
      </c>
      <c r="O14" s="113">
        <f t="shared" ref="O14:U14" si="6">O$10*1000</f>
        <v>528000</v>
      </c>
      <c r="P14" s="113">
        <f t="shared" si="6"/>
        <v>243000</v>
      </c>
      <c r="Q14" s="113">
        <f t="shared" si="6"/>
        <v>459000</v>
      </c>
      <c r="R14" s="113">
        <f t="shared" si="6"/>
        <v>459000</v>
      </c>
      <c r="S14" s="113">
        <f t="shared" si="6"/>
        <v>243000</v>
      </c>
      <c r="T14" s="113">
        <f t="shared" si="6"/>
        <v>459000</v>
      </c>
      <c r="U14" s="113">
        <f t="shared" si="6"/>
        <v>459000</v>
      </c>
      <c r="V14" s="135">
        <f>V10*Предпосылки!$D$122</f>
        <v>752000</v>
      </c>
      <c r="W14" s="135">
        <f>W10*Предпосылки!$D$122</f>
        <v>507000</v>
      </c>
      <c r="X14" s="135">
        <f>X10*Предпосылки!$D$122</f>
        <v>278000</v>
      </c>
      <c r="Y14" s="135">
        <f>Y10*Предпосылки!$D$122</f>
        <v>528000</v>
      </c>
      <c r="Z14" s="135">
        <f>Z10*Предпосылки!$D$122</f>
        <v>528000</v>
      </c>
      <c r="AA14" s="135">
        <f>AA10*Предпосылки!$D$122</f>
        <v>309000</v>
      </c>
      <c r="AB14" s="135">
        <f>AB10*Предпосылки!$D$122</f>
        <v>486000</v>
      </c>
      <c r="AC14" s="135">
        <f>AC10*Предпосылки!$D$122</f>
        <v>486000</v>
      </c>
      <c r="AD14" s="135">
        <f>AD10*Предпосылки!$D$122</f>
        <v>724000</v>
      </c>
      <c r="AE14" s="135">
        <f>AE10*Предпосылки!$D$122</f>
        <v>724000</v>
      </c>
      <c r="AF14" s="135">
        <f>AF10*Предпосылки!$D$122</f>
        <v>486000</v>
      </c>
      <c r="AG14" s="135">
        <f>AG10*Предпосылки!$D$122</f>
        <v>268000</v>
      </c>
      <c r="AH14" s="135">
        <f>AH10*Предпосылки!$D$122</f>
        <v>537000</v>
      </c>
      <c r="AI14" s="135">
        <f>AI10*Предпосылки!$D$122</f>
        <v>537000</v>
      </c>
      <c r="AJ14" s="135">
        <f>AJ10*Предпосылки!$D$122</f>
        <v>295000</v>
      </c>
      <c r="AK14" s="135">
        <f>AK10*Предпосылки!$D$122</f>
        <v>561000</v>
      </c>
      <c r="AL14" s="135">
        <f>AL10*Предпосылки!$D$122</f>
        <v>0</v>
      </c>
    </row>
    <row r="15" spans="1:41" ht="13.2" x14ac:dyDescent="0.25">
      <c r="A15" s="108" t="s">
        <v>218</v>
      </c>
      <c r="N15" s="112">
        <f>N7*(1+Предпосылки!$N$122)</f>
        <v>0</v>
      </c>
      <c r="Z15" s="112"/>
      <c r="AH15" s="112"/>
      <c r="AL15" s="112"/>
    </row>
    <row r="16" spans="1:41" ht="13.2" x14ac:dyDescent="0.25">
      <c r="A16" s="108" t="s">
        <v>219</v>
      </c>
      <c r="N16" s="112">
        <f>N8*(1+Предпосылки!$N$123)</f>
        <v>875700.27548268135</v>
      </c>
      <c r="Z16" s="112">
        <f>Z8*(1+Предпосылки!$N$123)</f>
        <v>1035399.0948465221</v>
      </c>
      <c r="AH16" s="112"/>
      <c r="AL16" s="112">
        <f>AL8*(1+Предпосылки!$N$123)</f>
        <v>2151732.4880193318</v>
      </c>
    </row>
    <row r="17" spans="1:41" ht="13.2" x14ac:dyDescent="0.25">
      <c r="A17" s="108" t="s">
        <v>220</v>
      </c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5">
        <f>N9*(1+Предпосылки!$N$124)</f>
        <v>1058958.9219649388</v>
      </c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5">
        <f>Z9*(1+Предпосылки!$N$124)</f>
        <v>1123546.9404895674</v>
      </c>
      <c r="AA17" s="113"/>
      <c r="AB17" s="113"/>
      <c r="AC17" s="113"/>
      <c r="AD17" s="113"/>
      <c r="AE17" s="113"/>
      <c r="AF17" s="113"/>
      <c r="AG17" s="113"/>
      <c r="AH17" s="115"/>
      <c r="AI17" s="113"/>
      <c r="AJ17" s="113"/>
      <c r="AK17" s="113"/>
      <c r="AL17" s="115">
        <f>AL9*(1+Предпосылки!$N$124)</f>
        <v>2370962.8406317858</v>
      </c>
    </row>
    <row r="18" spans="1:41" ht="13.2" x14ac:dyDescent="0.25">
      <c r="A18" s="154" t="s">
        <v>190</v>
      </c>
      <c r="B18" s="112">
        <f>Расходы!$C$15</f>
        <v>-500000</v>
      </c>
    </row>
    <row r="19" spans="1:41" ht="13.8" thickBot="1" x14ac:dyDescent="0.3">
      <c r="A19" s="117" t="s">
        <v>226</v>
      </c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9"/>
      <c r="N19" s="118">
        <f>-(SUM(N15:N17))</f>
        <v>-1934659.1974476201</v>
      </c>
      <c r="O19" s="118"/>
      <c r="P19" s="119"/>
      <c r="Q19" s="119"/>
      <c r="R19" s="119"/>
      <c r="S19" s="119"/>
      <c r="T19" s="119"/>
      <c r="U19" s="119"/>
      <c r="V19" s="118"/>
      <c r="W19" s="118"/>
      <c r="X19" s="118"/>
      <c r="Y19" s="118"/>
      <c r="Z19" s="118">
        <f>-SUM(Z15:Z17)</f>
        <v>-2158946.0353360893</v>
      </c>
      <c r="AA19" s="118"/>
      <c r="AB19" s="118"/>
      <c r="AC19" s="118"/>
      <c r="AD19" s="118"/>
      <c r="AE19" s="118"/>
      <c r="AF19" s="118"/>
      <c r="AG19" s="119"/>
      <c r="AH19" s="118">
        <f>-(SUM(AH15:AH17))</f>
        <v>0</v>
      </c>
      <c r="AI19" s="118"/>
      <c r="AJ19" s="119"/>
      <c r="AK19" s="119"/>
      <c r="AL19" s="118">
        <f>-SUM(AL15:AL17)</f>
        <v>-4522695.3286511172</v>
      </c>
    </row>
    <row r="20" spans="1:41" ht="13.2" x14ac:dyDescent="0.25">
      <c r="A20" s="120" t="s">
        <v>0</v>
      </c>
      <c r="B20" s="112">
        <f>Расходы!D4</f>
        <v>-100000</v>
      </c>
      <c r="C20" s="112">
        <f t="shared" ref="C20:S20" si="7">B20</f>
        <v>-100000</v>
      </c>
      <c r="D20" s="112">
        <f t="shared" si="7"/>
        <v>-100000</v>
      </c>
      <c r="E20" s="112">
        <f t="shared" si="7"/>
        <v>-100000</v>
      </c>
      <c r="F20" s="112">
        <f t="shared" si="7"/>
        <v>-100000</v>
      </c>
      <c r="G20" s="112">
        <f t="shared" si="7"/>
        <v>-100000</v>
      </c>
      <c r="H20" s="112">
        <f t="shared" si="7"/>
        <v>-100000</v>
      </c>
      <c r="I20" s="112">
        <f t="shared" si="7"/>
        <v>-100000</v>
      </c>
      <c r="J20" s="112">
        <f t="shared" si="7"/>
        <v>-100000</v>
      </c>
      <c r="K20" s="112">
        <f t="shared" si="7"/>
        <v>-100000</v>
      </c>
      <c r="L20" s="112">
        <f t="shared" si="7"/>
        <v>-100000</v>
      </c>
      <c r="M20" s="112">
        <f t="shared" si="7"/>
        <v>-100000</v>
      </c>
      <c r="N20" s="112">
        <f t="shared" si="7"/>
        <v>-100000</v>
      </c>
      <c r="O20" s="112">
        <f t="shared" si="7"/>
        <v>-100000</v>
      </c>
      <c r="P20" s="112">
        <f t="shared" si="7"/>
        <v>-100000</v>
      </c>
      <c r="Q20" s="112">
        <f t="shared" si="7"/>
        <v>-100000</v>
      </c>
      <c r="R20" s="112">
        <f t="shared" si="7"/>
        <v>-100000</v>
      </c>
      <c r="S20" s="112">
        <f t="shared" si="7"/>
        <v>-100000</v>
      </c>
      <c r="T20" s="112">
        <v>0</v>
      </c>
      <c r="U20" s="112">
        <f t="shared" ref="U20:U22" si="8">T20</f>
        <v>0</v>
      </c>
      <c r="V20" s="112">
        <v>0</v>
      </c>
      <c r="W20" s="112">
        <f t="shared" ref="W20:AK20" si="9">V20</f>
        <v>0</v>
      </c>
      <c r="X20" s="112">
        <f t="shared" si="9"/>
        <v>0</v>
      </c>
      <c r="Y20" s="112">
        <f t="shared" si="9"/>
        <v>0</v>
      </c>
      <c r="Z20" s="112">
        <f t="shared" si="9"/>
        <v>0</v>
      </c>
      <c r="AA20" s="112">
        <f t="shared" si="9"/>
        <v>0</v>
      </c>
      <c r="AB20" s="112">
        <f t="shared" si="9"/>
        <v>0</v>
      </c>
      <c r="AC20" s="112">
        <f t="shared" si="9"/>
        <v>0</v>
      </c>
      <c r="AD20" s="112">
        <f t="shared" si="9"/>
        <v>0</v>
      </c>
      <c r="AE20" s="112">
        <f t="shared" si="9"/>
        <v>0</v>
      </c>
      <c r="AF20" s="112">
        <f t="shared" si="9"/>
        <v>0</v>
      </c>
      <c r="AG20" s="112">
        <f t="shared" si="9"/>
        <v>0</v>
      </c>
      <c r="AH20" s="112">
        <f t="shared" si="9"/>
        <v>0</v>
      </c>
      <c r="AI20" s="112">
        <f t="shared" si="9"/>
        <v>0</v>
      </c>
      <c r="AJ20" s="112">
        <f t="shared" si="9"/>
        <v>0</v>
      </c>
      <c r="AK20" s="112">
        <f t="shared" si="9"/>
        <v>0</v>
      </c>
      <c r="AL20" s="112">
        <v>0</v>
      </c>
      <c r="AM20" s="112"/>
      <c r="AN20" s="112"/>
      <c r="AO20" s="112"/>
    </row>
    <row r="21" spans="1:41" ht="13.2" x14ac:dyDescent="0.25">
      <c r="A21" s="121" t="s">
        <v>162</v>
      </c>
      <c r="B21" s="112">
        <f>Расходы!D5</f>
        <v>-150000</v>
      </c>
      <c r="C21" s="112">
        <f t="shared" ref="C21:S21" si="10">B21</f>
        <v>-150000</v>
      </c>
      <c r="D21" s="112">
        <f t="shared" si="10"/>
        <v>-150000</v>
      </c>
      <c r="E21" s="112">
        <f t="shared" si="10"/>
        <v>-150000</v>
      </c>
      <c r="F21" s="112">
        <f t="shared" si="10"/>
        <v>-150000</v>
      </c>
      <c r="G21" s="112">
        <f t="shared" si="10"/>
        <v>-150000</v>
      </c>
      <c r="H21" s="112">
        <f t="shared" si="10"/>
        <v>-150000</v>
      </c>
      <c r="I21" s="112">
        <f t="shared" si="10"/>
        <v>-150000</v>
      </c>
      <c r="J21" s="112">
        <f t="shared" si="10"/>
        <v>-150000</v>
      </c>
      <c r="K21" s="112">
        <f t="shared" si="10"/>
        <v>-150000</v>
      </c>
      <c r="L21" s="112">
        <f t="shared" si="10"/>
        <v>-150000</v>
      </c>
      <c r="M21" s="112">
        <f t="shared" si="10"/>
        <v>-150000</v>
      </c>
      <c r="N21" s="112">
        <f t="shared" si="10"/>
        <v>-150000</v>
      </c>
      <c r="O21" s="112">
        <f t="shared" si="10"/>
        <v>-150000</v>
      </c>
      <c r="P21" s="112">
        <f t="shared" si="10"/>
        <v>-150000</v>
      </c>
      <c r="Q21" s="112">
        <f t="shared" si="10"/>
        <v>-150000</v>
      </c>
      <c r="R21" s="112">
        <f t="shared" si="10"/>
        <v>-150000</v>
      </c>
      <c r="S21" s="112">
        <f t="shared" si="10"/>
        <v>-150000</v>
      </c>
      <c r="T21" s="112">
        <v>0</v>
      </c>
      <c r="U21" s="112">
        <f t="shared" si="8"/>
        <v>0</v>
      </c>
      <c r="V21" s="112">
        <v>0</v>
      </c>
      <c r="W21" s="112">
        <f t="shared" ref="W21:AK21" si="11">V21</f>
        <v>0</v>
      </c>
      <c r="X21" s="112">
        <f t="shared" si="11"/>
        <v>0</v>
      </c>
      <c r="Y21" s="112">
        <f t="shared" si="11"/>
        <v>0</v>
      </c>
      <c r="Z21" s="112">
        <f t="shared" si="11"/>
        <v>0</v>
      </c>
      <c r="AA21" s="112">
        <f t="shared" si="11"/>
        <v>0</v>
      </c>
      <c r="AB21" s="112">
        <f t="shared" si="11"/>
        <v>0</v>
      </c>
      <c r="AC21" s="112">
        <f t="shared" si="11"/>
        <v>0</v>
      </c>
      <c r="AD21" s="112">
        <f t="shared" si="11"/>
        <v>0</v>
      </c>
      <c r="AE21" s="112">
        <f t="shared" si="11"/>
        <v>0</v>
      </c>
      <c r="AF21" s="112">
        <f t="shared" si="11"/>
        <v>0</v>
      </c>
      <c r="AG21" s="112">
        <f t="shared" si="11"/>
        <v>0</v>
      </c>
      <c r="AH21" s="112">
        <f t="shared" si="11"/>
        <v>0</v>
      </c>
      <c r="AI21" s="112">
        <f t="shared" si="11"/>
        <v>0</v>
      </c>
      <c r="AJ21" s="112">
        <f t="shared" si="11"/>
        <v>0</v>
      </c>
      <c r="AK21" s="112">
        <f t="shared" si="11"/>
        <v>0</v>
      </c>
      <c r="AL21" s="112">
        <v>0</v>
      </c>
      <c r="AM21" s="112"/>
      <c r="AN21" s="112"/>
      <c r="AO21" s="112"/>
    </row>
    <row r="22" spans="1:41" ht="13.2" x14ac:dyDescent="0.25">
      <c r="A22" s="121" t="s">
        <v>165</v>
      </c>
      <c r="B22" s="115">
        <f>Расходы!D6</f>
        <v>-150000</v>
      </c>
      <c r="C22" s="115">
        <f t="shared" ref="C22:S22" si="12">B22</f>
        <v>-150000</v>
      </c>
      <c r="D22" s="115">
        <f t="shared" si="12"/>
        <v>-150000</v>
      </c>
      <c r="E22" s="115">
        <f t="shared" si="12"/>
        <v>-150000</v>
      </c>
      <c r="F22" s="115">
        <f t="shared" si="12"/>
        <v>-150000</v>
      </c>
      <c r="G22" s="115">
        <f t="shared" si="12"/>
        <v>-150000</v>
      </c>
      <c r="H22" s="115">
        <f t="shared" si="12"/>
        <v>-150000</v>
      </c>
      <c r="I22" s="115">
        <f t="shared" si="12"/>
        <v>-150000</v>
      </c>
      <c r="J22" s="115">
        <f t="shared" si="12"/>
        <v>-150000</v>
      </c>
      <c r="K22" s="115">
        <f t="shared" si="12"/>
        <v>-150000</v>
      </c>
      <c r="L22" s="115">
        <f t="shared" si="12"/>
        <v>-150000</v>
      </c>
      <c r="M22" s="115">
        <f t="shared" si="12"/>
        <v>-150000</v>
      </c>
      <c r="N22" s="115">
        <f t="shared" si="12"/>
        <v>-150000</v>
      </c>
      <c r="O22" s="115">
        <f t="shared" si="12"/>
        <v>-150000</v>
      </c>
      <c r="P22" s="115">
        <f t="shared" si="12"/>
        <v>-150000</v>
      </c>
      <c r="Q22" s="115">
        <f t="shared" si="12"/>
        <v>-150000</v>
      </c>
      <c r="R22" s="115">
        <f t="shared" si="12"/>
        <v>-150000</v>
      </c>
      <c r="S22" s="115">
        <f t="shared" si="12"/>
        <v>-150000</v>
      </c>
      <c r="T22" s="115">
        <v>0</v>
      </c>
      <c r="U22" s="115">
        <f t="shared" si="8"/>
        <v>0</v>
      </c>
      <c r="V22" s="115">
        <v>0</v>
      </c>
      <c r="W22" s="115">
        <f t="shared" ref="W22:AK22" si="13">V22</f>
        <v>0</v>
      </c>
      <c r="X22" s="115">
        <f t="shared" si="13"/>
        <v>0</v>
      </c>
      <c r="Y22" s="115">
        <f t="shared" si="13"/>
        <v>0</v>
      </c>
      <c r="Z22" s="115">
        <f t="shared" si="13"/>
        <v>0</v>
      </c>
      <c r="AA22" s="115">
        <f t="shared" si="13"/>
        <v>0</v>
      </c>
      <c r="AB22" s="115">
        <f t="shared" si="13"/>
        <v>0</v>
      </c>
      <c r="AC22" s="115">
        <f t="shared" si="13"/>
        <v>0</v>
      </c>
      <c r="AD22" s="115">
        <f t="shared" si="13"/>
        <v>0</v>
      </c>
      <c r="AE22" s="115">
        <f t="shared" si="13"/>
        <v>0</v>
      </c>
      <c r="AF22" s="115">
        <f t="shared" si="13"/>
        <v>0</v>
      </c>
      <c r="AG22" s="115">
        <f t="shared" si="13"/>
        <v>0</v>
      </c>
      <c r="AH22" s="115">
        <f t="shared" si="13"/>
        <v>0</v>
      </c>
      <c r="AI22" s="115">
        <f t="shared" si="13"/>
        <v>0</v>
      </c>
      <c r="AJ22" s="115">
        <f t="shared" si="13"/>
        <v>0</v>
      </c>
      <c r="AK22" s="115">
        <f t="shared" si="13"/>
        <v>0</v>
      </c>
      <c r="AL22" s="115">
        <v>0</v>
      </c>
      <c r="AM22" s="112"/>
      <c r="AN22" s="112"/>
      <c r="AO22" s="112"/>
    </row>
    <row r="23" spans="1:41" ht="13.2" x14ac:dyDescent="0.25">
      <c r="A23" s="57" t="s">
        <v>170</v>
      </c>
      <c r="B23" s="112"/>
      <c r="C23" s="112"/>
      <c r="D23" s="112">
        <f>Расходы!D8</f>
        <v>-500000</v>
      </c>
      <c r="E23" s="112"/>
      <c r="F23" s="112"/>
      <c r="G23" s="112">
        <v>0</v>
      </c>
      <c r="H23" s="112"/>
      <c r="I23" s="112"/>
      <c r="J23" s="112">
        <f>G23</f>
        <v>0</v>
      </c>
      <c r="K23" s="112"/>
      <c r="L23" s="112"/>
      <c r="M23" s="112">
        <f>J23</f>
        <v>0</v>
      </c>
      <c r="N23" s="112"/>
      <c r="O23" s="112"/>
      <c r="P23" s="112">
        <f t="shared" ref="P23:P25" si="14">M23</f>
        <v>0</v>
      </c>
      <c r="S23" s="112">
        <f t="shared" ref="S23:S25" si="15">P23</f>
        <v>0</v>
      </c>
      <c r="V23" s="112">
        <v>0</v>
      </c>
      <c r="W23" s="112"/>
      <c r="X23" s="112">
        <f>Расходы!C42</f>
        <v>0</v>
      </c>
      <c r="Y23" s="112">
        <v>0</v>
      </c>
      <c r="Z23" s="112"/>
      <c r="AA23" s="112">
        <f t="shared" ref="AA23:AA25" si="16">X23</f>
        <v>0</v>
      </c>
      <c r="AB23" s="112">
        <v>0</v>
      </c>
      <c r="AC23" s="112"/>
      <c r="AD23" s="112">
        <f t="shared" ref="AD23:AD25" si="17">AA23</f>
        <v>0</v>
      </c>
      <c r="AE23" s="112">
        <v>0</v>
      </c>
      <c r="AF23" s="112"/>
      <c r="AG23" s="112">
        <f t="shared" ref="AG23:AG25" si="18">AD23</f>
        <v>0</v>
      </c>
      <c r="AH23" s="112"/>
      <c r="AI23" s="112"/>
      <c r="AJ23" s="112">
        <f t="shared" ref="AJ23:AJ25" si="19">AG23</f>
        <v>0</v>
      </c>
    </row>
    <row r="24" spans="1:41" ht="13.2" x14ac:dyDescent="0.25">
      <c r="A24" s="57" t="s">
        <v>174</v>
      </c>
      <c r="B24" s="112"/>
      <c r="C24" s="112"/>
      <c r="D24" s="112">
        <f>Расходы!C9</f>
        <v>0</v>
      </c>
      <c r="E24" s="112"/>
      <c r="F24" s="112"/>
      <c r="G24" s="112">
        <v>0</v>
      </c>
      <c r="H24" s="112"/>
      <c r="I24" s="112"/>
      <c r="J24" s="112">
        <v>0</v>
      </c>
      <c r="K24" s="112"/>
      <c r="L24" s="112"/>
      <c r="M24" s="112">
        <f>Расходы!D9</f>
        <v>-500000</v>
      </c>
      <c r="N24" s="112"/>
      <c r="O24" s="112"/>
      <c r="P24" s="112">
        <f t="shared" si="14"/>
        <v>-500000</v>
      </c>
      <c r="S24" s="112">
        <f t="shared" si="15"/>
        <v>-500000</v>
      </c>
      <c r="V24" s="112">
        <v>0</v>
      </c>
      <c r="W24" s="112"/>
      <c r="X24" s="112">
        <f>Расходы!C43</f>
        <v>0</v>
      </c>
      <c r="Y24" s="112">
        <v>0</v>
      </c>
      <c r="Z24" s="112"/>
      <c r="AA24" s="112">
        <f t="shared" si="16"/>
        <v>0</v>
      </c>
      <c r="AB24" s="112">
        <v>0</v>
      </c>
      <c r="AC24" s="112"/>
      <c r="AD24" s="112">
        <f t="shared" si="17"/>
        <v>0</v>
      </c>
      <c r="AE24" s="112">
        <v>0</v>
      </c>
      <c r="AF24" s="112"/>
      <c r="AG24" s="112">
        <f t="shared" si="18"/>
        <v>0</v>
      </c>
      <c r="AH24" s="112"/>
      <c r="AI24" s="112"/>
      <c r="AJ24" s="112">
        <f t="shared" si="19"/>
        <v>0</v>
      </c>
    </row>
    <row r="25" spans="1:41" ht="13.2" x14ac:dyDescent="0.25">
      <c r="A25" s="57" t="s">
        <v>177</v>
      </c>
      <c r="B25" s="115"/>
      <c r="C25" s="115"/>
      <c r="D25" s="115">
        <f>Расходы!C10</f>
        <v>0</v>
      </c>
      <c r="E25" s="115"/>
      <c r="F25" s="115"/>
      <c r="G25" s="115">
        <f>D25</f>
        <v>0</v>
      </c>
      <c r="H25" s="115"/>
      <c r="I25" s="115"/>
      <c r="J25" s="115">
        <f>G25</f>
        <v>0</v>
      </c>
      <c r="K25" s="115"/>
      <c r="L25" s="115"/>
      <c r="M25" s="115">
        <f>J25</f>
        <v>0</v>
      </c>
      <c r="N25" s="115"/>
      <c r="O25" s="115"/>
      <c r="P25" s="115">
        <f t="shared" si="14"/>
        <v>0</v>
      </c>
      <c r="Q25" s="113"/>
      <c r="R25" s="113"/>
      <c r="S25" s="115">
        <f t="shared" si="15"/>
        <v>0</v>
      </c>
      <c r="T25" s="113"/>
      <c r="U25" s="113"/>
      <c r="V25" s="115">
        <v>0</v>
      </c>
      <c r="W25" s="115"/>
      <c r="X25" s="115">
        <f>Расходы!C44</f>
        <v>0</v>
      </c>
      <c r="Y25" s="115"/>
      <c r="Z25" s="115"/>
      <c r="AA25" s="115">
        <f t="shared" si="16"/>
        <v>0</v>
      </c>
      <c r="AB25" s="115"/>
      <c r="AC25" s="115"/>
      <c r="AD25" s="115">
        <f t="shared" si="17"/>
        <v>0</v>
      </c>
      <c r="AE25" s="115">
        <v>0</v>
      </c>
      <c r="AF25" s="115"/>
      <c r="AG25" s="115">
        <f t="shared" si="18"/>
        <v>0</v>
      </c>
      <c r="AH25" s="115"/>
      <c r="AI25" s="115"/>
      <c r="AJ25" s="115">
        <f t="shared" si="19"/>
        <v>0</v>
      </c>
      <c r="AK25" s="113"/>
      <c r="AL25" s="113"/>
    </row>
    <row r="26" spans="1:41" ht="13.2" x14ac:dyDescent="0.25">
      <c r="A26" s="57" t="s">
        <v>181</v>
      </c>
      <c r="B26" s="112"/>
      <c r="C26" s="112"/>
      <c r="D26" s="112"/>
      <c r="E26" s="112"/>
      <c r="J26" s="112">
        <f>Расходы!C12</f>
        <v>-50000</v>
      </c>
      <c r="V26" s="112">
        <f>Расходы!D12</f>
        <v>-1500000</v>
      </c>
      <c r="W26" s="112"/>
      <c r="X26" s="112"/>
      <c r="Y26" s="112"/>
      <c r="AD26" s="3">
        <f>Расходы!C46</f>
        <v>0</v>
      </c>
      <c r="AE26" s="3">
        <v>0</v>
      </c>
    </row>
    <row r="27" spans="1:41" ht="13.2" x14ac:dyDescent="0.25">
      <c r="A27" s="57" t="s">
        <v>185</v>
      </c>
      <c r="B27" s="115"/>
      <c r="C27" s="115"/>
      <c r="D27" s="115"/>
      <c r="E27" s="115"/>
      <c r="F27" s="113"/>
      <c r="G27" s="113"/>
      <c r="H27" s="113"/>
      <c r="I27" s="113"/>
      <c r="J27" s="115">
        <f>Расходы!C13</f>
        <v>-200000</v>
      </c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5">
        <v>0</v>
      </c>
      <c r="W27" s="115"/>
      <c r="X27" s="115"/>
      <c r="Y27" s="115"/>
      <c r="Z27" s="113"/>
      <c r="AA27" s="113"/>
      <c r="AB27" s="113"/>
      <c r="AC27" s="113"/>
      <c r="AD27" s="113">
        <f>Расходы!C47</f>
        <v>0</v>
      </c>
      <c r="AE27" s="115">
        <f>Расходы!D13</f>
        <v>-1000000</v>
      </c>
      <c r="AF27" s="113"/>
      <c r="AG27" s="113"/>
      <c r="AH27" s="113"/>
      <c r="AI27" s="113"/>
      <c r="AJ27" s="113"/>
      <c r="AK27" s="113"/>
      <c r="AL27" s="113"/>
    </row>
    <row r="28" spans="1:41" ht="13.2" x14ac:dyDescent="0.25">
      <c r="A28" s="121" t="s">
        <v>227</v>
      </c>
      <c r="B28" s="112">
        <f>-B$14*Расходы!$C$17</f>
        <v>-5500</v>
      </c>
      <c r="C28" s="112">
        <f>-C$14*Расходы!$C$17</f>
        <v>-5500</v>
      </c>
      <c r="D28" s="112">
        <f>-D$14*Расходы!$C$17</f>
        <v>-8700</v>
      </c>
      <c r="E28" s="112">
        <f>-E$14*Расходы!$C$17</f>
        <v>-4800</v>
      </c>
      <c r="F28" s="112">
        <f>-F$14*Расходы!$C$17</f>
        <v>-4800</v>
      </c>
      <c r="G28" s="112">
        <f>-G$14*Расходы!$C$17</f>
        <v>-7800</v>
      </c>
      <c r="H28" s="112">
        <f>-H$14*Расходы!$C$17</f>
        <v>-4320</v>
      </c>
      <c r="I28" s="112">
        <f>-I$14*Расходы!$C$17</f>
        <v>-4320</v>
      </c>
      <c r="J28" s="112">
        <f>-J$14*Расходы!$C$17</f>
        <v>-9540</v>
      </c>
      <c r="K28" s="112">
        <f>-K$14*Расходы!$C$17</f>
        <v>-5280</v>
      </c>
      <c r="L28" s="112">
        <f>-L$14*Расходы!$C$17</f>
        <v>-5280</v>
      </c>
      <c r="M28" s="112">
        <f>-M$14*Расходы!$C$17</f>
        <v>-9960</v>
      </c>
      <c r="N28" s="112">
        <f>-N$14*Расходы!$C$17</f>
        <v>-5500</v>
      </c>
      <c r="O28" s="112">
        <f>-O$14*Расходы!$C$17</f>
        <v>-10560</v>
      </c>
      <c r="P28" s="112">
        <f>-P$14*Расходы!$C$17</f>
        <v>-4860</v>
      </c>
      <c r="Q28" s="112">
        <f>-Q$14*Расходы!$C$17</f>
        <v>-9180</v>
      </c>
      <c r="R28" s="112">
        <f>-R$14*Расходы!$C$17</f>
        <v>-9180</v>
      </c>
      <c r="S28" s="112">
        <f>-S$14*Расходы!$C$17</f>
        <v>-4860</v>
      </c>
      <c r="T28" s="112">
        <f>-T$14*Расходы!$C$17</f>
        <v>-9180</v>
      </c>
      <c r="U28" s="112">
        <f>-U$14*Расходы!$C$17</f>
        <v>-9180</v>
      </c>
      <c r="V28" s="112">
        <f>-V14*Расходы!$C$17</f>
        <v>-15040</v>
      </c>
      <c r="W28" s="112">
        <f>-W14*Расходы!$C$17</f>
        <v>-10140</v>
      </c>
      <c r="X28" s="112">
        <f>-X14*Расходы!$C$17</f>
        <v>-5560</v>
      </c>
      <c r="Y28" s="112">
        <f>-Y14*Расходы!$C$17</f>
        <v>-10560</v>
      </c>
      <c r="Z28" s="112">
        <f>-Z14*Расходы!$C$17</f>
        <v>-10560</v>
      </c>
      <c r="AA28" s="112">
        <f>-AA14*Расходы!$C$17</f>
        <v>-6180</v>
      </c>
      <c r="AB28" s="112">
        <f>-AB14*Расходы!$C$17</f>
        <v>-9720</v>
      </c>
      <c r="AC28" s="112">
        <f>-AC14*Расходы!$C$17</f>
        <v>-9720</v>
      </c>
      <c r="AD28" s="112">
        <f>-AD14*Расходы!$C$17</f>
        <v>-14480</v>
      </c>
      <c r="AE28" s="112">
        <f>-AE14*Расходы!$C$17</f>
        <v>-14480</v>
      </c>
      <c r="AF28" s="112">
        <f>-AF14*Расходы!$C$17</f>
        <v>-9720</v>
      </c>
      <c r="AG28" s="112">
        <f>-AG14*Расходы!$C$17</f>
        <v>-5360</v>
      </c>
      <c r="AH28" s="112">
        <f>-AH14*Расходы!$C$17</f>
        <v>-10740</v>
      </c>
      <c r="AI28" s="112">
        <f>-AI14*Расходы!$C$17</f>
        <v>-10740</v>
      </c>
      <c r="AJ28" s="112">
        <f>-AJ14*Расходы!$C$17</f>
        <v>-5900</v>
      </c>
      <c r="AK28" s="112">
        <f>-AK14*Расходы!$C$17</f>
        <v>-11220</v>
      </c>
      <c r="AL28" s="112">
        <f>-AL14*Расходы!$C$17</f>
        <v>0</v>
      </c>
      <c r="AM28" s="112"/>
      <c r="AN28" s="112"/>
      <c r="AO28" s="112"/>
    </row>
    <row r="29" spans="1:41" ht="13.2" x14ac:dyDescent="0.25">
      <c r="A29" s="122" t="s">
        <v>202</v>
      </c>
      <c r="B29" s="115">
        <f>-Расходы!$C$21*B$14</f>
        <v>-13750</v>
      </c>
      <c r="C29" s="115">
        <f>-Расходы!$C$21*C$14</f>
        <v>-13750</v>
      </c>
      <c r="D29" s="115">
        <f>-Расходы!$C$21*D$14</f>
        <v>-21750</v>
      </c>
      <c r="E29" s="115">
        <f>-Расходы!$C$21*E$14</f>
        <v>-12000</v>
      </c>
      <c r="F29" s="115">
        <f>-Расходы!$C$21*F$14</f>
        <v>-12000</v>
      </c>
      <c r="G29" s="115">
        <f>-Расходы!$C$21*G$14</f>
        <v>-19500</v>
      </c>
      <c r="H29" s="115">
        <f>-Расходы!$C$21*H$14</f>
        <v>-10800</v>
      </c>
      <c r="I29" s="115">
        <f>-Расходы!$C$21*I$14</f>
        <v>-10800</v>
      </c>
      <c r="J29" s="115">
        <f>-Расходы!$C$21*J$14</f>
        <v>-23850</v>
      </c>
      <c r="K29" s="115">
        <f>-Расходы!$C$21*K$14</f>
        <v>-13200</v>
      </c>
      <c r="L29" s="115">
        <f>-Расходы!$C$21*L$14</f>
        <v>-13200</v>
      </c>
      <c r="M29" s="115">
        <f>-Расходы!$C$21*M$14</f>
        <v>-24900</v>
      </c>
      <c r="N29" s="115">
        <f>-Расходы!$C$21*N$14</f>
        <v>-13750</v>
      </c>
      <c r="O29" s="115">
        <f>-Расходы!$C$21*O$14</f>
        <v>-26400</v>
      </c>
      <c r="P29" s="115">
        <f>-Расходы!$C$21*P$14</f>
        <v>-12150</v>
      </c>
      <c r="Q29" s="115">
        <f>-Расходы!$C$21*Q$14</f>
        <v>-22950</v>
      </c>
      <c r="R29" s="115">
        <f>-Расходы!$C$21*R$14</f>
        <v>-22950</v>
      </c>
      <c r="S29" s="115">
        <f>-Расходы!$C$21*S$14</f>
        <v>-12150</v>
      </c>
      <c r="T29" s="115">
        <f>-Расходы!$C$21*T$14</f>
        <v>-22950</v>
      </c>
      <c r="U29" s="115">
        <f>-Расходы!$C$21*U$14</f>
        <v>-22950</v>
      </c>
      <c r="V29" s="115">
        <f>-Расходы!$C$21*V14</f>
        <v>-37600</v>
      </c>
      <c r="W29" s="115">
        <f>-Расходы!$C$21*W14</f>
        <v>-25350</v>
      </c>
      <c r="X29" s="115">
        <f>-Расходы!$C$21*X14</f>
        <v>-13900</v>
      </c>
      <c r="Y29" s="115">
        <f>-Расходы!$C$21*Y14</f>
        <v>-26400</v>
      </c>
      <c r="Z29" s="115">
        <f>-Расходы!$C$21*Z14</f>
        <v>-26400</v>
      </c>
      <c r="AA29" s="115">
        <f>-Расходы!$C$21*AA14</f>
        <v>-15450</v>
      </c>
      <c r="AB29" s="115">
        <f>-Расходы!$C$21*AB14</f>
        <v>-24300</v>
      </c>
      <c r="AC29" s="115">
        <f>-Расходы!$C$21*AC14</f>
        <v>-24300</v>
      </c>
      <c r="AD29" s="115">
        <f>-Расходы!$C$21*AD14</f>
        <v>-36200</v>
      </c>
      <c r="AE29" s="115">
        <f>-Расходы!$C$21*AE14</f>
        <v>-36200</v>
      </c>
      <c r="AF29" s="115">
        <f>-Расходы!$C$21*AF14</f>
        <v>-24300</v>
      </c>
      <c r="AG29" s="115">
        <f>-Расходы!$C$21*AG14</f>
        <v>-13400</v>
      </c>
      <c r="AH29" s="115">
        <f>-Расходы!$C$21*AH14</f>
        <v>-26850</v>
      </c>
      <c r="AI29" s="115">
        <f>-Расходы!$C$21*AI14</f>
        <v>-26850</v>
      </c>
      <c r="AJ29" s="115">
        <f>-Расходы!$C$21*AJ14</f>
        <v>-14750</v>
      </c>
      <c r="AK29" s="115">
        <f>-Расходы!$C$21*AK14</f>
        <v>-28050</v>
      </c>
      <c r="AL29" s="115">
        <f>-Расходы!$C$21*AL14</f>
        <v>0</v>
      </c>
      <c r="AM29" s="112"/>
      <c r="AN29" s="112"/>
      <c r="AO29" s="112"/>
    </row>
    <row r="30" spans="1:41" ht="13.2" x14ac:dyDescent="0.25">
      <c r="A30" s="108" t="s">
        <v>228</v>
      </c>
      <c r="B30" s="112">
        <f t="shared" ref="B30:N30" si="20">SUM(B18:B29)</f>
        <v>-919250</v>
      </c>
      <c r="C30" s="112">
        <f t="shared" si="20"/>
        <v>-419250</v>
      </c>
      <c r="D30" s="112">
        <f t="shared" si="20"/>
        <v>-930450</v>
      </c>
      <c r="E30" s="112">
        <f t="shared" si="20"/>
        <v>-416800</v>
      </c>
      <c r="F30" s="112">
        <f t="shared" si="20"/>
        <v>-416800</v>
      </c>
      <c r="G30" s="112">
        <f t="shared" si="20"/>
        <v>-427300</v>
      </c>
      <c r="H30" s="112">
        <f t="shared" si="20"/>
        <v>-415120</v>
      </c>
      <c r="I30" s="112">
        <f t="shared" si="20"/>
        <v>-415120</v>
      </c>
      <c r="J30" s="112">
        <f t="shared" si="20"/>
        <v>-683390</v>
      </c>
      <c r="K30" s="112">
        <f t="shared" si="20"/>
        <v>-418480</v>
      </c>
      <c r="L30" s="112">
        <f t="shared" si="20"/>
        <v>-418480</v>
      </c>
      <c r="M30" s="112">
        <f t="shared" si="20"/>
        <v>-934860</v>
      </c>
      <c r="N30" s="112">
        <f t="shared" si="20"/>
        <v>-2353909.1974476203</v>
      </c>
      <c r="O30" s="112">
        <f t="shared" ref="O30:U30" si="21">SUM(O20:O29)</f>
        <v>-436960</v>
      </c>
      <c r="P30" s="112">
        <f t="shared" si="21"/>
        <v>-917010</v>
      </c>
      <c r="Q30" s="112">
        <f t="shared" si="21"/>
        <v>-432130</v>
      </c>
      <c r="R30" s="112">
        <f t="shared" si="21"/>
        <v>-432130</v>
      </c>
      <c r="S30" s="112">
        <f t="shared" si="21"/>
        <v>-917010</v>
      </c>
      <c r="T30" s="112">
        <f t="shared" si="21"/>
        <v>-32130</v>
      </c>
      <c r="U30" s="112">
        <f t="shared" si="21"/>
        <v>-32130</v>
      </c>
      <c r="V30" s="112">
        <f t="shared" ref="V30:AL30" si="22">SUM(V18:V29)</f>
        <v>-1552640</v>
      </c>
      <c r="W30" s="112">
        <f t="shared" si="22"/>
        <v>-35490</v>
      </c>
      <c r="X30" s="112">
        <f t="shared" si="22"/>
        <v>-19460</v>
      </c>
      <c r="Y30" s="112">
        <f t="shared" si="22"/>
        <v>-36960</v>
      </c>
      <c r="Z30" s="112">
        <f t="shared" si="22"/>
        <v>-2195906.0353360893</v>
      </c>
      <c r="AA30" s="112">
        <f t="shared" si="22"/>
        <v>-21630</v>
      </c>
      <c r="AB30" s="112">
        <f t="shared" si="22"/>
        <v>-34020</v>
      </c>
      <c r="AC30" s="112">
        <f t="shared" si="22"/>
        <v>-34020</v>
      </c>
      <c r="AD30" s="112">
        <f t="shared" si="22"/>
        <v>-50680</v>
      </c>
      <c r="AE30" s="112">
        <f t="shared" si="22"/>
        <v>-1050680</v>
      </c>
      <c r="AF30" s="112">
        <f t="shared" si="22"/>
        <v>-34020</v>
      </c>
      <c r="AG30" s="112">
        <f t="shared" si="22"/>
        <v>-18760</v>
      </c>
      <c r="AH30" s="112">
        <f t="shared" si="22"/>
        <v>-37590</v>
      </c>
      <c r="AI30" s="112">
        <f t="shared" si="22"/>
        <v>-37590</v>
      </c>
      <c r="AJ30" s="112">
        <f t="shared" si="22"/>
        <v>-20650</v>
      </c>
      <c r="AK30" s="112">
        <f t="shared" si="22"/>
        <v>-39270</v>
      </c>
      <c r="AL30" s="112">
        <f t="shared" si="22"/>
        <v>-4522695.3286511172</v>
      </c>
      <c r="AM30" s="112"/>
      <c r="AN30" s="112"/>
      <c r="AO30" s="112"/>
    </row>
    <row r="31" spans="1:41" ht="13.2" x14ac:dyDescent="0.25">
      <c r="A31" s="123" t="s">
        <v>229</v>
      </c>
      <c r="B31" s="125">
        <f t="shared" ref="B31:M31" si="23">B14+B30</f>
        <v>-644250</v>
      </c>
      <c r="C31" s="125">
        <f t="shared" si="23"/>
        <v>-144250</v>
      </c>
      <c r="D31" s="125">
        <f t="shared" si="23"/>
        <v>-495450</v>
      </c>
      <c r="E31" s="125">
        <f t="shared" si="23"/>
        <v>-176800</v>
      </c>
      <c r="F31" s="125">
        <f t="shared" si="23"/>
        <v>-176800</v>
      </c>
      <c r="G31" s="125">
        <f t="shared" si="23"/>
        <v>-37300</v>
      </c>
      <c r="H31" s="125">
        <f t="shared" si="23"/>
        <v>-199120</v>
      </c>
      <c r="I31" s="125">
        <f t="shared" si="23"/>
        <v>-199120</v>
      </c>
      <c r="J31" s="125">
        <f t="shared" si="23"/>
        <v>-206390</v>
      </c>
      <c r="K31" s="125">
        <f t="shared" si="23"/>
        <v>-154480</v>
      </c>
      <c r="L31" s="125">
        <f t="shared" si="23"/>
        <v>-154480</v>
      </c>
      <c r="M31" s="125">
        <f t="shared" si="23"/>
        <v>-436860</v>
      </c>
      <c r="N31" s="125">
        <f t="shared" ref="N31:U31" si="24">N18+N14+N30</f>
        <v>-2078909.1974476203</v>
      </c>
      <c r="O31" s="125">
        <f t="shared" si="24"/>
        <v>91040</v>
      </c>
      <c r="P31" s="125">
        <f t="shared" si="24"/>
        <v>-674010</v>
      </c>
      <c r="Q31" s="125">
        <f t="shared" si="24"/>
        <v>26870</v>
      </c>
      <c r="R31" s="125">
        <f t="shared" si="24"/>
        <v>26870</v>
      </c>
      <c r="S31" s="125">
        <f t="shared" si="24"/>
        <v>-674010</v>
      </c>
      <c r="T31" s="125">
        <f t="shared" si="24"/>
        <v>426870</v>
      </c>
      <c r="U31" s="125">
        <f t="shared" si="24"/>
        <v>426870</v>
      </c>
      <c r="V31" s="125">
        <f t="shared" ref="V31:AL31" si="25">V14+V30</f>
        <v>-800640</v>
      </c>
      <c r="W31" s="125">
        <f t="shared" si="25"/>
        <v>471510</v>
      </c>
      <c r="X31" s="125">
        <f t="shared" si="25"/>
        <v>258540</v>
      </c>
      <c r="Y31" s="125">
        <f t="shared" si="25"/>
        <v>491040</v>
      </c>
      <c r="Z31" s="125">
        <f t="shared" si="25"/>
        <v>-1667906.0353360893</v>
      </c>
      <c r="AA31" s="125">
        <f t="shared" si="25"/>
        <v>287370</v>
      </c>
      <c r="AB31" s="125">
        <f t="shared" si="25"/>
        <v>451980</v>
      </c>
      <c r="AC31" s="125">
        <f t="shared" si="25"/>
        <v>451980</v>
      </c>
      <c r="AD31" s="125">
        <f t="shared" si="25"/>
        <v>673320</v>
      </c>
      <c r="AE31" s="125">
        <f t="shared" si="25"/>
        <v>-326680</v>
      </c>
      <c r="AF31" s="125">
        <f t="shared" si="25"/>
        <v>451980</v>
      </c>
      <c r="AG31" s="125">
        <f t="shared" si="25"/>
        <v>249240</v>
      </c>
      <c r="AH31" s="125">
        <f t="shared" si="25"/>
        <v>499410</v>
      </c>
      <c r="AI31" s="125">
        <f t="shared" si="25"/>
        <v>499410</v>
      </c>
      <c r="AJ31" s="125">
        <f t="shared" si="25"/>
        <v>274350</v>
      </c>
      <c r="AK31" s="125">
        <f t="shared" si="25"/>
        <v>521730</v>
      </c>
      <c r="AL31" s="125">
        <f t="shared" si="25"/>
        <v>-4522695.3286511172</v>
      </c>
      <c r="AM31" s="107"/>
      <c r="AN31" s="107"/>
      <c r="AO31" s="107"/>
    </row>
    <row r="32" spans="1:41" ht="13.2" x14ac:dyDescent="0.25">
      <c r="A32" s="122" t="s">
        <v>203</v>
      </c>
      <c r="B32" s="126">
        <f>IF(B$31&gt;0,B$31*Расходы!$C$22,0)</f>
        <v>0</v>
      </c>
      <c r="C32" s="126">
        <f>IF(C$31&gt;0,C$31*Расходы!$C$22,0)</f>
        <v>0</v>
      </c>
      <c r="D32" s="126">
        <f>IF(D$31&gt;0,D$31*Расходы!$C$22,0)</f>
        <v>0</v>
      </c>
      <c r="E32" s="126">
        <f>IF(E$31&gt;0,E$31*Расходы!$C$22,0)</f>
        <v>0</v>
      </c>
      <c r="F32" s="126">
        <f>IF(F$31&gt;0,F$31*Расходы!$C$22,0)</f>
        <v>0</v>
      </c>
      <c r="G32" s="126">
        <f>IF(G$31&gt;0,G$31*Расходы!$C$22,0)</f>
        <v>0</v>
      </c>
      <c r="H32" s="126">
        <f>IF(H$31&gt;0,H$31*Расходы!$C$22,0)</f>
        <v>0</v>
      </c>
      <c r="I32" s="126">
        <f>IF(I$31&gt;0,I$31*Расходы!$C$22,0)</f>
        <v>0</v>
      </c>
      <c r="J32" s="126">
        <f>IF(J$31&gt;0,J$31*Расходы!$C$22,0)</f>
        <v>0</v>
      </c>
      <c r="K32" s="126">
        <f>IF(K$31&gt;0,K$31*Расходы!$C$22,0)</f>
        <v>0</v>
      </c>
      <c r="L32" s="126">
        <f>IF(L$31&gt;0,L$31*Расходы!$C$22,0)</f>
        <v>0</v>
      </c>
      <c r="M32" s="126">
        <f>IF(M$31&gt;0,M$31*Расходы!$C$22,0)</f>
        <v>0</v>
      </c>
      <c r="N32" s="126">
        <f>IF(N$31&gt;0,N$31*Расходы!$C$22,0)</f>
        <v>0</v>
      </c>
      <c r="O32" s="126">
        <f>IF(O$31&gt;0,O$31*Расходы!$C$22,0)</f>
        <v>4552</v>
      </c>
      <c r="P32" s="126">
        <f>IF(P$31&gt;0,P$31*Расходы!$C$22,0)</f>
        <v>0</v>
      </c>
      <c r="Q32" s="126">
        <f>IF(Q$31&gt;0,Q$31*Расходы!$C$22,0)</f>
        <v>1343.5</v>
      </c>
      <c r="R32" s="126">
        <f>IF(R$31&gt;0,R$31*Расходы!$C$22,0)</f>
        <v>1343.5</v>
      </c>
      <c r="S32" s="126">
        <f>IF(S$31&gt;0,S$31*Расходы!$C$22,0)</f>
        <v>0</v>
      </c>
      <c r="T32" s="126">
        <f>IF(T$31&gt;0,T$31*Расходы!$C$22,0)</f>
        <v>21343.5</v>
      </c>
      <c r="U32" s="129">
        <f>IF(U$31&gt;0,U$31*Расходы!$C$22,0)</f>
        <v>21343.5</v>
      </c>
      <c r="V32" s="126">
        <f>IF(V31&gt;0,V31*Расходы!$C$22,0)</f>
        <v>0</v>
      </c>
      <c r="W32" s="126">
        <f>IF(W31&gt;0,W31*Расходы!$C$22,0)</f>
        <v>23575.5</v>
      </c>
      <c r="X32" s="126">
        <f>IF(X31&gt;0,X31*Расходы!$C$22,0)</f>
        <v>12927</v>
      </c>
      <c r="Y32" s="126">
        <f>IF(Y31&gt;0,Y31*Расходы!$C$22,0)</f>
        <v>24552</v>
      </c>
      <c r="Z32" s="126">
        <f>IF(Z31&gt;0,Z31*Расходы!$C$22,0)</f>
        <v>0</v>
      </c>
      <c r="AA32" s="126">
        <f>IF(AA31&gt;0,AA31*Расходы!$C$22,0)</f>
        <v>14368.5</v>
      </c>
      <c r="AB32" s="126">
        <f>IF(AB31&gt;0,AB31*Расходы!$C$22,0)</f>
        <v>22599</v>
      </c>
      <c r="AC32" s="126">
        <f>IF(AC31&gt;0,AC31*Расходы!$C$22,0)</f>
        <v>22599</v>
      </c>
      <c r="AD32" s="126">
        <f>IF(AD31&gt;0,AD31*Расходы!$C$22,0)</f>
        <v>33666</v>
      </c>
      <c r="AE32" s="126">
        <f>IF(AE31&gt;0,AE31*Расходы!$C$22,0)</f>
        <v>0</v>
      </c>
      <c r="AF32" s="126">
        <f>IF(AF31&gt;0,AF31*Расходы!$C$22,0)</f>
        <v>22599</v>
      </c>
      <c r="AG32" s="126">
        <f>IF(AG31&gt;0,AG31*Расходы!$C$22,0)</f>
        <v>12462</v>
      </c>
      <c r="AH32" s="126">
        <f>IF(AH31&gt;0,AH31*Расходы!$C$22,0)</f>
        <v>24970.5</v>
      </c>
      <c r="AI32" s="126">
        <f>IF(AI31&gt;0,AI31*Расходы!$C$22,0)</f>
        <v>24970.5</v>
      </c>
      <c r="AJ32" s="126">
        <f>IF(AJ31&gt;0,AJ31*Расходы!$C$22,0)</f>
        <v>13717.5</v>
      </c>
      <c r="AK32" s="126">
        <f>IF(AK31&gt;0,AK31*Расходы!$C$22,0)</f>
        <v>26086.5</v>
      </c>
      <c r="AL32" s="126">
        <f>IF(AL31&gt;0,AL31*Расходы!$C$22,0)</f>
        <v>0</v>
      </c>
      <c r="AM32" s="112"/>
      <c r="AN32" s="112"/>
      <c r="AO32" s="112"/>
    </row>
    <row r="33" spans="1:41" ht="13.2" x14ac:dyDescent="0.25">
      <c r="A33" s="3" t="s">
        <v>230</v>
      </c>
      <c r="B33" s="112">
        <f t="shared" ref="B33:AL33" si="26">B31-B32</f>
        <v>-644250</v>
      </c>
      <c r="C33" s="112">
        <f t="shared" si="26"/>
        <v>-144250</v>
      </c>
      <c r="D33" s="112">
        <f t="shared" si="26"/>
        <v>-495450</v>
      </c>
      <c r="E33" s="112">
        <f t="shared" si="26"/>
        <v>-176800</v>
      </c>
      <c r="F33" s="112">
        <f t="shared" si="26"/>
        <v>-176800</v>
      </c>
      <c r="G33" s="112">
        <f t="shared" si="26"/>
        <v>-37300</v>
      </c>
      <c r="H33" s="112">
        <f t="shared" si="26"/>
        <v>-199120</v>
      </c>
      <c r="I33" s="112">
        <f t="shared" si="26"/>
        <v>-199120</v>
      </c>
      <c r="J33" s="112">
        <f t="shared" si="26"/>
        <v>-206390</v>
      </c>
      <c r="K33" s="112">
        <f t="shared" si="26"/>
        <v>-154480</v>
      </c>
      <c r="L33" s="112">
        <f t="shared" si="26"/>
        <v>-154480</v>
      </c>
      <c r="M33" s="112">
        <f t="shared" si="26"/>
        <v>-436860</v>
      </c>
      <c r="N33" s="112">
        <f t="shared" si="26"/>
        <v>-2078909.1974476203</v>
      </c>
      <c r="O33" s="112">
        <f t="shared" si="26"/>
        <v>86488</v>
      </c>
      <c r="P33" s="112">
        <f t="shared" si="26"/>
        <v>-674010</v>
      </c>
      <c r="Q33" s="112">
        <f t="shared" si="26"/>
        <v>25526.5</v>
      </c>
      <c r="R33" s="112">
        <f t="shared" si="26"/>
        <v>25526.5</v>
      </c>
      <c r="S33" s="112">
        <f t="shared" si="26"/>
        <v>-674010</v>
      </c>
      <c r="T33" s="112">
        <f t="shared" si="26"/>
        <v>405526.5</v>
      </c>
      <c r="U33" s="112">
        <f t="shared" si="26"/>
        <v>405526.5</v>
      </c>
      <c r="V33" s="112">
        <f t="shared" si="26"/>
        <v>-800640</v>
      </c>
      <c r="W33" s="112">
        <f t="shared" si="26"/>
        <v>447934.5</v>
      </c>
      <c r="X33" s="112">
        <f t="shared" si="26"/>
        <v>245613</v>
      </c>
      <c r="Y33" s="112">
        <f t="shared" si="26"/>
        <v>466488</v>
      </c>
      <c r="Z33" s="112">
        <f t="shared" si="26"/>
        <v>-1667906.0353360893</v>
      </c>
      <c r="AA33" s="112">
        <f t="shared" si="26"/>
        <v>273001.5</v>
      </c>
      <c r="AB33" s="112">
        <f t="shared" si="26"/>
        <v>429381</v>
      </c>
      <c r="AC33" s="112">
        <f t="shared" si="26"/>
        <v>429381</v>
      </c>
      <c r="AD33" s="112">
        <f t="shared" si="26"/>
        <v>639654</v>
      </c>
      <c r="AE33" s="112">
        <f t="shared" si="26"/>
        <v>-326680</v>
      </c>
      <c r="AF33" s="112">
        <f t="shared" si="26"/>
        <v>429381</v>
      </c>
      <c r="AG33" s="112">
        <f t="shared" si="26"/>
        <v>236778</v>
      </c>
      <c r="AH33" s="112">
        <f t="shared" si="26"/>
        <v>474439.5</v>
      </c>
      <c r="AI33" s="112">
        <f t="shared" si="26"/>
        <v>474439.5</v>
      </c>
      <c r="AJ33" s="112">
        <f t="shared" si="26"/>
        <v>260632.5</v>
      </c>
      <c r="AK33" s="112">
        <f t="shared" si="26"/>
        <v>495643.5</v>
      </c>
      <c r="AL33" s="112">
        <f t="shared" si="26"/>
        <v>-4522695.3286511172</v>
      </c>
      <c r="AM33" s="112"/>
      <c r="AN33" s="112"/>
      <c r="AO33" s="112"/>
    </row>
    <row r="35" spans="1:41" ht="13.2" x14ac:dyDescent="0.25">
      <c r="A35" s="127" t="s">
        <v>231</v>
      </c>
      <c r="B35" s="128">
        <f>SUM(B33:U33,V33:AL33)</f>
        <v>-7518789.5614348268</v>
      </c>
    </row>
    <row r="37" spans="1:41" ht="153" customHeight="1" x14ac:dyDescent="0.25">
      <c r="A37" s="168" t="s">
        <v>278</v>
      </c>
      <c r="B37" s="245" t="s">
        <v>287</v>
      </c>
      <c r="C37" s="246"/>
      <c r="D37" s="246"/>
      <c r="E37" s="246"/>
      <c r="F37" s="246"/>
      <c r="G37" s="246"/>
      <c r="H37" s="246"/>
      <c r="I37" s="246"/>
      <c r="J37" s="246"/>
      <c r="K37" s="247"/>
    </row>
    <row r="38" spans="1:41" ht="15.75" customHeight="1" x14ac:dyDescent="0.25">
      <c r="B38" s="244" t="s">
        <v>279</v>
      </c>
      <c r="C38" s="244"/>
      <c r="D38" s="244"/>
      <c r="E38" s="244"/>
      <c r="F38" s="244"/>
      <c r="G38" s="244"/>
      <c r="H38" s="244"/>
      <c r="I38" s="244"/>
      <c r="J38" s="244"/>
      <c r="K38" s="244"/>
    </row>
    <row r="39" spans="1:41" ht="15.75" customHeight="1" x14ac:dyDescent="0.25">
      <c r="B39" s="244"/>
      <c r="C39" s="244"/>
      <c r="D39" s="244"/>
      <c r="E39" s="244"/>
      <c r="F39" s="244"/>
      <c r="G39" s="244"/>
      <c r="H39" s="244"/>
      <c r="I39" s="244"/>
      <c r="J39" s="244"/>
      <c r="K39" s="244"/>
    </row>
    <row r="40" spans="1:41" ht="15.75" customHeight="1" x14ac:dyDescent="0.25">
      <c r="B40" s="244"/>
      <c r="C40" s="244"/>
      <c r="D40" s="244"/>
      <c r="E40" s="244"/>
      <c r="F40" s="244"/>
      <c r="G40" s="244"/>
      <c r="H40" s="244"/>
      <c r="I40" s="244"/>
      <c r="J40" s="244"/>
      <c r="K40" s="244"/>
    </row>
    <row r="41" spans="1:41" ht="15.75" customHeight="1" x14ac:dyDescent="0.25">
      <c r="B41" s="244"/>
      <c r="C41" s="244"/>
      <c r="D41" s="244"/>
      <c r="E41" s="244"/>
      <c r="F41" s="244"/>
      <c r="G41" s="244"/>
      <c r="H41" s="244"/>
      <c r="I41" s="244"/>
      <c r="J41" s="244"/>
      <c r="K41" s="244"/>
    </row>
    <row r="46" spans="1:41" ht="15.75" customHeight="1" x14ac:dyDescent="0.25">
      <c r="B46" s="169"/>
    </row>
  </sheetData>
  <mergeCells count="3">
    <mergeCell ref="A1:H1"/>
    <mergeCell ref="B38:K41"/>
    <mergeCell ref="B37:K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40"/>
  <sheetViews>
    <sheetView workbookViewId="0">
      <selection activeCell="L8" sqref="L8:S10"/>
    </sheetView>
  </sheetViews>
  <sheetFormatPr defaultColWidth="12.6640625" defaultRowHeight="15.75" customHeight="1" x14ac:dyDescent="0.25"/>
  <cols>
    <col min="1" max="1" width="6" customWidth="1"/>
    <col min="6" max="6" width="16.109375" customWidth="1"/>
    <col min="10" max="10" width="14.21875" customWidth="1"/>
  </cols>
  <sheetData>
    <row r="1" spans="1:19" ht="23.4" customHeight="1" x14ac:dyDescent="0.25">
      <c r="A1" s="198" t="s">
        <v>235</v>
      </c>
      <c r="B1" s="179"/>
      <c r="C1" s="179"/>
      <c r="D1" s="179"/>
      <c r="E1" s="179"/>
      <c r="F1" s="179"/>
      <c r="G1" s="179"/>
      <c r="H1" s="179"/>
      <c r="I1" s="177"/>
    </row>
    <row r="2" spans="1:19" ht="17.399999999999999" customHeight="1" x14ac:dyDescent="0.3">
      <c r="A2" s="255" t="s">
        <v>236</v>
      </c>
      <c r="B2" s="256"/>
      <c r="C2" s="256"/>
      <c r="D2" s="257"/>
      <c r="L2" s="165" t="s">
        <v>271</v>
      </c>
    </row>
    <row r="3" spans="1:19" ht="13.2" customHeight="1" x14ac:dyDescent="0.25">
      <c r="A3" s="1" t="s">
        <v>237</v>
      </c>
      <c r="B3" s="1" t="s">
        <v>238</v>
      </c>
      <c r="C3" s="1" t="s">
        <v>239</v>
      </c>
      <c r="D3" s="1" t="s">
        <v>240</v>
      </c>
      <c r="F3" s="2"/>
      <c r="G3" s="1" t="s">
        <v>238</v>
      </c>
      <c r="H3" s="1" t="s">
        <v>239</v>
      </c>
      <c r="I3" s="1" t="s">
        <v>240</v>
      </c>
      <c r="L3" s="244" t="s">
        <v>273</v>
      </c>
      <c r="M3" s="244"/>
      <c r="N3" s="244"/>
      <c r="O3" s="244"/>
      <c r="P3" s="244"/>
      <c r="Q3" s="244"/>
      <c r="R3" s="244"/>
      <c r="S3" s="244"/>
    </row>
    <row r="4" spans="1:19" ht="13.2" x14ac:dyDescent="0.25">
      <c r="A4" s="2">
        <v>1</v>
      </c>
      <c r="B4" s="136">
        <f t="array" ref="B4:B23">TRANSPOSE('Cash-Flow 1'!$B$32:$U$32)</f>
        <v>-19190</v>
      </c>
      <c r="C4" s="136">
        <f t="array" ref="C4:C23">TRANSPOSE('Cash-Flow 2'!B32:U32)</f>
        <v>-244250</v>
      </c>
      <c r="D4" s="136">
        <f t="array" ref="D4:D23">TRANSPOSE('Cash-Flow 3'!B33:U33)</f>
        <v>-644250</v>
      </c>
      <c r="F4" s="2" t="s">
        <v>241</v>
      </c>
      <c r="G4" s="136">
        <f t="shared" ref="G4:I4" si="0">IF(G5&gt;0,IRR(B4:B40),0)</f>
        <v>23.161135070281773</v>
      </c>
      <c r="H4" s="136">
        <f t="shared" si="0"/>
        <v>1.1223178794225963</v>
      </c>
      <c r="I4" s="136">
        <f t="shared" si="0"/>
        <v>0</v>
      </c>
      <c r="L4" s="244"/>
      <c r="M4" s="244"/>
      <c r="N4" s="244"/>
      <c r="O4" s="244"/>
      <c r="P4" s="244"/>
      <c r="Q4" s="244"/>
      <c r="R4" s="244"/>
      <c r="S4" s="244"/>
    </row>
    <row r="5" spans="1:19" ht="13.2" x14ac:dyDescent="0.25">
      <c r="A5" s="2">
        <v>2</v>
      </c>
      <c r="B5" s="136">
        <v>447051</v>
      </c>
      <c r="C5" s="136">
        <v>242962.5</v>
      </c>
      <c r="D5" s="136">
        <v>-144250</v>
      </c>
      <c r="F5" s="2" t="s">
        <v>242</v>
      </c>
      <c r="G5" s="136">
        <f t="array" ref="G5">NPV(Предпосылки!$M$123,B4,B5,B6,B7,B8,B9,B10,B11,B12,B13,B14,B15,B16,B17,B18,B19,B20,B21,B22,B23,B24,B25,B26,B27,B28,B29,B30,B31,B32,B33,B34,B35,B36,B37,B38,B39,B40)</f>
        <v>1454773.6215264201</v>
      </c>
      <c r="H5" s="136">
        <f t="array" ref="H5">NPV(Предпосылки!$M$123,C4,C5,C6,C7,C8,C9,C10,C11,C12,C13,C14,C15,C16,C17,C18,C19,C20,C21,C22,C23,C24,C25,C26,C27,C28,C29,C30,C31,C32,C33,C34,C35,C36,C37,C38,C39,C40)</f>
        <v>789238.02562581794</v>
      </c>
      <c r="I5" s="136">
        <f t="array" ref="I5">NPV(Предпосылки!$M$123,D4,D5,D6,D7,D8,D9,D10,D11,D12,D13,D14,D15,D16,D17,D18,D19,D20,D21,D22,D23,D24,D25,D26,D27,D28,D29,D30,D31,D32,D33,D34,D35,D36,D37,D38,D39,D40)</f>
        <v>-1788603.2786525374</v>
      </c>
      <c r="J5" s="250" t="s">
        <v>270</v>
      </c>
      <c r="L5" s="244" t="s">
        <v>274</v>
      </c>
      <c r="M5" s="244"/>
      <c r="N5" s="244"/>
      <c r="O5" s="244"/>
      <c r="P5" s="244"/>
      <c r="Q5" s="244"/>
      <c r="R5" s="244"/>
      <c r="S5" s="244"/>
    </row>
    <row r="6" spans="1:19" ht="13.2" customHeight="1" x14ac:dyDescent="0.25">
      <c r="A6" s="2">
        <v>3</v>
      </c>
      <c r="B6" s="136">
        <v>384322.5</v>
      </c>
      <c r="C6" s="136">
        <v>384322.5</v>
      </c>
      <c r="D6" s="136">
        <v>-495450</v>
      </c>
      <c r="F6" s="2" t="s">
        <v>243</v>
      </c>
      <c r="G6" s="136">
        <f t="array" ref="G6">NPV(Предпосылки!$M$124,B4,B5,B6,B7,B8,B9,B10,B11,B12,B13,B14,B15,B16,B17,B18,B19,B20,B21,B22,B23,B24,B25,B26,B27,B28,B29,B30,B31,B32,B33,B34,B35,B36,B37,B38,B39,B40)</f>
        <v>1454773.6215264201</v>
      </c>
      <c r="H6" s="136">
        <f t="array" ref="H6">NPV(Предпосылки!$M$124,C4,C5,C6,C7,C8,C9,C10,C11,C12,C13,C14,C15,C16,C17,C18,C19,C20,C21,C22,C23,C24,C25,C26,C27,C28,C29,C30,C31,C32,C33,C34,C35,C36,C37,C38,C39,C40)</f>
        <v>789238.02562581794</v>
      </c>
      <c r="I6" s="136">
        <f t="array" ref="I6">NPV(Предпосылки!$M$124,D4,D5,D6,D7,D8,D9,D10,D11,D12,D13,D14,D15,D16,D17,D18,D19,D20,D21,D22,D23,D24,D25,D26,D27,D28,D29,D30,D31,D32,D33,D34,D35,D36,D37,D38,D39,D40)</f>
        <v>-1788603.2786525374</v>
      </c>
      <c r="J6" s="251"/>
      <c r="L6" s="244"/>
      <c r="M6" s="244"/>
      <c r="N6" s="244"/>
      <c r="O6" s="244"/>
      <c r="P6" s="244"/>
      <c r="Q6" s="244"/>
      <c r="R6" s="244"/>
      <c r="S6" s="244"/>
    </row>
    <row r="7" spans="1:19" ht="13.2" x14ac:dyDescent="0.25">
      <c r="A7" s="2">
        <v>4</v>
      </c>
      <c r="B7" s="136">
        <v>388740</v>
      </c>
      <c r="C7" s="136">
        <v>212040</v>
      </c>
      <c r="D7" s="136">
        <v>-176800</v>
      </c>
      <c r="F7" s="2" t="s">
        <v>244</v>
      </c>
      <c r="G7" s="136">
        <f t="array" ref="G7">NPV(Предпосылки!$M$122,B4,B5,B6,B7,B8,B9,B10,B11,B12,B13,B14,B15,B16,B17,B18,B19,B20,B21,B22,B23,B24,B25,B26,B27,B28,B29,B30,B31,B32,B33,B34,B35,B36,B37,B38,B39,B40)</f>
        <v>1631015.0800220696</v>
      </c>
      <c r="H7" s="136">
        <f t="array" ref="H7">NPV(Предпосылки!$M$122,C4,C5,C6,C7,C8,C9,C10,C11,C12,C13,C14,C15,C16,C17,C18,C19,C20,C21,C22,C23,C24,C25,C26,C27,C28,C29,C30,C31,C32,C33,C34,C35,C36,C37,C38,C39,C40)</f>
        <v>906205.93819116254</v>
      </c>
      <c r="I7" s="136">
        <f t="array" ref="I7">NPV(Предпосылки!$M$122,D4,D5,D6,D7,D8,D9,D10,D11,D12,D13,D14,D15,D16,D17,D18,D19,D20,D21,D22,D23,D24,D25,D26,D27,D28,D29,D30,D31,D32,D33,D34,D35,D36,D37,D38,D39,D40)</f>
        <v>-2015951.0516212657</v>
      </c>
      <c r="J7" s="252"/>
      <c r="L7" s="244"/>
      <c r="M7" s="244"/>
      <c r="N7" s="244"/>
      <c r="O7" s="244"/>
      <c r="P7" s="244"/>
      <c r="Q7" s="244"/>
      <c r="R7" s="244"/>
      <c r="S7" s="244"/>
    </row>
    <row r="8" spans="1:19" ht="13.2" customHeight="1" x14ac:dyDescent="0.25">
      <c r="A8" s="2">
        <v>5</v>
      </c>
      <c r="B8" s="136">
        <v>388740</v>
      </c>
      <c r="C8" s="136">
        <v>212040</v>
      </c>
      <c r="D8" s="136">
        <v>-176800</v>
      </c>
      <c r="F8" s="254" t="s">
        <v>268</v>
      </c>
      <c r="G8" s="248">
        <f>MAX(B4:B40)</f>
        <v>639654</v>
      </c>
      <c r="H8" s="248">
        <f>MAX(C4:C40)</f>
        <v>639654</v>
      </c>
      <c r="I8" s="248">
        <f>MAX(D4:D40)</f>
        <v>639654</v>
      </c>
      <c r="J8" s="248">
        <f>MAX(G8:I9)</f>
        <v>639654</v>
      </c>
      <c r="L8" s="244" t="s">
        <v>272</v>
      </c>
      <c r="M8" s="244"/>
      <c r="N8" s="244"/>
      <c r="O8" s="244"/>
      <c r="P8" s="244"/>
      <c r="Q8" s="244"/>
      <c r="R8" s="244"/>
      <c r="S8" s="244"/>
    </row>
    <row r="9" spans="1:19" ht="13.2" customHeight="1" x14ac:dyDescent="0.25">
      <c r="A9" s="2">
        <v>6</v>
      </c>
      <c r="B9" s="136">
        <v>344565</v>
      </c>
      <c r="C9" s="136">
        <v>344565</v>
      </c>
      <c r="D9" s="136">
        <v>-37300</v>
      </c>
      <c r="F9" s="252"/>
      <c r="G9" s="249"/>
      <c r="H9" s="249"/>
      <c r="I9" s="249"/>
      <c r="J9" s="249"/>
      <c r="L9" s="244"/>
      <c r="M9" s="244"/>
      <c r="N9" s="244"/>
      <c r="O9" s="244"/>
      <c r="P9" s="244"/>
      <c r="Q9" s="244"/>
      <c r="R9" s="244"/>
      <c r="S9" s="244"/>
    </row>
    <row r="10" spans="1:19" ht="13.2" x14ac:dyDescent="0.25">
      <c r="A10" s="2">
        <v>7</v>
      </c>
      <c r="B10" s="136">
        <v>349866</v>
      </c>
      <c r="C10" s="136">
        <v>190836</v>
      </c>
      <c r="D10" s="136">
        <v>-199120</v>
      </c>
      <c r="F10" s="258" t="s">
        <v>269</v>
      </c>
      <c r="G10" s="253">
        <f>MIN(B4:B40)</f>
        <v>-5905740.0107544232</v>
      </c>
      <c r="H10" s="253">
        <f>MIN(C4:C40)</f>
        <v>-5942983.471492473</v>
      </c>
      <c r="I10" s="253">
        <f>MIN(D4:D40)</f>
        <v>-4522695.3286511172</v>
      </c>
      <c r="J10" s="253">
        <f>MIN(G10:I12)</f>
        <v>-5942983.471492473</v>
      </c>
      <c r="L10" s="244"/>
      <c r="M10" s="244"/>
      <c r="N10" s="244"/>
      <c r="O10" s="244"/>
      <c r="P10" s="244"/>
      <c r="Q10" s="244"/>
      <c r="R10" s="244"/>
      <c r="S10" s="244"/>
    </row>
    <row r="11" spans="1:19" ht="13.2" customHeight="1" x14ac:dyDescent="0.25">
      <c r="A11" s="2">
        <v>8</v>
      </c>
      <c r="B11" s="136">
        <v>349866</v>
      </c>
      <c r="C11" s="136">
        <v>190836</v>
      </c>
      <c r="D11" s="136">
        <v>-199120</v>
      </c>
      <c r="F11" s="258"/>
      <c r="G11" s="253"/>
      <c r="H11" s="253"/>
      <c r="I11" s="253"/>
      <c r="J11" s="253"/>
    </row>
    <row r="12" spans="1:19" ht="13.2" x14ac:dyDescent="0.25">
      <c r="A12" s="2">
        <v>9</v>
      </c>
      <c r="B12" s="136">
        <v>378299.5</v>
      </c>
      <c r="C12" s="136">
        <v>183929.5</v>
      </c>
      <c r="D12" s="136">
        <v>-206390</v>
      </c>
      <c r="F12" s="258"/>
      <c r="G12" s="253"/>
      <c r="H12" s="253"/>
      <c r="I12" s="253"/>
      <c r="J12" s="253"/>
      <c r="L12" s="244" t="s">
        <v>275</v>
      </c>
      <c r="M12" s="244"/>
      <c r="N12" s="244"/>
      <c r="O12" s="244"/>
      <c r="P12" s="244"/>
      <c r="Q12" s="244"/>
      <c r="R12" s="244"/>
      <c r="S12" s="244"/>
    </row>
    <row r="13" spans="1:19" ht="13.2" x14ac:dyDescent="0.25">
      <c r="A13" s="2">
        <v>10</v>
      </c>
      <c r="B13" s="136">
        <v>421429.5</v>
      </c>
      <c r="C13" s="136">
        <v>233244</v>
      </c>
      <c r="D13" s="136">
        <v>-154480</v>
      </c>
      <c r="L13" s="244"/>
      <c r="M13" s="244"/>
      <c r="N13" s="244"/>
      <c r="O13" s="244"/>
      <c r="P13" s="244"/>
      <c r="Q13" s="244"/>
      <c r="R13" s="244"/>
      <c r="S13" s="244"/>
    </row>
    <row r="14" spans="1:19" ht="13.2" x14ac:dyDescent="0.25">
      <c r="A14" s="2">
        <v>11</v>
      </c>
      <c r="B14" s="136">
        <v>421429.5</v>
      </c>
      <c r="C14" s="136">
        <v>233244</v>
      </c>
      <c r="D14" s="136">
        <v>-154480</v>
      </c>
      <c r="L14" s="244"/>
      <c r="M14" s="244"/>
      <c r="N14" s="244"/>
      <c r="O14" s="244"/>
      <c r="P14" s="244"/>
      <c r="Q14" s="244"/>
      <c r="R14" s="244"/>
      <c r="S14" s="244"/>
    </row>
    <row r="15" spans="1:19" ht="13.2" x14ac:dyDescent="0.25">
      <c r="A15" s="2">
        <v>12</v>
      </c>
      <c r="B15" s="136">
        <v>447051</v>
      </c>
      <c r="C15" s="136">
        <v>439983</v>
      </c>
      <c r="D15" s="136">
        <v>-436860</v>
      </c>
      <c r="L15" s="244" t="s">
        <v>276</v>
      </c>
      <c r="M15" s="244"/>
      <c r="N15" s="244"/>
      <c r="O15" s="244"/>
      <c r="P15" s="244"/>
      <c r="Q15" s="244"/>
      <c r="R15" s="244"/>
      <c r="S15" s="244"/>
    </row>
    <row r="16" spans="1:19" ht="13.2" x14ac:dyDescent="0.25">
      <c r="A16" s="2">
        <v>13</v>
      </c>
      <c r="B16" s="136">
        <v>-3002240.1337843705</v>
      </c>
      <c r="C16" s="136">
        <v>-2106089.0377145922</v>
      </c>
      <c r="D16" s="136">
        <v>-2078909.1974476203</v>
      </c>
      <c r="L16" s="244"/>
      <c r="M16" s="244"/>
      <c r="N16" s="244"/>
      <c r="O16" s="244"/>
      <c r="P16" s="244"/>
      <c r="Q16" s="244"/>
      <c r="R16" s="244"/>
      <c r="S16" s="244"/>
    </row>
    <row r="17" spans="1:19" ht="13.2" x14ac:dyDescent="0.25">
      <c r="A17" s="2">
        <v>14</v>
      </c>
      <c r="B17" s="136">
        <v>439983</v>
      </c>
      <c r="C17" s="136">
        <v>439983</v>
      </c>
      <c r="D17" s="136">
        <v>86488</v>
      </c>
      <c r="L17" s="244" t="s">
        <v>277</v>
      </c>
      <c r="M17" s="244"/>
      <c r="N17" s="244"/>
      <c r="O17" s="244"/>
      <c r="P17" s="244"/>
      <c r="Q17" s="244"/>
      <c r="R17" s="244"/>
      <c r="S17" s="244"/>
    </row>
    <row r="18" spans="1:19" ht="13.2" x14ac:dyDescent="0.25">
      <c r="A18" s="2">
        <v>15</v>
      </c>
      <c r="B18" s="136">
        <v>388740</v>
      </c>
      <c r="C18" s="136">
        <v>203205</v>
      </c>
      <c r="D18" s="136">
        <v>-674010</v>
      </c>
      <c r="L18" s="244"/>
      <c r="M18" s="244"/>
      <c r="N18" s="244"/>
      <c r="O18" s="244"/>
      <c r="P18" s="244"/>
      <c r="Q18" s="244"/>
      <c r="R18" s="244"/>
      <c r="S18" s="244"/>
    </row>
    <row r="19" spans="1:19" ht="13.2" x14ac:dyDescent="0.25">
      <c r="A19" s="2">
        <v>16</v>
      </c>
      <c r="B19" s="136">
        <v>384322.5</v>
      </c>
      <c r="C19" s="136">
        <v>384322.5</v>
      </c>
      <c r="D19" s="136">
        <v>25526.5</v>
      </c>
      <c r="L19" s="244"/>
      <c r="M19" s="244"/>
      <c r="N19" s="244"/>
      <c r="O19" s="244"/>
      <c r="P19" s="244"/>
      <c r="Q19" s="244"/>
      <c r="R19" s="244"/>
      <c r="S19" s="244"/>
    </row>
    <row r="20" spans="1:19" ht="13.2" x14ac:dyDescent="0.25">
      <c r="A20" s="2">
        <v>17</v>
      </c>
      <c r="B20" s="136">
        <v>384322.5</v>
      </c>
      <c r="C20" s="136">
        <v>384322.5</v>
      </c>
      <c r="D20" s="136">
        <v>25526.5</v>
      </c>
    </row>
    <row r="21" spans="1:19" ht="13.2" x14ac:dyDescent="0.25">
      <c r="A21" s="2">
        <v>18</v>
      </c>
      <c r="B21" s="136">
        <v>388740</v>
      </c>
      <c r="C21" s="136">
        <v>203205</v>
      </c>
      <c r="D21" s="136">
        <v>-674010</v>
      </c>
    </row>
    <row r="22" spans="1:19" ht="13.2" x14ac:dyDescent="0.25">
      <c r="A22" s="2">
        <v>19</v>
      </c>
      <c r="B22" s="136">
        <v>384322.5</v>
      </c>
      <c r="C22" s="136">
        <v>384322.5</v>
      </c>
      <c r="D22" s="136">
        <v>405526.5</v>
      </c>
    </row>
    <row r="23" spans="1:19" ht="13.2" x14ac:dyDescent="0.25">
      <c r="A23" s="2">
        <v>20</v>
      </c>
      <c r="B23" s="136">
        <v>384322.5</v>
      </c>
      <c r="C23" s="136">
        <v>384322.5</v>
      </c>
      <c r="D23" s="136">
        <v>405526.5</v>
      </c>
    </row>
    <row r="24" spans="1:19" ht="13.2" x14ac:dyDescent="0.25">
      <c r="A24" s="2">
        <v>21</v>
      </c>
      <c r="B24" s="136">
        <f t="array" ref="B24:B40">TRANSPOSE('Cash-Flow 1'!V32:AL32)</f>
        <v>426892</v>
      </c>
      <c r="C24" s="136">
        <f t="array" ref="C24:C40">TRANSPOSE('Cash-Flow 2'!V32:AL32)</f>
        <v>426892</v>
      </c>
      <c r="D24" s="136">
        <f t="array" ref="D24:D40">TRANSPOSE('Cash-Flow 3'!V33:AL33)</f>
        <v>-800640</v>
      </c>
    </row>
    <row r="25" spans="1:19" ht="13.2" x14ac:dyDescent="0.25">
      <c r="A25" s="2">
        <v>22</v>
      </c>
      <c r="B25" s="136">
        <v>447934.5</v>
      </c>
      <c r="C25" s="136">
        <v>447934.5</v>
      </c>
      <c r="D25" s="136">
        <v>447934.5</v>
      </c>
    </row>
    <row r="26" spans="1:19" ht="13.2" x14ac:dyDescent="0.25">
      <c r="A26" s="2">
        <v>23</v>
      </c>
      <c r="B26" s="136">
        <v>462954</v>
      </c>
      <c r="C26" s="136">
        <v>245613</v>
      </c>
      <c r="D26" s="136">
        <v>245613</v>
      </c>
    </row>
    <row r="27" spans="1:19" ht="13.2" x14ac:dyDescent="0.25">
      <c r="A27" s="2">
        <v>24</v>
      </c>
      <c r="B27" s="136">
        <v>466488</v>
      </c>
      <c r="C27" s="136">
        <v>466488</v>
      </c>
      <c r="D27" s="136">
        <v>466488</v>
      </c>
    </row>
    <row r="28" spans="1:19" ht="13.2" x14ac:dyDescent="0.25">
      <c r="A28" s="2">
        <v>25</v>
      </c>
      <c r="B28" s="136">
        <v>-2376802.3640371356</v>
      </c>
      <c r="C28" s="136">
        <v>-2650167.9623311078</v>
      </c>
      <c r="D28" s="136">
        <v>-1667906.0353360893</v>
      </c>
    </row>
    <row r="29" spans="1:19" ht="13.2" x14ac:dyDescent="0.25">
      <c r="A29" s="2">
        <v>26</v>
      </c>
      <c r="B29" s="136">
        <v>511546.5</v>
      </c>
      <c r="C29" s="136">
        <v>273001.5</v>
      </c>
      <c r="D29" s="136">
        <v>273001.5</v>
      </c>
    </row>
    <row r="30" spans="1:19" ht="13.2" x14ac:dyDescent="0.25">
      <c r="A30" s="2">
        <v>27</v>
      </c>
      <c r="B30" s="136">
        <v>429381</v>
      </c>
      <c r="C30" s="136">
        <v>429381</v>
      </c>
      <c r="D30" s="136">
        <v>429381</v>
      </c>
    </row>
    <row r="31" spans="1:19" ht="13.2" x14ac:dyDescent="0.25">
      <c r="A31" s="2">
        <v>28</v>
      </c>
      <c r="B31" s="136">
        <v>429381</v>
      </c>
      <c r="C31" s="136">
        <v>429381</v>
      </c>
      <c r="D31" s="136">
        <v>429381</v>
      </c>
    </row>
    <row r="32" spans="1:19" ht="13.2" x14ac:dyDescent="0.25">
      <c r="A32" s="2">
        <v>29</v>
      </c>
      <c r="B32" s="136">
        <v>639654</v>
      </c>
      <c r="C32" s="136">
        <v>639654</v>
      </c>
      <c r="D32" s="136">
        <v>639654</v>
      </c>
    </row>
    <row r="33" spans="1:4" ht="13.2" x14ac:dyDescent="0.25">
      <c r="A33" s="2">
        <v>30</v>
      </c>
      <c r="B33" s="136">
        <v>402154</v>
      </c>
      <c r="C33" s="136">
        <v>402154</v>
      </c>
      <c r="D33" s="136">
        <v>-326680</v>
      </c>
    </row>
    <row r="34" spans="1:4" ht="13.2" x14ac:dyDescent="0.25">
      <c r="A34" s="2">
        <v>31</v>
      </c>
      <c r="B34" s="136">
        <v>429381</v>
      </c>
      <c r="C34" s="136">
        <v>429381</v>
      </c>
      <c r="D34" s="136">
        <v>429381</v>
      </c>
    </row>
    <row r="35" spans="1:4" ht="13.2" x14ac:dyDescent="0.25">
      <c r="A35" s="2">
        <v>32</v>
      </c>
      <c r="B35" s="136">
        <v>446167.5</v>
      </c>
      <c r="C35" s="136">
        <v>236778</v>
      </c>
      <c r="D35" s="136">
        <v>236778</v>
      </c>
    </row>
    <row r="36" spans="1:4" ht="13.2" x14ac:dyDescent="0.25">
      <c r="A36" s="2">
        <v>33</v>
      </c>
      <c r="B36" s="136">
        <v>474439.5</v>
      </c>
      <c r="C36" s="136">
        <v>474439.5</v>
      </c>
      <c r="D36" s="136">
        <v>474439.5</v>
      </c>
    </row>
    <row r="37" spans="1:4" ht="13.2" x14ac:dyDescent="0.25">
      <c r="A37" s="2">
        <v>34</v>
      </c>
      <c r="B37" s="136">
        <v>474439.5</v>
      </c>
      <c r="C37" s="136">
        <v>474439.5</v>
      </c>
      <c r="D37" s="136">
        <v>474439.5</v>
      </c>
    </row>
    <row r="38" spans="1:4" ht="13.2" x14ac:dyDescent="0.25">
      <c r="A38" s="2">
        <v>35</v>
      </c>
      <c r="B38" s="136">
        <v>491226</v>
      </c>
      <c r="C38" s="136">
        <v>260632.5</v>
      </c>
      <c r="D38" s="136">
        <v>260632.5</v>
      </c>
    </row>
    <row r="39" spans="1:4" ht="13.2" x14ac:dyDescent="0.25">
      <c r="A39" s="2">
        <v>36</v>
      </c>
      <c r="B39" s="136">
        <v>495643.5</v>
      </c>
      <c r="C39" s="136">
        <v>495643.5</v>
      </c>
      <c r="D39" s="136">
        <v>495643.5</v>
      </c>
    </row>
    <row r="40" spans="1:4" ht="13.2" x14ac:dyDescent="0.25">
      <c r="A40" s="2">
        <v>37</v>
      </c>
      <c r="B40" s="137">
        <v>-5905740.0107544232</v>
      </c>
      <c r="C40" s="137">
        <v>-5942983.471492473</v>
      </c>
      <c r="D40" s="137">
        <v>-4522695.3286511172</v>
      </c>
    </row>
  </sheetData>
  <mergeCells count="19">
    <mergeCell ref="A1:I1"/>
    <mergeCell ref="A2:D2"/>
    <mergeCell ref="F10:F12"/>
    <mergeCell ref="G10:G12"/>
    <mergeCell ref="H10:H12"/>
    <mergeCell ref="I10:I12"/>
    <mergeCell ref="J8:J9"/>
    <mergeCell ref="J5:J7"/>
    <mergeCell ref="J10:J12"/>
    <mergeCell ref="F8:F9"/>
    <mergeCell ref="G8:G9"/>
    <mergeCell ref="H8:H9"/>
    <mergeCell ref="I8:I9"/>
    <mergeCell ref="L12:S14"/>
    <mergeCell ref="L15:S16"/>
    <mergeCell ref="L17:S19"/>
    <mergeCell ref="L3:S4"/>
    <mergeCell ref="L5:S7"/>
    <mergeCell ref="L8:S1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16"/>
  <sheetViews>
    <sheetView tabSelected="1" zoomScale="71" workbookViewId="0">
      <selection activeCell="A3" sqref="A3"/>
    </sheetView>
  </sheetViews>
  <sheetFormatPr defaultColWidth="12.6640625" defaultRowHeight="15.75" customHeight="1" x14ac:dyDescent="0.25"/>
  <cols>
    <col min="1" max="1" width="18" customWidth="1"/>
    <col min="2" max="2" width="10.88671875" customWidth="1"/>
    <col min="3" max="3" width="9.109375" customWidth="1"/>
    <col min="4" max="4" width="52.88671875" customWidth="1"/>
    <col min="5" max="5" width="13.33203125" customWidth="1"/>
    <col min="6" max="6" width="19.5546875" customWidth="1"/>
    <col min="7" max="7" width="23.6640625" customWidth="1"/>
    <col min="12" max="12" width="34.44140625" customWidth="1"/>
  </cols>
  <sheetData>
    <row r="1" spans="1:13" ht="30" customHeight="1" x14ac:dyDescent="0.25">
      <c r="A1" s="198" t="s">
        <v>245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7"/>
    </row>
    <row r="2" spans="1:13" ht="33" customHeight="1" x14ac:dyDescent="0.3">
      <c r="A2" s="161">
        <v>2</v>
      </c>
      <c r="B2" s="259" t="s">
        <v>246</v>
      </c>
      <c r="C2" s="260"/>
      <c r="D2" s="260"/>
      <c r="E2" s="261"/>
      <c r="F2" s="138"/>
      <c r="G2" s="138"/>
      <c r="H2" s="138"/>
      <c r="I2" s="138"/>
      <c r="J2" s="138"/>
      <c r="K2" s="138"/>
    </row>
    <row r="3" spans="1:13" ht="19.2" x14ac:dyDescent="0.35">
      <c r="A3" s="139" t="s">
        <v>51</v>
      </c>
      <c r="B3" s="140" t="s">
        <v>247</v>
      </c>
      <c r="C3" s="140" t="s">
        <v>248</v>
      </c>
      <c r="D3" s="140" t="s">
        <v>291</v>
      </c>
      <c r="E3" s="140" t="s">
        <v>249</v>
      </c>
      <c r="F3" s="140" t="s">
        <v>250</v>
      </c>
      <c r="G3" s="140" t="s">
        <v>251</v>
      </c>
      <c r="H3" s="140" t="s">
        <v>252</v>
      </c>
      <c r="I3" s="140" t="s">
        <v>253</v>
      </c>
      <c r="J3" s="140" t="s">
        <v>254</v>
      </c>
      <c r="K3" s="140" t="s">
        <v>255</v>
      </c>
      <c r="L3" s="140" t="s">
        <v>256</v>
      </c>
      <c r="M3" s="140" t="s">
        <v>257</v>
      </c>
    </row>
    <row r="4" spans="1:13" ht="51" x14ac:dyDescent="0.25">
      <c r="A4" s="156" t="s">
        <v>258</v>
      </c>
      <c r="B4" s="157">
        <f>IF(A2=1,-SUM('Cash-Flow 1'!B19:M26,'Cash-Flow 1'!N19:N26,'Cash-Flow 1'!O19:U26,'Cash-Flow 1'!V17:Y28,'Cash-Flow 1'!Z19:Z28,'Cash-Flow 1'!AA17:AK28)/(SUM('Cash-Flow 1'!$V$9:$AK$9,'Cash-Flow 1'!B9:U9)*3),IF(A2=2,-SUM('Cash-Flow 2'!B19:M26,'Cash-Flow 2'!N19:N26,'Cash-Flow 2'!O19:U26,'Cash-Flow 2'!V17:Y28,'Cash-Flow 2'!Z19:Z28,'Cash-Flow 2'!AA17:AK28)/(SUM('Cash-Flow 2'!V9:AK9,'Cash-Flow 2'!B9:U9)*3),-SUM('Cash-Flow 3'!B20:AL25)/(SUM('Cash-Flow 3'!B11:AK11)*3)))</f>
        <v>29.575913512537522</v>
      </c>
      <c r="C4" s="157">
        <f>Предпосылки!$D$122/12</f>
        <v>83.333333333333329</v>
      </c>
      <c r="D4" s="175" t="s">
        <v>292</v>
      </c>
      <c r="E4" s="157">
        <f>C4-B4</f>
        <v>53.757419820795803</v>
      </c>
      <c r="F4" s="262" t="s">
        <v>259</v>
      </c>
      <c r="G4" s="262" t="s">
        <v>260</v>
      </c>
      <c r="H4" s="158">
        <f>IF(A2=1,(Предпосылки!$B$148*12+Предпосылки!$B$150*12+Предпосылки!$B$151*2)/36,IF(A2=2,(Предпосылки!$B$149*12+Предпосылки!$B$150*12+Предпосылки!$B$151*2)/36,IF(A2=3,(Предпосылки!$B$149*12+Предпосылки!$B$150*12+Предпосылки!$B$151*2)/36)))</f>
        <v>8.3055555555555563E-2</v>
      </c>
      <c r="I4" s="159">
        <f>Предпосылки!$D$122</f>
        <v>1000</v>
      </c>
      <c r="J4" s="262" t="s">
        <v>261</v>
      </c>
      <c r="K4" s="157">
        <f>Предпосылки!$D$122-Предпосылки!$D$122*Предпосылки!$N$122/((1+Предпосылки!$D$172)*(1+Предпосылки!$D$173)*(1+Предпосылки!$D$174))</f>
        <v>875.04418856598761</v>
      </c>
      <c r="L4" s="265" t="s">
        <v>295</v>
      </c>
      <c r="M4" s="160">
        <f>IF(A2=1,SUM('Cash-Flow 1'!B10:U10,'Cash-Flow 1'!V10:AK10)*1000+(SUM('Cash-Flow 1'!B27:U28,'Cash-Flow 1'!V27:AL28)/3)-'Cash-Flow 1'!N14-'Cash-Flow 1'!$Z14-'Cash-Flow 1'!$AL14,IF(A2=2,SUM('Cash-Flow 2'!B10:U10,'Cash-Flow 2'!V10:AK10)*1000+(SUM('Cash-Flow 2'!B27:U28,'Cash-Flow 2'!V27:AK28)/3)-'Cash-Flow 2'!N14-'Cash-Flow 2'!Z14-'Cash-Flow 2'!AL14,SUM('Cash-Flow 3'!B11:U11,'Cash-Flow 3'!V11:AK11)*1000+(SUM('Cash-Flow 3'!B28:U29,'Cash-Flow 3'!V28:AH29)/3)-'Cash-Flow 3'!AL15-'Cash-Flow 3'!Z15-'Cash-Flow 3'!N15))</f>
        <v>1527899.1709952205</v>
      </c>
    </row>
    <row r="5" spans="1:13" ht="61.2" x14ac:dyDescent="0.25">
      <c r="A5" s="156" t="s">
        <v>262</v>
      </c>
      <c r="B5" s="157">
        <f>IF(A2=1,-SUM('Cash-Flow 1'!B19:M26,'Cash-Flow 1'!N19:N26,'Cash-Flow 1'!O19:U26,'Cash-Flow 1'!V17:Y28,'Cash-Flow 1'!Z19:Z28,'Cash-Flow 1'!AA17:AK28)/(SUM('Cash-Flow 1'!$V$9:$AK$9,'Cash-Flow 1'!B9:U9)*3),IF(A2=2,-SUM('Cash-Flow 2'!B19:M26,'Cash-Flow 2'!N19:N26,'Cash-Flow 2'!O19:U26,'Cash-Flow 2'!V17:Y28,'Cash-Flow 2'!Z19:Z28,'Cash-Flow 2'!AA17:AK28)/(SUM('Cash-Flow 2'!V9:AK9,'Cash-Flow 2'!B9:U9)*3),-SUM('Cash-Flow 3'!B20:AL25)/(SUM('Cash-Flow 3'!B12:AK12)*3)))</f>
        <v>29.575913512537522</v>
      </c>
      <c r="C5" s="157">
        <f>Предпосылки!$D$122/12*2</f>
        <v>166.66666666666666</v>
      </c>
      <c r="D5" s="175" t="s">
        <v>293</v>
      </c>
      <c r="E5" s="157">
        <f t="shared" ref="E5:E6" si="0">C5-B5</f>
        <v>137.09075315412915</v>
      </c>
      <c r="F5" s="263"/>
      <c r="G5" s="263"/>
      <c r="H5" s="158">
        <f>IF(A2=1,(Предпосылки!$B$148*12+Предпосылки!$B$150*12+Предпосылки!$B$151*2)/36,IF(A2=2,(Предпосылки!$B$149*12+Предпосылки!$B$150*12+Предпосылки!$B$151*2)/36,IF(A2=3,(Предпосылки!$B$149*12+Предпосылки!$B$150*12+Предпосылки!$B$151*2)/36)))</f>
        <v>8.3055555555555563E-2</v>
      </c>
      <c r="I5" s="159">
        <f t="shared" ref="I5:I6" si="1">I4</f>
        <v>1000</v>
      </c>
      <c r="J5" s="263"/>
      <c r="K5" s="157">
        <f>Предпосылки!$D$122-Предпосылки!$D$122*Предпосылки!$N$123/((1+Предпосылки!$D$172)*(1+Предпосылки!$D$173)*(1+Предпосылки!$D$174))</f>
        <v>852.53662004681757</v>
      </c>
      <c r="L5" s="266"/>
      <c r="M5" s="160">
        <f>IF(A2=1,SUM('Cash-Flow 1'!B11:U11,'Cash-Flow 1'!V11:AK11)*1000+(SUM('Cash-Flow 1'!B27:U28,'Cash-Flow 1'!V27:AL28)/3)-'Cash-Flow 1'!N15-'Cash-Flow 1'!$Z15-'Cash-Flow 1'!$AL15,IF(A2=2,SUM('Cash-Flow 2'!B11:U11,'Cash-Flow 2'!V11:AK11)*1000+(SUM('Cash-Flow 2'!B27:U28,'Cash-Flow 2'!V27:AK28)/3)-'Cash-Flow 2'!N15-'Cash-Flow 2'!Z15-'Cash-Flow 2'!AL15,SUM('Cash-Flow 3'!B12:U12,'Cash-Flow 3'!V12:AK12)*1000+(SUM('Cash-Flow 3'!B28:U29,'Cash-Flow 3'!V28:AH29)/3)-'Cash-Flow 3'!AL16-'Cash-Flow 3'!Z16-'Cash-Flow 3'!N16))</f>
        <v>339376.33976556733</v>
      </c>
    </row>
    <row r="6" spans="1:13" ht="71.400000000000006" x14ac:dyDescent="0.25">
      <c r="A6" s="156" t="s">
        <v>263</v>
      </c>
      <c r="B6" s="157">
        <f>IF(A2=1,-SUM('Cash-Flow 1'!B19:M26,'Cash-Flow 1'!N19:N26,'Cash-Flow 1'!O19:U26,'Cash-Flow 1'!V17:Y28,'Cash-Flow 1'!Z19:Z28,'Cash-Flow 1'!AA17:AK28)/(SUM('Cash-Flow 1'!$V$9:$AK$9,'Cash-Flow 1'!B9:U9)*3),IF(A2=2,-SUM('Cash-Flow 2'!B19:M26,'Cash-Flow 2'!N19:N26,'Cash-Flow 2'!O19:U26,'Cash-Flow 2'!V17:Y28,'Cash-Flow 2'!Z19:Z28,'Cash-Flow 2'!AA17:AK28)/(SUM('Cash-Flow 2'!V9:AK9,'Cash-Flow 2'!B9:U9)*3),-SUM('Cash-Flow 3'!B20:AL25)/(SUM('Cash-Flow 3'!B13:AK13)*3)))</f>
        <v>29.575913512537522</v>
      </c>
      <c r="C6" s="157">
        <f>Предпосылки!$D$122/12*3</f>
        <v>250</v>
      </c>
      <c r="D6" s="175" t="s">
        <v>294</v>
      </c>
      <c r="E6" s="157">
        <f t="shared" si="0"/>
        <v>220.42408648746249</v>
      </c>
      <c r="F6" s="264"/>
      <c r="G6" s="264"/>
      <c r="H6" s="158">
        <f>IF(A2=1,((Предпосылки!$B$148+3%)*12+Предпосылки!$B$150*12+Предпосылки!$B$151*2)/36,IF(A2=2,((Предпосылки!$B$149+3%)*12+Предпосылки!$B$150*12+Предпосылки!$B$151*2)/36,IF(A2=3,((Предпосылки!$B$149+3%)*12+Предпосылки!$B$150*12+Предпосылки!$B$151*2)/36)))</f>
        <v>9.3055555555555572E-2</v>
      </c>
      <c r="I6" s="159">
        <f t="shared" si="1"/>
        <v>1000</v>
      </c>
      <c r="J6" s="264"/>
      <c r="K6" s="157">
        <f>Предпосылки!$D$122-Предпосылки!$D$122*Предпосылки!$N$124/((1+Предпосылки!$D$172)*(1+Предпосылки!$D$173)*(1+Предпосылки!$D$174))</f>
        <v>844.77538952296595</v>
      </c>
      <c r="L6" s="267"/>
      <c r="M6" s="160">
        <f>IF(A2=1,SUM('Cash-Flow 1'!B12:U12,'Cash-Flow 1'!V12:AK12)*1000+(SUM('Cash-Flow 1'!B27:U28,'Cash-Flow 1'!V27:AL28)/3)-'Cash-Flow 1'!N16-'Cash-Flow 1'!$Z16-'Cash-Flow 1'!$AL16,IF(A2=2,SUM('Cash-Flow 2'!B11:U11,'Cash-Flow 2'!V11:AK11)*1000+(SUM('Cash-Flow 2'!B26:U27,'Cash-Flow 2'!V26:AK27)/3)-'Cash-Flow 2'!N15-'Cash-Flow 2'!Z15-'Cash-Flow 2'!AL15,SUM('Cash-Flow 3'!B13:U13,'Cash-Flow 3'!V13:AK13)*1000+(SUM('Cash-Flow 3'!B28:U29,'Cash-Flow 3'!V28:AH29)/3)-'Cash-Flow 3'!AL17-'Cash-Flow 3'!Z17-'Cash-Flow 3'!N17))</f>
        <v>385526.33976556733</v>
      </c>
    </row>
    <row r="8" spans="1:13" ht="15.75" customHeight="1" x14ac:dyDescent="0.25">
      <c r="A8" s="166" t="s">
        <v>278</v>
      </c>
      <c r="B8" s="166"/>
      <c r="C8" s="166"/>
      <c r="D8" s="166"/>
    </row>
    <row r="9" spans="1:13" ht="13.2" x14ac:dyDescent="0.25">
      <c r="A9" s="165" t="s">
        <v>238</v>
      </c>
      <c r="B9" s="244" t="s">
        <v>280</v>
      </c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</row>
    <row r="10" spans="1:13" ht="15.75" customHeight="1" x14ac:dyDescent="0.25">
      <c r="B10" s="244" t="s">
        <v>281</v>
      </c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</row>
    <row r="11" spans="1:13" ht="15.75" customHeight="1" x14ac:dyDescent="0.25"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</row>
    <row r="12" spans="1:13" ht="15.75" customHeight="1" x14ac:dyDescent="0.25">
      <c r="B12" s="244" t="s">
        <v>282</v>
      </c>
      <c r="C12" s="268"/>
      <c r="D12" s="268"/>
      <c r="E12" s="268"/>
      <c r="F12" s="268"/>
      <c r="G12" s="268"/>
      <c r="H12" s="268"/>
      <c r="I12" s="268"/>
      <c r="J12" s="268"/>
      <c r="K12" s="268"/>
      <c r="L12" s="268"/>
      <c r="M12" s="268"/>
    </row>
    <row r="13" spans="1:13" ht="15.75" customHeight="1" x14ac:dyDescent="0.25">
      <c r="A13" s="165" t="s">
        <v>239</v>
      </c>
      <c r="B13" s="244" t="s">
        <v>283</v>
      </c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</row>
    <row r="14" spans="1:13" ht="15.75" customHeight="1" x14ac:dyDescent="0.25">
      <c r="B14" s="244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</row>
    <row r="15" spans="1:13" ht="15.75" customHeight="1" x14ac:dyDescent="0.25">
      <c r="A15" s="165" t="s">
        <v>240</v>
      </c>
      <c r="B15" s="244" t="s">
        <v>284</v>
      </c>
      <c r="C15" s="244"/>
      <c r="D15" s="244"/>
      <c r="E15" s="244"/>
      <c r="F15" s="244"/>
      <c r="G15" s="244"/>
      <c r="H15" s="244"/>
      <c r="I15" s="244"/>
      <c r="J15" s="244"/>
      <c r="K15" s="244"/>
      <c r="L15" s="244"/>
      <c r="M15" s="244"/>
    </row>
    <row r="16" spans="1:13" ht="15.75" customHeight="1" x14ac:dyDescent="0.25">
      <c r="B16" s="244"/>
      <c r="C16" s="244"/>
      <c r="D16" s="244"/>
      <c r="E16" s="244"/>
      <c r="F16" s="244"/>
      <c r="G16" s="244"/>
      <c r="H16" s="244"/>
      <c r="I16" s="244"/>
      <c r="J16" s="244"/>
      <c r="K16" s="244"/>
      <c r="L16" s="244"/>
      <c r="M16" s="244"/>
    </row>
  </sheetData>
  <mergeCells count="11">
    <mergeCell ref="B13:M14"/>
    <mergeCell ref="B15:M16"/>
    <mergeCell ref="B9:M9"/>
    <mergeCell ref="B10:M11"/>
    <mergeCell ref="B12:M12"/>
    <mergeCell ref="A1:M1"/>
    <mergeCell ref="B2:E2"/>
    <mergeCell ref="F4:F6"/>
    <mergeCell ref="G4:G6"/>
    <mergeCell ref="J4:J6"/>
    <mergeCell ref="L4:L6"/>
  </mergeCells>
  <conditionalFormatting sqref="E4:E6">
    <cfRule type="cellIs" dxfId="0" priority="1" operator="greater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Предпосылки</vt:lpstr>
      <vt:lpstr>Расходы</vt:lpstr>
      <vt:lpstr>Cash-Flow 1</vt:lpstr>
      <vt:lpstr>Cash-Flow 2</vt:lpstr>
      <vt:lpstr>Cash-Flow 3</vt:lpstr>
      <vt:lpstr>Свод Cash-Flow</vt:lpstr>
      <vt:lpstr>Unit-экономика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Горошко</dc:creator>
  <cp:lastModifiedBy>Мацур Алина Владимировна</cp:lastModifiedBy>
  <dcterms:created xsi:type="dcterms:W3CDTF">2025-09-30T09:01:46Z</dcterms:created>
  <dcterms:modified xsi:type="dcterms:W3CDTF">2025-09-30T13:45:59Z</dcterms:modified>
</cp:coreProperties>
</file>