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2" activeTab="4"/>
  </bookViews>
  <sheets>
    <sheet name="I эксп" sheetId="1" r:id="rId1"/>
    <sheet name="II эксп" sheetId="2" r:id="rId2"/>
    <sheet name="Печать" sheetId="3" r:id="rId3"/>
    <sheet name="Печать2" sheetId="4" r:id="rId4"/>
    <sheet name="Печать3" sheetId="5" r:id="rId5"/>
    <sheet name="Печать4" sheetId="6" r:id="rId6"/>
    <sheet name="Печать5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" i="2" l="1"/>
  <c r="AD3" i="2"/>
  <c r="AD4" i="2"/>
  <c r="AD2" i="2"/>
  <c r="AC2" i="2"/>
  <c r="Z5" i="2"/>
  <c r="Z2" i="2"/>
  <c r="Z3" i="2"/>
  <c r="Z4" i="2"/>
  <c r="AB4" i="2" l="1"/>
  <c r="AB5" i="2"/>
  <c r="AB2" i="2"/>
  <c r="T3" i="2"/>
  <c r="T4" i="2"/>
  <c r="V4" i="2" s="1"/>
  <c r="T5" i="2"/>
  <c r="V5" i="2" s="1"/>
  <c r="T2" i="2"/>
  <c r="V2" i="2" s="1"/>
  <c r="AA5" i="2"/>
  <c r="AA3" i="2"/>
  <c r="AA4" i="2"/>
  <c r="AA2" i="2"/>
  <c r="Y3" i="2"/>
  <c r="Y4" i="2"/>
  <c r="Y5" i="2"/>
  <c r="Y2" i="2"/>
  <c r="X3" i="2"/>
  <c r="X4" i="2"/>
  <c r="X5" i="2"/>
  <c r="X2" i="2"/>
  <c r="U4" i="2" l="1"/>
  <c r="U5" i="2"/>
  <c r="U2" i="2"/>
  <c r="S3" i="2"/>
  <c r="S4" i="2"/>
  <c r="S5" i="2"/>
  <c r="S2" i="2"/>
  <c r="R4" i="2"/>
  <c r="R5" i="2"/>
  <c r="R2" i="2"/>
  <c r="Q3" i="2"/>
  <c r="U3" i="2" s="1"/>
  <c r="AB3" i="2" s="1"/>
  <c r="Q4" i="2"/>
  <c r="Q5" i="2"/>
  <c r="Q2" i="2"/>
  <c r="H5" i="2"/>
  <c r="H4" i="2"/>
  <c r="H3" i="2"/>
  <c r="G4" i="2"/>
  <c r="G5" i="2"/>
  <c r="G3" i="2"/>
  <c r="F4" i="2"/>
  <c r="F5" i="2" s="1"/>
  <c r="F3" i="2"/>
  <c r="E4" i="2"/>
  <c r="E5" i="2"/>
  <c r="E3" i="2"/>
  <c r="J3" i="2"/>
  <c r="J4" i="2"/>
  <c r="J5" i="2"/>
  <c r="I5" i="2"/>
  <c r="I4" i="2"/>
  <c r="I3" i="2"/>
  <c r="I2" i="2"/>
  <c r="J2" i="2"/>
  <c r="H2" i="2"/>
  <c r="G2" i="2"/>
  <c r="F2" i="2"/>
  <c r="E2" i="2"/>
  <c r="G13" i="2"/>
  <c r="H13" i="2"/>
  <c r="I13" i="2"/>
  <c r="F13" i="2"/>
  <c r="I3" i="1"/>
  <c r="J3" i="1" s="1"/>
  <c r="I4" i="1"/>
  <c r="J4" i="1" s="1"/>
  <c r="I5" i="1"/>
  <c r="J5" i="1" s="1"/>
  <c r="I2" i="1"/>
  <c r="D3" i="1"/>
  <c r="D4" i="1"/>
  <c r="D5" i="1"/>
  <c r="H3" i="1"/>
  <c r="H4" i="1"/>
  <c r="H5" i="1"/>
  <c r="H2" i="1"/>
  <c r="G5" i="1"/>
  <c r="G4" i="1"/>
  <c r="G3" i="1"/>
  <c r="G2" i="1"/>
  <c r="D2" i="1"/>
  <c r="C5" i="1"/>
  <c r="C4" i="1"/>
  <c r="C3" i="1"/>
  <c r="C2" i="1"/>
  <c r="K2" i="1" l="1"/>
  <c r="L3" i="1"/>
  <c r="L5" i="1"/>
  <c r="L4" i="1"/>
  <c r="L2" i="1"/>
  <c r="J2" i="1"/>
  <c r="R3" i="2"/>
  <c r="V3" i="2" s="1"/>
</calcChain>
</file>

<file path=xl/sharedStrings.xml><?xml version="1.0" encoding="utf-8"?>
<sst xmlns="http://schemas.openxmlformats.org/spreadsheetml/2006/main" count="92" uniqueCount="69">
  <si>
    <t>m</t>
  </si>
  <si>
    <t>сигма m</t>
  </si>
  <si>
    <t>M</t>
  </si>
  <si>
    <t>сигма M</t>
  </si>
  <si>
    <t>L</t>
  </si>
  <si>
    <t>x</t>
  </si>
  <si>
    <t>сиигма L</t>
  </si>
  <si>
    <t>сигма x</t>
  </si>
  <si>
    <t>u</t>
  </si>
  <si>
    <t>сигма u</t>
  </si>
  <si>
    <t>ср u</t>
  </si>
  <si>
    <t>дельта u</t>
  </si>
  <si>
    <t>R</t>
  </si>
  <si>
    <t>T_1</t>
  </si>
  <si>
    <t>T_2</t>
  </si>
  <si>
    <t>d</t>
  </si>
  <si>
    <t>сигма R</t>
  </si>
  <si>
    <t>сигма T_1</t>
  </si>
  <si>
    <t>сигма T_2</t>
  </si>
  <si>
    <t>сигма d</t>
  </si>
  <si>
    <t>t_11</t>
  </si>
  <si>
    <t>t_12</t>
  </si>
  <si>
    <t>t_21</t>
  </si>
  <si>
    <t>t_22</t>
  </si>
  <si>
    <t>N</t>
  </si>
  <si>
    <t>T_11</t>
  </si>
  <si>
    <t>T_12</t>
  </si>
  <si>
    <t>T_21</t>
  </si>
  <si>
    <t>T_22</t>
  </si>
  <si>
    <t>r</t>
  </si>
  <si>
    <t>сигма r</t>
  </si>
  <si>
    <t>фи</t>
  </si>
  <si>
    <t>сигма фи</t>
  </si>
  <si>
    <t>корень</t>
  </si>
  <si>
    <t>сигма корень</t>
  </si>
  <si>
    <t>произв по</t>
  </si>
  <si>
    <t>p</t>
  </si>
  <si>
    <t>Таблица 1.</t>
  </si>
  <si>
    <t>M, кг</t>
  </si>
  <si>
    <t>σ_M, кг</t>
  </si>
  <si>
    <t>m, кг</t>
  </si>
  <si>
    <t>σ_m, кг</t>
  </si>
  <si>
    <t>L, м</t>
  </si>
  <si>
    <t>σ_L, м</t>
  </si>
  <si>
    <t>x, м</t>
  </si>
  <si>
    <t>σ_x, м</t>
  </si>
  <si>
    <t>Таблица 2.</t>
  </si>
  <si>
    <t>u, м/с</t>
  </si>
  <si>
    <t>σ_u, м/с</t>
  </si>
  <si>
    <t>u_ср</t>
  </si>
  <si>
    <t>u_ср, м/с</t>
  </si>
  <si>
    <t>Δu, м/с</t>
  </si>
  <si>
    <t>R, м</t>
  </si>
  <si>
    <t>σ_R, м</t>
  </si>
  <si>
    <t>T_1, с</t>
  </si>
  <si>
    <t>σ_T_1, с</t>
  </si>
  <si>
    <t>T_2, с</t>
  </si>
  <si>
    <t>σ_T_2, с</t>
  </si>
  <si>
    <t>d, м</t>
  </si>
  <si>
    <t>σ_d, м</t>
  </si>
  <si>
    <t>r, м</t>
  </si>
  <si>
    <t>σ_r, м</t>
  </si>
  <si>
    <t>Таблица 3.</t>
  </si>
  <si>
    <t>Таблица 4.</t>
  </si>
  <si>
    <t>ϕ, рад</t>
  </si>
  <si>
    <t>σ_ϕ, рад</t>
  </si>
  <si>
    <r>
      <t>√(kI), кг*м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/с</t>
    </r>
  </si>
  <si>
    <r>
      <t>σ_√(kI), кг*м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/с</t>
    </r>
  </si>
  <si>
    <t>Таблица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</si>
</sst>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9" formatCode="0.0000000"/>
    <numFmt numFmtId="170" formatCode="0.0000"/>
    <numFmt numFmtId="171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3" xfId="0" applyBorder="1" applyAlignment="1">
      <alignment horizontal="center" vertical="center"/>
    </xf>
    <xf numFmtId="171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9" fontId="0" fillId="0" borderId="12" xfId="0" applyNumberFormat="1" applyBorder="1" applyAlignment="1">
      <alignment horizontal="center" vertical="center"/>
    </xf>
    <xf numFmtId="170" fontId="0" fillId="0" borderId="12" xfId="0" applyNumberFormat="1" applyBorder="1" applyAlignment="1">
      <alignment horizontal="center" vertical="center"/>
    </xf>
    <xf numFmtId="170" fontId="0" fillId="0" borderId="13" xfId="0" applyNumberFormat="1" applyBorder="1" applyAlignment="1">
      <alignment horizontal="center" vertical="center"/>
    </xf>
    <xf numFmtId="171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0" fontId="0" fillId="0" borderId="5" xfId="0" applyNumberFormat="1" applyBorder="1" applyAlignment="1">
      <alignment horizontal="center" vertical="center"/>
    </xf>
    <xf numFmtId="17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70" fontId="0" fillId="0" borderId="7" xfId="0" applyNumberFormat="1" applyBorder="1" applyAlignment="1">
      <alignment horizontal="center" vertical="center"/>
    </xf>
    <xf numFmtId="170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1" fontId="0" fillId="0" borderId="1" xfId="0" applyNumberFormat="1" applyBorder="1" applyAlignment="1">
      <alignment horizontal="center" vertical="center" shrinkToFit="1"/>
    </xf>
    <xf numFmtId="1" fontId="0" fillId="0" borderId="1" xfId="0" applyNumberFormat="1" applyBorder="1" applyAlignment="1">
      <alignment horizontal="center" vertical="center" shrinkToFit="1"/>
    </xf>
    <xf numFmtId="1" fontId="0" fillId="0" borderId="4" xfId="0" applyNumberFormat="1" applyBorder="1" applyAlignment="1">
      <alignment horizontal="center" vertical="center" shrinkToFit="1"/>
    </xf>
    <xf numFmtId="1" fontId="0" fillId="0" borderId="5" xfId="0" applyNumberFormat="1" applyBorder="1" applyAlignment="1">
      <alignment horizontal="center" vertical="center" shrinkToFit="1"/>
    </xf>
    <xf numFmtId="1" fontId="0" fillId="0" borderId="6" xfId="0" applyNumberFormat="1" applyBorder="1" applyAlignment="1">
      <alignment horizontal="center" vertical="center" shrinkToFit="1"/>
    </xf>
    <xf numFmtId="1" fontId="0" fillId="0" borderId="7" xfId="0" applyNumberFormat="1" applyBorder="1" applyAlignment="1">
      <alignment horizontal="center" vertical="center" shrinkToFit="1"/>
    </xf>
    <xf numFmtId="1" fontId="0" fillId="0" borderId="7" xfId="0" applyNumberFormat="1" applyBorder="1" applyAlignment="1">
      <alignment horizontal="center" vertical="center" shrinkToFit="1"/>
    </xf>
    <xf numFmtId="1" fontId="0" fillId="0" borderId="8" xfId="0" applyNumberFormat="1" applyBorder="1" applyAlignment="1">
      <alignment horizontal="center" vertical="center" shrinkToFit="1"/>
    </xf>
    <xf numFmtId="1" fontId="0" fillId="0" borderId="11" xfId="0" applyNumberForma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1" fontId="0" fillId="0" borderId="12" xfId="0" applyNumberFormat="1" applyBorder="1" applyAlignment="1">
      <alignment horizontal="center" vertical="center" shrinkToFit="1"/>
    </xf>
    <xf numFmtId="1" fontId="0" fillId="0" borderId="12" xfId="0" applyNumberFormat="1" applyBorder="1" applyAlignment="1">
      <alignment horizontal="center" vertical="center" shrinkToFit="1"/>
    </xf>
    <xf numFmtId="1" fontId="0" fillId="0" borderId="13" xfId="0" applyNumberFormat="1" applyBorder="1" applyAlignment="1">
      <alignment horizontal="center" vertical="center" shrinkToFit="1"/>
    </xf>
    <xf numFmtId="17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0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0" fontId="0" fillId="0" borderId="6" xfId="0" applyNumberFormat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71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" sqref="I1:L5"/>
    </sheetView>
  </sheetViews>
  <sheetFormatPr defaultRowHeight="15" x14ac:dyDescent="0.25"/>
  <cols>
    <col min="4" max="4" width="9.85546875" bestFit="1" customWidth="1"/>
    <col min="11" max="11" width="12.85546875" customWidth="1"/>
  </cols>
  <sheetData>
    <row r="1" spans="1:1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2.9</v>
      </c>
      <c r="B2" s="1">
        <v>5.0000000000000001E-3</v>
      </c>
      <c r="C2" s="1">
        <f>0.518/1000</f>
        <v>5.1800000000000001E-4</v>
      </c>
      <c r="D2" s="1">
        <f>0.0005/1000</f>
        <v>4.9999999999999998E-7</v>
      </c>
      <c r="E2" s="1">
        <v>2.1800000000000002</v>
      </c>
      <c r="F2" s="1">
        <v>0.01</v>
      </c>
      <c r="G2" s="1">
        <f>13.25/1000</f>
        <v>1.325E-2</v>
      </c>
      <c r="H2" s="1">
        <f>0.25/1000</f>
        <v>2.5000000000000001E-4</v>
      </c>
      <c r="I2" s="1">
        <f>(A2/C2)*G2*SQRT(9.8/E2)</f>
        <v>157.27833664480457</v>
      </c>
      <c r="J2" s="1">
        <f>I2*SQRT((B2/A2)^2+(D2/C2)^2+0.25*(F2/E2)^2+(H2/G2)^2)</f>
        <v>3.0054710604238339</v>
      </c>
      <c r="K2" s="3">
        <f>AVERAGE(I2:I5)</f>
        <v>154.16077977626006</v>
      </c>
      <c r="L2" s="1">
        <f>ABS(I2-$K$2)</f>
        <v>3.1175568685445114</v>
      </c>
    </row>
    <row r="3" spans="1:12" x14ac:dyDescent="0.25">
      <c r="A3" s="1">
        <v>2.9</v>
      </c>
      <c r="B3" s="1">
        <v>5.0000000000000001E-3</v>
      </c>
      <c r="C3" s="1">
        <f>0.52/1000</f>
        <v>5.2000000000000006E-4</v>
      </c>
      <c r="D3" s="1">
        <f t="shared" ref="D3:D5" si="0">0.0005/1000</f>
        <v>4.9999999999999998E-7</v>
      </c>
      <c r="E3" s="1">
        <v>2.1800000000000002</v>
      </c>
      <c r="F3" s="1">
        <v>0.01</v>
      </c>
      <c r="G3" s="1">
        <f>12.75/1000</f>
        <v>1.2749999999999999E-2</v>
      </c>
      <c r="H3" s="1">
        <f t="shared" ref="H3:H5" si="1">0.25/1000</f>
        <v>2.5000000000000001E-4</v>
      </c>
      <c r="I3" s="1">
        <f t="shared" ref="I3:I5" si="2">(A3/C3)*G3*SQRT(9.8/E3)</f>
        <v>150.76121543840517</v>
      </c>
      <c r="J3" s="1">
        <f t="shared" ref="J3:J5" si="3">I3*SQRT((B3/A3)^2+(D3/C3)^2+0.25*(F3/E3)^2+(H3/G3)^2)</f>
        <v>2.9911010715468218</v>
      </c>
      <c r="K3" s="3"/>
      <c r="L3" s="1">
        <f t="shared" ref="L3:L5" si="4">ABS(I3-$K$2)</f>
        <v>3.3995643378548834</v>
      </c>
    </row>
    <row r="4" spans="1:12" x14ac:dyDescent="0.25">
      <c r="A4" s="1">
        <v>2.9</v>
      </c>
      <c r="B4" s="1">
        <v>5.0000000000000001E-3</v>
      </c>
      <c r="C4" s="1">
        <f>0.525/1000</f>
        <v>5.2500000000000008E-4</v>
      </c>
      <c r="D4" s="1">
        <f t="shared" si="0"/>
        <v>4.9999999999999998E-7</v>
      </c>
      <c r="E4" s="1">
        <v>2.1800000000000002</v>
      </c>
      <c r="F4" s="1">
        <v>0.01</v>
      </c>
      <c r="G4" s="1">
        <f>13.25/1000</f>
        <v>1.325E-2</v>
      </c>
      <c r="H4" s="1">
        <f t="shared" si="1"/>
        <v>2.5000000000000001E-4</v>
      </c>
      <c r="I4" s="1">
        <f t="shared" si="2"/>
        <v>155.18129215620715</v>
      </c>
      <c r="J4" s="1">
        <f t="shared" si="3"/>
        <v>2.9652979015135155</v>
      </c>
      <c r="K4" s="3"/>
      <c r="L4" s="1">
        <f t="shared" si="4"/>
        <v>1.0205123799470925</v>
      </c>
    </row>
    <row r="5" spans="1:12" x14ac:dyDescent="0.25">
      <c r="A5" s="1">
        <v>2.9</v>
      </c>
      <c r="B5" s="1">
        <v>5.0000000000000001E-3</v>
      </c>
      <c r="C5" s="1">
        <f>0.521/1000</f>
        <v>5.2099999999999998E-4</v>
      </c>
      <c r="D5" s="1">
        <f t="shared" si="0"/>
        <v>4.9999999999999998E-7</v>
      </c>
      <c r="E5" s="1">
        <v>2.1800000000000002</v>
      </c>
      <c r="F5" s="1">
        <v>0.01</v>
      </c>
      <c r="G5" s="1">
        <f>13/1000</f>
        <v>1.2999999999999999E-2</v>
      </c>
      <c r="H5" s="1">
        <f t="shared" si="1"/>
        <v>2.5000000000000001E-4</v>
      </c>
      <c r="I5" s="1">
        <f t="shared" si="2"/>
        <v>153.42227486562331</v>
      </c>
      <c r="J5" s="1">
        <f t="shared" si="3"/>
        <v>2.9867209110200372</v>
      </c>
      <c r="K5" s="3"/>
      <c r="L5" s="1">
        <f t="shared" si="4"/>
        <v>0.73850491063674895</v>
      </c>
    </row>
  </sheetData>
  <mergeCells count="1">
    <mergeCell ref="K2:K5"/>
  </mergeCells>
  <pageMargins left="0.7" right="0.7" top="0.75" bottom="0.75" header="0.3" footer="0.3"/>
  <ignoredErrors>
    <ignoredError sqref="G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opLeftCell="S1" workbookViewId="0">
      <selection activeCell="AC1" sqref="AC1:AD5"/>
    </sheetView>
  </sheetViews>
  <sheetFormatPr defaultRowHeight="15" x14ac:dyDescent="0.25"/>
  <cols>
    <col min="6" max="6" width="9" customWidth="1"/>
    <col min="8" max="8" width="9.42578125" customWidth="1"/>
    <col min="20" max="20" width="12.7109375" customWidth="1"/>
    <col min="23" max="23" width="10" customWidth="1"/>
  </cols>
  <sheetData>
    <row r="1" spans="1:30" x14ac:dyDescent="0.25">
      <c r="A1" s="1" t="s">
        <v>2</v>
      </c>
      <c r="B1" s="1" t="s">
        <v>3</v>
      </c>
      <c r="C1" s="1" t="s">
        <v>12</v>
      </c>
      <c r="D1" s="1" t="s">
        <v>16</v>
      </c>
      <c r="E1" s="1" t="s">
        <v>13</v>
      </c>
      <c r="F1" s="1" t="s">
        <v>17</v>
      </c>
      <c r="G1" s="1" t="s">
        <v>14</v>
      </c>
      <c r="H1" s="1" t="s">
        <v>18</v>
      </c>
      <c r="I1" s="1" t="s">
        <v>0</v>
      </c>
      <c r="J1" s="1" t="s">
        <v>1</v>
      </c>
      <c r="K1" s="1" t="s">
        <v>5</v>
      </c>
      <c r="L1" s="1" t="s">
        <v>7</v>
      </c>
      <c r="M1" s="1" t="s">
        <v>15</v>
      </c>
      <c r="N1" s="1" t="s">
        <v>19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8</v>
      </c>
      <c r="V1" s="1" t="s">
        <v>9</v>
      </c>
      <c r="W1" s="1" t="s">
        <v>35</v>
      </c>
      <c r="X1" s="1" t="s">
        <v>2</v>
      </c>
      <c r="Y1" s="1" t="s">
        <v>12</v>
      </c>
      <c r="Z1" s="1" t="s">
        <v>13</v>
      </c>
      <c r="AA1" s="1" t="s">
        <v>14</v>
      </c>
      <c r="AB1" s="2" t="s">
        <v>36</v>
      </c>
      <c r="AC1" s="2" t="s">
        <v>49</v>
      </c>
      <c r="AD1" s="2" t="s">
        <v>51</v>
      </c>
    </row>
    <row r="2" spans="1:30" x14ac:dyDescent="0.25">
      <c r="A2" s="1">
        <v>0.71399999999999997</v>
      </c>
      <c r="B2" s="1">
        <v>2.0000000000000001E-4</v>
      </c>
      <c r="C2" s="1">
        <v>0.317</v>
      </c>
      <c r="D2" s="1">
        <v>5.0000000000000001E-3</v>
      </c>
      <c r="E2" s="1">
        <f>AVERAGE(F13:G13)</f>
        <v>31.436</v>
      </c>
      <c r="F2" s="1">
        <f>STDEVA(F13:G13)</f>
        <v>7.0710678118665812E-3</v>
      </c>
      <c r="G2" s="1">
        <f>AVERAGE(H13:I13)</f>
        <v>24.145499999999998</v>
      </c>
      <c r="H2" s="1">
        <f>STDEVA(H13:I13)</f>
        <v>4.5961940777126495E-2</v>
      </c>
      <c r="I2" s="1">
        <f>0.528/1000</f>
        <v>5.2800000000000004E-4</v>
      </c>
      <c r="J2" s="1">
        <f>0.0005/1000</f>
        <v>4.9999999999999998E-7</v>
      </c>
      <c r="K2" s="1">
        <v>0.20699999999999999</v>
      </c>
      <c r="L2" s="1">
        <v>5.0000000000000001E-3</v>
      </c>
      <c r="M2" s="1">
        <v>0.40300000000000002</v>
      </c>
      <c r="N2" s="1">
        <v>5.0000000000000001E-3</v>
      </c>
      <c r="O2" s="1">
        <v>0.24299999999999999</v>
      </c>
      <c r="P2" s="1">
        <v>5.0000000000000001E-3</v>
      </c>
      <c r="Q2" s="1">
        <f>K2/(2*M2)</f>
        <v>0.25682382133995035</v>
      </c>
      <c r="R2" s="1">
        <f>Q2*SQRT((L2/K2)^2+(N2/M2)^2)</f>
        <v>6.9739682015320078E-3</v>
      </c>
      <c r="S2" s="1">
        <f>(4*PI()*A2*C2^2*E2)/(E2^2-G2^2)</f>
        <v>6.9946550720577941E-2</v>
      </c>
      <c r="T2" s="1">
        <f>SQRT((X2*B2)^2+(Y2*D2)^2+(Z2*F2)^2+(AA2*H2)^2)</f>
        <v>2.2404473372822074E-3</v>
      </c>
      <c r="U2" s="1">
        <f>(Q2*S2)/(I2*O2)</f>
        <v>140.01075917826012</v>
      </c>
      <c r="V2" s="1">
        <f>U2*SQRT((R2/Q2)^2+(T2/S2)^2+(J2/I2)^2+(P2/O2)^2)</f>
        <v>6.5485918088987596</v>
      </c>
      <c r="W2" s="1"/>
      <c r="X2" s="1">
        <f>(4*PI()*C2^2*E2)/(E2^2-G2^2)</f>
        <v>9.7964356751509718E-2</v>
      </c>
      <c r="Y2" s="1">
        <f>(8*PI()*A2*C2*E2)/(E2^2-G2^2)</f>
        <v>0.4413031591203655</v>
      </c>
      <c r="Z2" s="1">
        <f t="shared" ref="Z2:Z3" si="0">-(4*PI()*A2*C2^2)*(E2^2+G2^2)/(E2^2-G2^2)^2</f>
        <v>-8.6276089542254505E-3</v>
      </c>
      <c r="AA2" s="1">
        <f>(8*PI()*E2*G2*A2*C2^2)/((E2^2-G2^2)^2)</f>
        <v>8.3357546691703779E-3</v>
      </c>
      <c r="AB2">
        <f>I2*U2</f>
        <v>7.3925680846121347E-2</v>
      </c>
      <c r="AC2" s="4">
        <f>AVERAGE(U2,U4,U5)</f>
        <v>148.74988666249507</v>
      </c>
      <c r="AD2">
        <f>ABS(U2-$AC$2)</f>
        <v>8.739127484234956</v>
      </c>
    </row>
    <row r="3" spans="1:30" x14ac:dyDescent="0.25">
      <c r="A3" s="1">
        <v>0.71399999999999997</v>
      </c>
      <c r="B3" s="1">
        <v>2.0000000000000001E-4</v>
      </c>
      <c r="C3" s="1">
        <v>0.317</v>
      </c>
      <c r="D3" s="1">
        <v>5.0000000000000001E-3</v>
      </c>
      <c r="E3" s="1">
        <f>E2</f>
        <v>31.436</v>
      </c>
      <c r="F3" s="1">
        <f>F2</f>
        <v>7.0710678118665812E-3</v>
      </c>
      <c r="G3" s="1">
        <f>G2</f>
        <v>24.145499999999998</v>
      </c>
      <c r="H3" s="1">
        <f>H2</f>
        <v>4.5961940777126495E-2</v>
      </c>
      <c r="I3" s="1">
        <f>0.525/1000</f>
        <v>5.2500000000000008E-4</v>
      </c>
      <c r="J3" s="1">
        <f t="shared" ref="J3:J5" si="1">0.0005/1000</f>
        <v>4.9999999999999998E-7</v>
      </c>
      <c r="K3" s="1">
        <v>0.17499999999999999</v>
      </c>
      <c r="L3" s="1">
        <v>5.0000000000000001E-3</v>
      </c>
      <c r="M3" s="1">
        <v>0.40300000000000002</v>
      </c>
      <c r="N3" s="1">
        <v>5.0000000000000001E-3</v>
      </c>
      <c r="O3" s="1">
        <v>0.24299999999999999</v>
      </c>
      <c r="P3" s="1">
        <v>5.0000000000000001E-3</v>
      </c>
      <c r="Q3" s="1">
        <f t="shared" ref="Q3:Q5" si="2">K3/(2*M3)</f>
        <v>0.21712158808932999</v>
      </c>
      <c r="R3" s="1">
        <f t="shared" ref="R3:R5" si="3">Q3*SQRT((L3/K3)^2+(N3/M3)^2)</f>
        <v>6.7631157663558981E-3</v>
      </c>
      <c r="S3" s="1">
        <f t="shared" ref="S3:S5" si="4">(4*PI()*A3*C3^2*E3)/(E3^2-G3^2)</f>
        <v>6.9946550720577941E-2</v>
      </c>
      <c r="T3" s="1">
        <f t="shared" ref="T3:T5" si="5">SQRT((X3*B3)^2+(Y3*D3)^2+(Z3*F3)^2+(AA3*H3)^2)</f>
        <v>2.2404473372822074E-3</v>
      </c>
      <c r="U3" s="1">
        <f t="shared" ref="U3:U5" si="6">(Q3*S3)/(I3*O3)</f>
        <v>119.04296432547716</v>
      </c>
      <c r="V3" s="1">
        <f t="shared" ref="V3:V5" si="7">U3*SQRT((R3/Q3)^2+(T3/S3)^2+(J3/I3)^2+(P3/O3)^2)</f>
        <v>5.8567666575152071</v>
      </c>
      <c r="W3" s="1"/>
      <c r="X3" s="1">
        <f t="shared" ref="X3:X5" si="8">(4*PI()*C3^2*E3)/(E3^2-G3^2)</f>
        <v>9.7964356751509718E-2</v>
      </c>
      <c r="Y3" s="1">
        <f t="shared" ref="Y3:Y5" si="9">(8*PI()*A3*C3*E3)/(E3^2-G3^2)</f>
        <v>0.4413031591203655</v>
      </c>
      <c r="Z3" s="1">
        <f t="shared" si="0"/>
        <v>-8.6276089542254505E-3</v>
      </c>
      <c r="AA3" s="1">
        <f t="shared" ref="AA3:AA4" si="10">(8*PI()*E3*G3*A3*C3^2)/((E3^2-G3^2)^2)</f>
        <v>8.3357546691703779E-3</v>
      </c>
      <c r="AB3">
        <f t="shared" ref="AB3:AB5" si="11">I3*U3</f>
        <v>6.2497556270875519E-2</v>
      </c>
      <c r="AC3" s="4"/>
      <c r="AD3">
        <f t="shared" ref="AD3:AD4" si="12">ABS(U3-$AC$2)</f>
        <v>29.706922337017915</v>
      </c>
    </row>
    <row r="4" spans="1:30" x14ac:dyDescent="0.25">
      <c r="A4" s="1">
        <v>0.71399999999999997</v>
      </c>
      <c r="B4" s="1">
        <v>2.0000000000000001E-4</v>
      </c>
      <c r="C4" s="1">
        <v>0.317</v>
      </c>
      <c r="D4" s="1">
        <v>5.0000000000000001E-3</v>
      </c>
      <c r="E4" s="1">
        <f t="shared" ref="E4:E5" si="13">E3</f>
        <v>31.436</v>
      </c>
      <c r="F4" s="1">
        <f t="shared" ref="F4:F5" si="14">F3</f>
        <v>7.0710678118665812E-3</v>
      </c>
      <c r="G4" s="1">
        <f t="shared" ref="G4:G5" si="15">G3</f>
        <v>24.145499999999998</v>
      </c>
      <c r="H4" s="1">
        <f>H3</f>
        <v>4.5961940777126495E-2</v>
      </c>
      <c r="I4" s="1">
        <f>0.516/1000</f>
        <v>5.1599999999999997E-4</v>
      </c>
      <c r="J4" s="1">
        <f t="shared" si="1"/>
        <v>4.9999999999999998E-7</v>
      </c>
      <c r="K4" s="1">
        <v>0.22500000000000001</v>
      </c>
      <c r="L4" s="1">
        <v>5.0000000000000001E-3</v>
      </c>
      <c r="M4" s="1">
        <v>0.40300000000000002</v>
      </c>
      <c r="N4" s="1">
        <v>5.0000000000000001E-3</v>
      </c>
      <c r="O4" s="1">
        <v>0.24299999999999999</v>
      </c>
      <c r="P4" s="1">
        <v>5.0000000000000001E-3</v>
      </c>
      <c r="Q4" s="1">
        <f t="shared" si="2"/>
        <v>0.27915632754342429</v>
      </c>
      <c r="R4" s="1">
        <f t="shared" si="3"/>
        <v>7.104841230579982E-3</v>
      </c>
      <c r="S4" s="1">
        <f t="shared" si="4"/>
        <v>6.9946550720577941E-2</v>
      </c>
      <c r="T4" s="1">
        <f t="shared" si="5"/>
        <v>2.2404473372822074E-3</v>
      </c>
      <c r="U4" s="1">
        <f t="shared" si="6"/>
        <v>155.72480798390913</v>
      </c>
      <c r="V4" s="1">
        <f t="shared" si="7"/>
        <v>7.1328946958579094</v>
      </c>
      <c r="W4" s="1"/>
      <c r="X4" s="1">
        <f t="shared" si="8"/>
        <v>9.7964356751509718E-2</v>
      </c>
      <c r="Y4" s="1">
        <f t="shared" si="9"/>
        <v>0.4413031591203655</v>
      </c>
      <c r="Z4" s="1">
        <f>-(4*PI()*A4*C4^2)*(E4^2+G4^2)/(E4^2-G4^2)^2</f>
        <v>-8.6276089542254505E-3</v>
      </c>
      <c r="AA4" s="1">
        <f t="shared" si="10"/>
        <v>8.3357546691703779E-3</v>
      </c>
      <c r="AB4">
        <f t="shared" si="11"/>
        <v>8.0354000919697105E-2</v>
      </c>
      <c r="AC4" s="4"/>
      <c r="AD4">
        <f t="shared" si="12"/>
        <v>6.9749213214140582</v>
      </c>
    </row>
    <row r="5" spans="1:30" x14ac:dyDescent="0.25">
      <c r="A5" s="1">
        <v>0.71399999999999997</v>
      </c>
      <c r="B5" s="1">
        <v>2.0000000000000001E-4</v>
      </c>
      <c r="C5" s="1">
        <v>0.317</v>
      </c>
      <c r="D5" s="1">
        <v>5.0000000000000001E-3</v>
      </c>
      <c r="E5" s="1">
        <f t="shared" si="13"/>
        <v>31.436</v>
      </c>
      <c r="F5" s="1">
        <f t="shared" si="14"/>
        <v>7.0710678118665812E-3</v>
      </c>
      <c r="G5" s="1">
        <f t="shared" si="15"/>
        <v>24.145499999999998</v>
      </c>
      <c r="H5" s="1">
        <f>H4</f>
        <v>4.5961940777126495E-2</v>
      </c>
      <c r="I5" s="1">
        <f>0.522/1000</f>
        <v>5.22E-4</v>
      </c>
      <c r="J5" s="1">
        <f t="shared" si="1"/>
        <v>4.9999999999999998E-7</v>
      </c>
      <c r="K5" s="1">
        <v>0.22</v>
      </c>
      <c r="L5" s="1">
        <v>5.0000000000000001E-3</v>
      </c>
      <c r="M5" s="1">
        <v>0.40300000000000002</v>
      </c>
      <c r="N5" s="1">
        <v>5.0000000000000001E-3</v>
      </c>
      <c r="O5" s="1">
        <v>0.24299999999999999</v>
      </c>
      <c r="P5" s="1">
        <v>5.0000000000000001E-3</v>
      </c>
      <c r="Q5" s="1">
        <f t="shared" si="2"/>
        <v>0.27295285359801486</v>
      </c>
      <c r="R5" s="1">
        <f t="shared" si="3"/>
        <v>7.0676411464156898E-3</v>
      </c>
      <c r="S5" s="1">
        <f t="shared" si="4"/>
        <v>6.9946550720577941E-2</v>
      </c>
      <c r="T5" s="1">
        <f t="shared" si="5"/>
        <v>2.2404473372822074E-3</v>
      </c>
      <c r="U5" s="1">
        <f t="shared" si="6"/>
        <v>150.51409282531603</v>
      </c>
      <c r="V5" s="1">
        <f t="shared" si="7"/>
        <v>6.9313842796925487</v>
      </c>
      <c r="W5" s="1"/>
      <c r="X5" s="1">
        <f t="shared" si="8"/>
        <v>9.7964356751509718E-2</v>
      </c>
      <c r="Y5" s="1">
        <f t="shared" si="9"/>
        <v>0.4413031591203655</v>
      </c>
      <c r="Z5" s="1">
        <f>-(4*PI()*A5*C5^2)*(E5^2+G5^2)/(E5^2-G5^2)^2</f>
        <v>-8.6276089542254505E-3</v>
      </c>
      <c r="AA5" s="1">
        <f>(8*PI()*E5*G5*A5*C5^2)/((E5^2-G5^2)^2)</f>
        <v>8.3357546691703779E-3</v>
      </c>
      <c r="AB5">
        <f t="shared" si="11"/>
        <v>7.8568356454814969E-2</v>
      </c>
      <c r="AC5" s="4"/>
      <c r="AD5">
        <f>ABS(U5-$AC$2)</f>
        <v>1.7642061628209547</v>
      </c>
    </row>
    <row r="12" spans="1:30" x14ac:dyDescent="0.2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</row>
    <row r="13" spans="1:30" x14ac:dyDescent="0.25">
      <c r="A13" s="1">
        <v>314.31</v>
      </c>
      <c r="B13" s="1">
        <v>314.41000000000003</v>
      </c>
      <c r="C13" s="1">
        <v>241.13</v>
      </c>
      <c r="D13" s="1">
        <v>241.78</v>
      </c>
      <c r="E13" s="1">
        <v>10</v>
      </c>
      <c r="F13" s="1">
        <f>A13/10</f>
        <v>31.431000000000001</v>
      </c>
      <c r="G13" s="1">
        <f t="shared" ref="G13:I13" si="16">B13/10</f>
        <v>31.441000000000003</v>
      </c>
      <c r="H13" s="1">
        <f t="shared" si="16"/>
        <v>24.113</v>
      </c>
      <c r="I13" s="1">
        <f t="shared" si="16"/>
        <v>24.178000000000001</v>
      </c>
    </row>
  </sheetData>
  <mergeCells count="1">
    <mergeCell ref="AC2:AC5"/>
  </mergeCells>
  <pageMargins left="0.7" right="0.7" top="0.75" bottom="0.75" header="0.3" footer="0.3"/>
  <ignoredErrors>
    <ignoredError sqref="F2:G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workbookViewId="0">
      <selection activeCell="B2" sqref="B2"/>
    </sheetView>
  </sheetViews>
  <sheetFormatPr defaultRowHeight="15" x14ac:dyDescent="0.25"/>
  <cols>
    <col min="3" max="4" width="10.7109375" customWidth="1"/>
  </cols>
  <sheetData>
    <row r="1" spans="1:8" ht="15.75" thickBot="1" x14ac:dyDescent="0.3">
      <c r="A1" s="5" t="s">
        <v>37</v>
      </c>
      <c r="B1" s="5"/>
      <c r="C1" s="5"/>
      <c r="D1" s="5"/>
      <c r="E1" s="5"/>
      <c r="F1" s="5"/>
      <c r="G1" s="5"/>
      <c r="H1" s="5"/>
    </row>
    <row r="2" spans="1:8" ht="15.75" thickBot="1" x14ac:dyDescent="0.3">
      <c r="A2" s="8" t="s">
        <v>38</v>
      </c>
      <c r="B2" s="8" t="s">
        <v>39</v>
      </c>
      <c r="C2" s="8" t="s">
        <v>40</v>
      </c>
      <c r="D2" s="8" t="s">
        <v>41</v>
      </c>
      <c r="E2" s="8" t="s">
        <v>42</v>
      </c>
      <c r="F2" s="8" t="s">
        <v>43</v>
      </c>
      <c r="G2" s="8" t="s">
        <v>44</v>
      </c>
      <c r="H2" s="8" t="s">
        <v>45</v>
      </c>
    </row>
    <row r="3" spans="1:8" x14ac:dyDescent="0.25">
      <c r="A3" s="9">
        <v>2.9</v>
      </c>
      <c r="B3" s="10">
        <v>5.0000000000000001E-3</v>
      </c>
      <c r="C3" s="11">
        <v>5.1800000000000001E-4</v>
      </c>
      <c r="D3" s="10">
        <v>4.9999999999999998E-7</v>
      </c>
      <c r="E3" s="10">
        <v>2.1800000000000002</v>
      </c>
      <c r="F3" s="10">
        <v>0.01</v>
      </c>
      <c r="G3" s="12">
        <v>1.325E-2</v>
      </c>
      <c r="H3" s="13">
        <v>2.5000000000000001E-4</v>
      </c>
    </row>
    <row r="4" spans="1:8" x14ac:dyDescent="0.25">
      <c r="A4" s="14">
        <v>2.9</v>
      </c>
      <c r="B4" s="15">
        <v>5.0000000000000001E-3</v>
      </c>
      <c r="C4" s="16">
        <v>5.2000000000000006E-4</v>
      </c>
      <c r="D4" s="15">
        <v>4.9999999999999998E-7</v>
      </c>
      <c r="E4" s="15">
        <v>2.1800000000000002</v>
      </c>
      <c r="F4" s="15">
        <v>0.01</v>
      </c>
      <c r="G4" s="17">
        <v>1.2749999999999999E-2</v>
      </c>
      <c r="H4" s="18">
        <v>2.5000000000000001E-4</v>
      </c>
    </row>
    <row r="5" spans="1:8" x14ac:dyDescent="0.25">
      <c r="A5" s="14">
        <v>2.9</v>
      </c>
      <c r="B5" s="15">
        <v>5.0000000000000001E-3</v>
      </c>
      <c r="C5" s="16">
        <v>5.2500000000000008E-4</v>
      </c>
      <c r="D5" s="15">
        <v>4.9999999999999998E-7</v>
      </c>
      <c r="E5" s="15">
        <v>2.1800000000000002</v>
      </c>
      <c r="F5" s="15">
        <v>0.01</v>
      </c>
      <c r="G5" s="17">
        <v>1.325E-2</v>
      </c>
      <c r="H5" s="18">
        <v>2.5000000000000001E-4</v>
      </c>
    </row>
    <row r="6" spans="1:8" ht="15.75" thickBot="1" x14ac:dyDescent="0.3">
      <c r="A6" s="19">
        <v>2.9</v>
      </c>
      <c r="B6" s="20">
        <v>5.0000000000000001E-3</v>
      </c>
      <c r="C6" s="21">
        <v>5.2099999999999998E-4</v>
      </c>
      <c r="D6" s="20">
        <v>4.9999999999999998E-7</v>
      </c>
      <c r="E6" s="20">
        <v>2.1800000000000002</v>
      </c>
      <c r="F6" s="20">
        <v>0.01</v>
      </c>
      <c r="G6" s="22">
        <v>1.2999999999999999E-2</v>
      </c>
      <c r="H6" s="23">
        <v>2.5000000000000001E-4</v>
      </c>
    </row>
  </sheetData>
  <mergeCells count="1">
    <mergeCell ref="A1:H1"/>
  </mergeCells>
  <pageMargins left="0.7" right="0.7" top="0.75" bottom="0.75" header="0.3" footer="0.3"/>
  <pageSetup paperSize="11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workbookViewId="0">
      <selection activeCell="D2" sqref="D2"/>
    </sheetView>
  </sheetViews>
  <sheetFormatPr defaultRowHeight="15" x14ac:dyDescent="0.25"/>
  <cols>
    <col min="1" max="3" width="9.140625" customWidth="1"/>
  </cols>
  <sheetData>
    <row r="1" spans="1:4" ht="15.75" thickBot="1" x14ac:dyDescent="0.3">
      <c r="A1" s="25" t="s">
        <v>46</v>
      </c>
      <c r="B1" s="25"/>
      <c r="C1" s="25"/>
      <c r="D1" s="25"/>
    </row>
    <row r="2" spans="1:4" ht="15.75" thickBot="1" x14ac:dyDescent="0.3">
      <c r="A2" s="35" t="s">
        <v>47</v>
      </c>
      <c r="B2" s="35" t="s">
        <v>48</v>
      </c>
      <c r="C2" s="35" t="s">
        <v>50</v>
      </c>
      <c r="D2" s="35" t="s">
        <v>51</v>
      </c>
    </row>
    <row r="3" spans="1:4" x14ac:dyDescent="0.25">
      <c r="A3" s="34">
        <v>157.27833664480457</v>
      </c>
      <c r="B3" s="36">
        <v>3.0054710604238339</v>
      </c>
      <c r="C3" s="37">
        <v>154.16077977626006</v>
      </c>
      <c r="D3" s="38">
        <v>3.1175568685445114</v>
      </c>
    </row>
    <row r="4" spans="1:4" x14ac:dyDescent="0.25">
      <c r="A4" s="28">
        <v>150.76121543840517</v>
      </c>
      <c r="B4" s="26">
        <v>2.9911010715468218</v>
      </c>
      <c r="C4" s="27"/>
      <c r="D4" s="29">
        <v>3.3995643378548834</v>
      </c>
    </row>
    <row r="5" spans="1:4" x14ac:dyDescent="0.25">
      <c r="A5" s="28">
        <v>155.18129215620715</v>
      </c>
      <c r="B5" s="26">
        <v>2.9652979015135155</v>
      </c>
      <c r="C5" s="27"/>
      <c r="D5" s="29">
        <v>1.0205123799470925</v>
      </c>
    </row>
    <row r="6" spans="1:4" ht="15.75" thickBot="1" x14ac:dyDescent="0.3">
      <c r="A6" s="30">
        <v>153.42227486562331</v>
      </c>
      <c r="B6" s="31">
        <v>2.9867209110200372</v>
      </c>
      <c r="C6" s="32"/>
      <c r="D6" s="33">
        <v>0.73850491063674895</v>
      </c>
    </row>
  </sheetData>
  <mergeCells count="2">
    <mergeCell ref="A1:D1"/>
    <mergeCell ref="C3:C6"/>
  </mergeCells>
  <pageMargins left="0.7" right="0.7" top="0.75" bottom="0.75" header="0.3" footer="0.3"/>
  <pageSetup paperSize="1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workbookViewId="0">
      <selection activeCell="C8" sqref="C8"/>
    </sheetView>
  </sheetViews>
  <sheetFormatPr defaultRowHeight="15" x14ac:dyDescent="0.25"/>
  <cols>
    <col min="1" max="2" width="10.7109375" customWidth="1"/>
    <col min="9" max="10" width="10.7109375" customWidth="1"/>
  </cols>
  <sheetData>
    <row r="1" spans="1:16" ht="15.75" thickBot="1" x14ac:dyDescent="0.3">
      <c r="A1" s="52" t="s">
        <v>62</v>
      </c>
      <c r="B1" s="52"/>
      <c r="C1" s="52"/>
      <c r="D1" s="52"/>
      <c r="E1" s="52"/>
      <c r="F1" s="52"/>
      <c r="G1" s="52"/>
      <c r="H1" s="52"/>
      <c r="I1" s="51"/>
      <c r="J1" s="51"/>
      <c r="K1" s="51"/>
      <c r="L1" s="51"/>
      <c r="M1" s="51"/>
      <c r="N1" s="51"/>
      <c r="O1" s="51"/>
      <c r="P1" s="51"/>
    </row>
    <row r="2" spans="1:16" ht="15.75" thickBot="1" x14ac:dyDescent="0.3">
      <c r="A2" s="8" t="s">
        <v>38</v>
      </c>
      <c r="B2" s="8" t="s">
        <v>39</v>
      </c>
      <c r="C2" s="8" t="s">
        <v>52</v>
      </c>
      <c r="D2" s="8" t="s">
        <v>53</v>
      </c>
      <c r="E2" s="8" t="s">
        <v>54</v>
      </c>
      <c r="F2" s="8" t="s">
        <v>55</v>
      </c>
      <c r="G2" s="8" t="s">
        <v>56</v>
      </c>
      <c r="H2" s="8" t="s">
        <v>57</v>
      </c>
    </row>
    <row r="3" spans="1:16" x14ac:dyDescent="0.25">
      <c r="A3" s="47">
        <v>0.71399999999999997</v>
      </c>
      <c r="B3" s="10">
        <v>2.0000000000000001E-4</v>
      </c>
      <c r="C3" s="10">
        <v>0.317</v>
      </c>
      <c r="D3" s="10">
        <v>5.0000000000000001E-3</v>
      </c>
      <c r="E3" s="10">
        <v>31.436</v>
      </c>
      <c r="F3" s="48">
        <v>7.0710678118665812E-3</v>
      </c>
      <c r="G3" s="49">
        <v>24.145499999999998</v>
      </c>
      <c r="H3" s="53">
        <v>4.5961940777126495E-2</v>
      </c>
      <c r="I3" s="7"/>
    </row>
    <row r="4" spans="1:16" x14ac:dyDescent="0.25">
      <c r="A4" s="41">
        <v>0.71399999999999997</v>
      </c>
      <c r="B4" s="15">
        <v>2.0000000000000001E-4</v>
      </c>
      <c r="C4" s="15">
        <v>0.317</v>
      </c>
      <c r="D4" s="15">
        <v>5.0000000000000001E-3</v>
      </c>
      <c r="E4" s="15">
        <v>31.436</v>
      </c>
      <c r="F4" s="39">
        <v>7.0710678118665812E-3</v>
      </c>
      <c r="G4" s="40">
        <v>24.145499999999998</v>
      </c>
      <c r="H4" s="54">
        <v>4.5961940777126495E-2</v>
      </c>
      <c r="I4" s="7"/>
    </row>
    <row r="5" spans="1:16" x14ac:dyDescent="0.25">
      <c r="A5" s="41">
        <v>0.71399999999999997</v>
      </c>
      <c r="B5" s="15">
        <v>2.0000000000000001E-4</v>
      </c>
      <c r="C5" s="15">
        <v>0.317</v>
      </c>
      <c r="D5" s="15">
        <v>5.0000000000000001E-3</v>
      </c>
      <c r="E5" s="15">
        <v>31.436</v>
      </c>
      <c r="F5" s="39">
        <v>7.0710678118665812E-3</v>
      </c>
      <c r="G5" s="40">
        <v>24.145499999999998</v>
      </c>
      <c r="H5" s="55">
        <v>4.5961940777126495E-2</v>
      </c>
    </row>
    <row r="6" spans="1:16" ht="15.75" thickBot="1" x14ac:dyDescent="0.3">
      <c r="A6" s="43">
        <v>0.71399999999999997</v>
      </c>
      <c r="B6" s="20">
        <v>2.0000000000000001E-4</v>
      </c>
      <c r="C6" s="20">
        <v>0.317</v>
      </c>
      <c r="D6" s="20">
        <v>5.0000000000000001E-3</v>
      </c>
      <c r="E6" s="20">
        <v>31.436</v>
      </c>
      <c r="F6" s="44">
        <v>7.0710678118665812E-3</v>
      </c>
      <c r="G6" s="45">
        <v>24.145499999999998</v>
      </c>
      <c r="H6" s="56">
        <v>4.5961940777126495E-2</v>
      </c>
    </row>
    <row r="7" spans="1:16" ht="15.75" thickBot="1" x14ac:dyDescent="0.3">
      <c r="A7" s="8" t="s">
        <v>40</v>
      </c>
      <c r="B7" s="8" t="s">
        <v>41</v>
      </c>
      <c r="C7" s="8" t="s">
        <v>44</v>
      </c>
      <c r="D7" s="8" t="s">
        <v>45</v>
      </c>
      <c r="E7" s="8" t="s">
        <v>58</v>
      </c>
      <c r="F7" s="8" t="s">
        <v>59</v>
      </c>
      <c r="G7" s="8" t="s">
        <v>60</v>
      </c>
      <c r="H7" s="8" t="s">
        <v>61</v>
      </c>
    </row>
    <row r="8" spans="1:16" x14ac:dyDescent="0.25">
      <c r="A8" s="11">
        <v>5.2800000000000004E-4</v>
      </c>
      <c r="B8" s="10">
        <v>4.9999999999999998E-7</v>
      </c>
      <c r="C8" s="10">
        <v>0.20699999999999999</v>
      </c>
      <c r="D8" s="10">
        <v>5.0000000000000001E-3</v>
      </c>
      <c r="E8" s="10">
        <v>0.40300000000000002</v>
      </c>
      <c r="F8" s="10">
        <v>5.0000000000000001E-3</v>
      </c>
      <c r="G8" s="10">
        <v>0.24299999999999999</v>
      </c>
      <c r="H8" s="50">
        <v>5.0000000000000001E-3</v>
      </c>
    </row>
    <row r="9" spans="1:16" x14ac:dyDescent="0.25">
      <c r="A9" s="16">
        <v>5.2500000000000008E-4</v>
      </c>
      <c r="B9" s="15">
        <v>4.9999999999999998E-7</v>
      </c>
      <c r="C9" s="15">
        <v>0.17499999999999999</v>
      </c>
      <c r="D9" s="15">
        <v>5.0000000000000001E-3</v>
      </c>
      <c r="E9" s="15">
        <v>0.40300000000000002</v>
      </c>
      <c r="F9" s="15">
        <v>5.0000000000000001E-3</v>
      </c>
      <c r="G9" s="15">
        <v>0.24299999999999999</v>
      </c>
      <c r="H9" s="42">
        <v>5.0000000000000001E-3</v>
      </c>
    </row>
    <row r="10" spans="1:16" x14ac:dyDescent="0.25">
      <c r="A10" s="16">
        <v>5.1599999999999997E-4</v>
      </c>
      <c r="B10" s="15">
        <v>4.9999999999999998E-7</v>
      </c>
      <c r="C10" s="15">
        <v>0.22500000000000001</v>
      </c>
      <c r="D10" s="15">
        <v>5.0000000000000001E-3</v>
      </c>
      <c r="E10" s="15">
        <v>0.40300000000000002</v>
      </c>
      <c r="F10" s="15">
        <v>5.0000000000000001E-3</v>
      </c>
      <c r="G10" s="15">
        <v>0.24299999999999999</v>
      </c>
      <c r="H10" s="42">
        <v>5.0000000000000001E-3</v>
      </c>
    </row>
    <row r="11" spans="1:16" ht="15.75" thickBot="1" x14ac:dyDescent="0.3">
      <c r="A11" s="21">
        <v>5.22E-4</v>
      </c>
      <c r="B11" s="20">
        <v>4.9999999999999998E-7</v>
      </c>
      <c r="C11" s="44">
        <v>0.22</v>
      </c>
      <c r="D11" s="20">
        <v>5.0000000000000001E-3</v>
      </c>
      <c r="E11" s="20">
        <v>0.40300000000000002</v>
      </c>
      <c r="F11" s="20">
        <v>5.0000000000000001E-3</v>
      </c>
      <c r="G11" s="20">
        <v>0.24299999999999999</v>
      </c>
      <c r="H11" s="46">
        <v>5.0000000000000001E-3</v>
      </c>
    </row>
  </sheetData>
  <mergeCells count="1">
    <mergeCell ref="A1:H1"/>
  </mergeCells>
  <pageMargins left="0.7" right="0.7" top="0.75" bottom="0.75" header="0.3" footer="0.3"/>
  <pageSetup paperSize="11"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G6" sqref="G6"/>
    </sheetView>
  </sheetViews>
  <sheetFormatPr defaultRowHeight="15" x14ac:dyDescent="0.25"/>
  <cols>
    <col min="1" max="1" width="9.140625" customWidth="1"/>
    <col min="2" max="2" width="9.5703125" bestFit="1" customWidth="1"/>
    <col min="3" max="4" width="15" customWidth="1"/>
  </cols>
  <sheetData>
    <row r="1" spans="1:6" ht="15.75" thickBot="1" x14ac:dyDescent="0.3">
      <c r="A1" s="24" t="s">
        <v>63</v>
      </c>
      <c r="B1" s="24"/>
      <c r="C1" s="24"/>
      <c r="D1" s="24"/>
      <c r="E1" s="24"/>
      <c r="F1" s="24"/>
    </row>
    <row r="2" spans="1:6" ht="18" thickBot="1" x14ac:dyDescent="0.3">
      <c r="A2" s="57" t="s">
        <v>64</v>
      </c>
      <c r="B2" s="8" t="s">
        <v>65</v>
      </c>
      <c r="C2" s="8" t="s">
        <v>66</v>
      </c>
      <c r="D2" s="8" t="s">
        <v>67</v>
      </c>
      <c r="E2" s="8" t="s">
        <v>47</v>
      </c>
      <c r="F2" s="8" t="s">
        <v>48</v>
      </c>
    </row>
    <row r="3" spans="1:6" x14ac:dyDescent="0.25">
      <c r="A3" s="9">
        <v>0.25682382133995035</v>
      </c>
      <c r="B3" s="48">
        <v>6.9739682015320078E-3</v>
      </c>
      <c r="C3" s="48">
        <v>6.9946550720577941E-2</v>
      </c>
      <c r="D3" s="48">
        <v>2.2404473372822074E-3</v>
      </c>
      <c r="E3" s="62">
        <v>140.01075917826012</v>
      </c>
      <c r="F3" s="63">
        <v>6.5485918088987596</v>
      </c>
    </row>
    <row r="4" spans="1:6" x14ac:dyDescent="0.25">
      <c r="A4" s="14">
        <v>0.21712158808932999</v>
      </c>
      <c r="B4" s="39">
        <v>6.7631157663558981E-3</v>
      </c>
      <c r="C4" s="39">
        <v>6.9946550720577941E-2</v>
      </c>
      <c r="D4" s="39">
        <v>2.2404473372822074E-3</v>
      </c>
      <c r="E4" s="58">
        <v>119.04296432547716</v>
      </c>
      <c r="F4" s="59">
        <v>5.8567666575152071</v>
      </c>
    </row>
    <row r="5" spans="1:6" x14ac:dyDescent="0.25">
      <c r="A5" s="14">
        <v>0.27915632754342429</v>
      </c>
      <c r="B5" s="39">
        <v>7.104841230579982E-3</v>
      </c>
      <c r="C5" s="39">
        <v>6.9946550720577941E-2</v>
      </c>
      <c r="D5" s="39">
        <v>2.2404473372822074E-3</v>
      </c>
      <c r="E5" s="58">
        <v>155.72480798390913</v>
      </c>
      <c r="F5" s="59">
        <v>7.1328946958579094</v>
      </c>
    </row>
    <row r="6" spans="1:6" ht="15.75" thickBot="1" x14ac:dyDescent="0.3">
      <c r="A6" s="19">
        <v>0.27295285359801486</v>
      </c>
      <c r="B6" s="44">
        <v>7.0676411464156898E-3</v>
      </c>
      <c r="C6" s="44">
        <v>6.9946550720577941E-2</v>
      </c>
      <c r="D6" s="44">
        <v>2.2404473372822074E-3</v>
      </c>
      <c r="E6" s="60">
        <v>150.51409282531603</v>
      </c>
      <c r="F6" s="61">
        <v>6.9313842796925487</v>
      </c>
    </row>
    <row r="12" spans="1:6" x14ac:dyDescent="0.25">
      <c r="F12" s="6"/>
    </row>
    <row r="13" spans="1:6" x14ac:dyDescent="0.25">
      <c r="F13" s="6"/>
    </row>
  </sheetData>
  <mergeCells count="1">
    <mergeCell ref="A1:F1"/>
  </mergeCells>
  <pageMargins left="0.7" right="0.7" top="0.75" bottom="0.75" header="0.3" footer="0.3"/>
  <pageSetup paperSize="11" scale="8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"/>
  <sheetViews>
    <sheetView workbookViewId="0">
      <selection activeCell="C10" sqref="C10"/>
    </sheetView>
  </sheetViews>
  <sheetFormatPr defaultRowHeight="15" x14ac:dyDescent="0.25"/>
  <sheetData>
    <row r="1" spans="1:2" ht="15.75" thickBot="1" x14ac:dyDescent="0.3">
      <c r="A1" s="4" t="s">
        <v>68</v>
      </c>
      <c r="B1" s="4"/>
    </row>
    <row r="2" spans="1:2" ht="15.75" thickBot="1" x14ac:dyDescent="0.3">
      <c r="A2" s="8" t="s">
        <v>50</v>
      </c>
      <c r="B2" s="8" t="s">
        <v>51</v>
      </c>
    </row>
    <row r="3" spans="1:2" x14ac:dyDescent="0.25">
      <c r="A3" s="64">
        <v>148.74988666249507</v>
      </c>
      <c r="B3" s="63">
        <v>8.739127484234956</v>
      </c>
    </row>
    <row r="4" spans="1:2" x14ac:dyDescent="0.25">
      <c r="A4" s="65"/>
      <c r="B4" s="59">
        <v>6.9749213214140582</v>
      </c>
    </row>
    <row r="5" spans="1:2" ht="15.75" thickBot="1" x14ac:dyDescent="0.3">
      <c r="A5" s="66"/>
      <c r="B5" s="61">
        <v>1.7642061628209547</v>
      </c>
    </row>
  </sheetData>
  <mergeCells count="2">
    <mergeCell ref="A3:A5"/>
    <mergeCell ref="A1:B1"/>
  </mergeCells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 эксп</vt:lpstr>
      <vt:lpstr>II эксп</vt:lpstr>
      <vt:lpstr>Печать</vt:lpstr>
      <vt:lpstr>Печать2</vt:lpstr>
      <vt:lpstr>Печать3</vt:lpstr>
      <vt:lpstr>Печать4</vt:lpstr>
      <vt:lpstr>Печать5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2016-12-10T12:46:34Z</dcterms:modified>
</cp:coreProperties>
</file>