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i/Downloads/"/>
    </mc:Choice>
  </mc:AlternateContent>
  <bookViews>
    <workbookView xWindow="960" yWindow="460" windowWidth="24360" windowHeight="15420"/>
  </bookViews>
  <sheets>
    <sheet name="Лист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2" i="1" l="1"/>
  <c r="Y32" i="1"/>
  <c r="AA32" i="1"/>
  <c r="AC32" i="1"/>
  <c r="AD32" i="1"/>
  <c r="Z32" i="1"/>
  <c r="Y34" i="1"/>
  <c r="Z34" i="1"/>
  <c r="K33" i="1"/>
  <c r="L33" i="1"/>
  <c r="L32" i="1"/>
  <c r="K32" i="1"/>
  <c r="L30" i="1"/>
  <c r="L29" i="1"/>
  <c r="K30" i="1"/>
  <c r="K29" i="1"/>
  <c r="M4" i="1"/>
  <c r="U41" i="1"/>
  <c r="W41" i="1"/>
  <c r="V40" i="1"/>
  <c r="W40" i="1"/>
  <c r="U40" i="1"/>
  <c r="U2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L4" i="1"/>
  <c r="N1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M5" i="1"/>
  <c r="R5" i="1"/>
  <c r="R6" i="1"/>
  <c r="R7" i="1"/>
  <c r="N8" i="1"/>
  <c r="Q8" i="1"/>
  <c r="R8" i="1"/>
  <c r="N9" i="1"/>
  <c r="Q9" i="1"/>
  <c r="R9" i="1"/>
  <c r="N10" i="1"/>
  <c r="Q10" i="1"/>
  <c r="R10" i="1"/>
  <c r="N11" i="1"/>
  <c r="Q11" i="1"/>
  <c r="R11" i="1"/>
  <c r="N12" i="1"/>
  <c r="Q12" i="1"/>
  <c r="R12" i="1"/>
  <c r="N13" i="1"/>
  <c r="Q13" i="1"/>
  <c r="R13" i="1"/>
  <c r="N14" i="1"/>
  <c r="Q14" i="1"/>
  <c r="R14" i="1"/>
  <c r="N15" i="1"/>
  <c r="Q15" i="1"/>
  <c r="R15" i="1"/>
  <c r="Q16" i="1"/>
  <c r="R16" i="1"/>
  <c r="N17" i="1"/>
  <c r="Q17" i="1"/>
  <c r="R17" i="1"/>
  <c r="N18" i="1"/>
  <c r="Q18" i="1"/>
  <c r="R18" i="1"/>
  <c r="N19" i="1"/>
  <c r="Q19" i="1"/>
  <c r="R19" i="1"/>
  <c r="N20" i="1"/>
  <c r="Q20" i="1"/>
  <c r="R20" i="1"/>
  <c r="N21" i="1"/>
  <c r="Q21" i="1"/>
  <c r="R21" i="1"/>
  <c r="R4" i="1"/>
  <c r="Q5" i="1"/>
  <c r="Q6" i="1"/>
  <c r="Q7" i="1"/>
  <c r="Q4" i="1"/>
  <c r="N7" i="1"/>
  <c r="N6" i="1"/>
  <c r="U29" i="1"/>
  <c r="U30" i="1"/>
  <c r="U31" i="1"/>
  <c r="U32" i="1"/>
  <c r="U33" i="1"/>
  <c r="U34" i="1"/>
  <c r="U35" i="1"/>
  <c r="U36" i="1"/>
  <c r="U37" i="1"/>
  <c r="U38" i="1"/>
  <c r="U39" i="1"/>
  <c r="V29" i="1"/>
  <c r="V30" i="1"/>
  <c r="V31" i="1"/>
  <c r="V32" i="1"/>
  <c r="V33" i="1"/>
  <c r="V34" i="1"/>
  <c r="V35" i="1"/>
  <c r="V36" i="1"/>
  <c r="V37" i="1"/>
  <c r="V38" i="1"/>
  <c r="V39" i="1"/>
  <c r="W29" i="1"/>
  <c r="W30" i="1"/>
  <c r="W31" i="1"/>
  <c r="W32" i="1"/>
  <c r="W33" i="1"/>
  <c r="W34" i="1"/>
  <c r="W35" i="1"/>
  <c r="W36" i="1"/>
  <c r="W37" i="1"/>
  <c r="W38" i="1"/>
  <c r="W39" i="1"/>
  <c r="M19" i="1"/>
  <c r="M20" i="1"/>
  <c r="M21" i="1"/>
  <c r="M18" i="1"/>
  <c r="AI34" i="1"/>
  <c r="N4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F3" i="1"/>
</calcChain>
</file>

<file path=xl/sharedStrings.xml><?xml version="1.0" encoding="utf-8"?>
<sst xmlns="http://schemas.openxmlformats.org/spreadsheetml/2006/main" count="35" uniqueCount="35">
  <si>
    <t>ΔТ, С°</t>
  </si>
  <si>
    <t>К, град/мВ</t>
  </si>
  <si>
    <t>ЭДС, мВ</t>
  </si>
  <si>
    <t>Т, С°</t>
  </si>
  <si>
    <t>Δ(Т), С°</t>
  </si>
  <si>
    <t>Погр терм</t>
  </si>
  <si>
    <t>Погр эдс</t>
  </si>
  <si>
    <t>погр частоты</t>
  </si>
  <si>
    <t>Предсказание</t>
  </si>
  <si>
    <t>Метод наименьших квадратов</t>
  </si>
  <si>
    <t>(Т, С°)²</t>
  </si>
  <si>
    <t>Среднее</t>
  </si>
  <si>
    <t>b</t>
  </si>
  <si>
    <t>a</t>
  </si>
  <si>
    <t>Δa</t>
  </si>
  <si>
    <r>
      <t>θ</t>
    </r>
    <r>
      <rPr>
        <sz val="6"/>
        <color theme="1"/>
        <rFont val="Calibri"/>
        <family val="2"/>
        <charset val="204"/>
      </rPr>
      <t>р</t>
    </r>
    <r>
      <rPr>
        <sz val="11"/>
        <color theme="1"/>
        <rFont val="Calibri"/>
        <family val="2"/>
        <charset val="204"/>
      </rPr>
      <t>, С°</t>
    </r>
  </si>
  <si>
    <t>Δθр, С°</t>
  </si>
  <si>
    <t>Точка Кюри примерно</t>
  </si>
  <si>
    <r>
      <t>τ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мкс</t>
    </r>
  </si>
  <si>
    <t>τ, мкс</t>
  </si>
  <si>
    <r>
      <t>(1/(τ²-τ</t>
    </r>
    <r>
      <rPr>
        <sz val="6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</rPr>
      <t>²</t>
    </r>
    <r>
      <rPr>
        <sz val="11"/>
        <color theme="1"/>
        <rFont val="Calibri"/>
        <family val="2"/>
        <charset val="204"/>
        <scheme val="minor"/>
      </rPr>
      <t>), 1/мкc²)²</t>
    </r>
  </si>
  <si>
    <t>(Т, С°)*(1/(τ²-τ0²), 1/мкc²)</t>
  </si>
  <si>
    <t xml:space="preserve"> </t>
  </si>
  <si>
    <t>(τ²-τ0²), мкc²</t>
  </si>
  <si>
    <t xml:space="preserve">следущая лаба </t>
  </si>
  <si>
    <t>–Δ(U), В</t>
  </si>
  <si>
    <r>
      <t>1/(τ²-τ</t>
    </r>
    <r>
      <rPr>
        <sz val="6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</rPr>
      <t>²</t>
    </r>
    <r>
      <rPr>
        <sz val="11"/>
        <color theme="1"/>
        <rFont val="Calibri"/>
        <family val="2"/>
        <charset val="204"/>
        <scheme val="minor"/>
      </rPr>
      <t>), 1/(мкc)²</t>
    </r>
  </si>
  <si>
    <t>Δ1/(τ²-τ0²), 1/н(c)²</t>
  </si>
  <si>
    <t>Δ(τ²-τ0²), мкc²</t>
  </si>
  <si>
    <t>Прямые для системной погрешности</t>
  </si>
  <si>
    <t>Δb общая</t>
  </si>
  <si>
    <t>Δb метод</t>
  </si>
  <si>
    <t>Δb сист</t>
  </si>
  <si>
    <r>
      <t>Т</t>
    </r>
    <r>
      <rPr>
        <sz val="8"/>
        <color theme="1"/>
        <rFont val="Calibri"/>
        <family val="2"/>
        <charset val="204"/>
      </rPr>
      <t>терм</t>
    </r>
    <r>
      <rPr>
        <sz val="11"/>
        <color theme="1"/>
        <rFont val="Calibri"/>
        <family val="2"/>
        <charset val="204"/>
      </rPr>
      <t>, С°</t>
    </r>
  </si>
  <si>
    <t>Среднее не квадрат.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</si>
</sst>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2" fontId="0" fillId="0" borderId="11" xfId="0" applyNumberFormat="1" applyBorder="1"/>
    <xf numFmtId="2" fontId="0" fillId="0" borderId="12" xfId="0" applyNumberFormat="1" applyBorder="1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0" fontId="0" fillId="0" borderId="2" xfId="0" applyBorder="1" applyAlignment="1">
      <alignment horizontal="center" vertical="center" wrapText="1"/>
    </xf>
    <xf numFmtId="2" fontId="0" fillId="0" borderId="3" xfId="0" applyNumberFormat="1" applyBorder="1"/>
    <xf numFmtId="2" fontId="0" fillId="0" borderId="4" xfId="0" applyNumberFormat="1" applyBorder="1"/>
    <xf numFmtId="0" fontId="0" fillId="0" borderId="7" xfId="0" applyBorder="1" applyAlignment="1">
      <alignment horizontal="center" vertical="center" wrapText="1"/>
    </xf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/>
    <xf numFmtId="0" fontId="1" fillId="0" borderId="2" xfId="0" applyFont="1" applyBorder="1"/>
    <xf numFmtId="0" fontId="0" fillId="0" borderId="4" xfId="0" applyBorder="1"/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6753712505595"/>
          <c:y val="0.0776710272964095"/>
          <c:w val="0.864399284721187"/>
          <c:h val="0.78954071808811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Лист1!$M$4:$M$27</c:f>
                <c:numCache>
                  <c:formatCode>General</c:formatCode>
                  <c:ptCount val="24"/>
                  <c:pt idx="0">
                    <c:v>0.482544134331745</c:v>
                  </c:pt>
                  <c:pt idx="1">
                    <c:v>0.36784</c:v>
                  </c:pt>
                  <c:pt idx="2">
                    <c:v>0.478758866258368</c:v>
                  </c:pt>
                  <c:pt idx="3">
                    <c:v>0.497292814268564</c:v>
                  </c:pt>
                  <c:pt idx="4">
                    <c:v>0.528182029734971</c:v>
                  </c:pt>
                  <c:pt idx="5">
                    <c:v>0.67755522021015</c:v>
                  </c:pt>
                  <c:pt idx="6">
                    <c:v>0.584369146166671</c:v>
                  </c:pt>
                  <c:pt idx="7">
                    <c:v>0.652284004739336</c:v>
                  </c:pt>
                  <c:pt idx="8">
                    <c:v>0.606235507246377</c:v>
                  </c:pt>
                  <c:pt idx="9">
                    <c:v>0.953770887539751</c:v>
                  </c:pt>
                  <c:pt idx="10">
                    <c:v>0.744795199501247</c:v>
                  </c:pt>
                  <c:pt idx="11">
                    <c:v>1.177494802204702</c:v>
                  </c:pt>
                  <c:pt idx="12">
                    <c:v>0.927602472658107</c:v>
                  </c:pt>
                  <c:pt idx="13">
                    <c:v>1.147563419258956</c:v>
                  </c:pt>
                  <c:pt idx="14">
                    <c:v>0.835297193311301</c:v>
                  </c:pt>
                  <c:pt idx="15">
                    <c:v>0.887669783281734</c:v>
                  </c:pt>
                  <c:pt idx="16">
                    <c:v>0.939778736725081</c:v>
                  </c:pt>
                  <c:pt idx="17">
                    <c:v>1.04425871813451</c:v>
                  </c:pt>
                </c:numCache>
              </c:numRef>
            </c:plus>
            <c:minus>
              <c:numRef>
                <c:f>Лист1!$M$4:$M$27</c:f>
                <c:numCache>
                  <c:formatCode>General</c:formatCode>
                  <c:ptCount val="24"/>
                  <c:pt idx="0">
                    <c:v>0.482544134331745</c:v>
                  </c:pt>
                  <c:pt idx="1">
                    <c:v>0.36784</c:v>
                  </c:pt>
                  <c:pt idx="2">
                    <c:v>0.478758866258368</c:v>
                  </c:pt>
                  <c:pt idx="3">
                    <c:v>0.497292814268564</c:v>
                  </c:pt>
                  <c:pt idx="4">
                    <c:v>0.528182029734971</c:v>
                  </c:pt>
                  <c:pt idx="5">
                    <c:v>0.67755522021015</c:v>
                  </c:pt>
                  <c:pt idx="6">
                    <c:v>0.584369146166671</c:v>
                  </c:pt>
                  <c:pt idx="7">
                    <c:v>0.652284004739336</c:v>
                  </c:pt>
                  <c:pt idx="8">
                    <c:v>0.606235507246377</c:v>
                  </c:pt>
                  <c:pt idx="9">
                    <c:v>0.953770887539751</c:v>
                  </c:pt>
                  <c:pt idx="10">
                    <c:v>0.744795199501247</c:v>
                  </c:pt>
                  <c:pt idx="11">
                    <c:v>1.177494802204702</c:v>
                  </c:pt>
                  <c:pt idx="12">
                    <c:v>0.927602472658107</c:v>
                  </c:pt>
                  <c:pt idx="13">
                    <c:v>1.147563419258956</c:v>
                  </c:pt>
                  <c:pt idx="14">
                    <c:v>0.835297193311301</c:v>
                  </c:pt>
                  <c:pt idx="15">
                    <c:v>0.887669783281734</c:v>
                  </c:pt>
                  <c:pt idx="16">
                    <c:v>0.939778736725081</c:v>
                  </c:pt>
                  <c:pt idx="17">
                    <c:v>1.04425871813451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Лист1!$U$4:$U$21</c:f>
                <c:numCache>
                  <c:formatCode>General</c:formatCode>
                  <c:ptCount val="18"/>
                  <c:pt idx="0">
                    <c:v>2.98548902914083E-5</c:v>
                  </c:pt>
                  <c:pt idx="1">
                    <c:v>3.00664586705376E-5</c:v>
                  </c:pt>
                  <c:pt idx="2">
                    <c:v>3.28349214759135E-5</c:v>
                  </c:pt>
                  <c:pt idx="3">
                    <c:v>3.43940248980356E-5</c:v>
                  </c:pt>
                  <c:pt idx="4">
                    <c:v>3.82540836329387E-5</c:v>
                  </c:pt>
                  <c:pt idx="5">
                    <c:v>4.40392353071543E-5</c:v>
                  </c:pt>
                  <c:pt idx="6">
                    <c:v>5.23888409878507E-5</c:v>
                  </c:pt>
                  <c:pt idx="7">
                    <c:v>6.61021845957002E-5</c:v>
                  </c:pt>
                  <c:pt idx="8">
                    <c:v>8.43209980508878E-5</c:v>
                  </c:pt>
                  <c:pt idx="9">
                    <c:v>0.000113193797235209</c:v>
                  </c:pt>
                  <c:pt idx="10">
                    <c:v>0.000137982575180678</c:v>
                  </c:pt>
                  <c:pt idx="11">
                    <c:v>0.000195296352939497</c:v>
                  </c:pt>
                  <c:pt idx="12">
                    <c:v>0.000243908603844097</c:v>
                  </c:pt>
                  <c:pt idx="13">
                    <c:v>0.00029560244038071</c:v>
                  </c:pt>
                  <c:pt idx="14">
                    <c:v>0.000340046160096473</c:v>
                  </c:pt>
                  <c:pt idx="15">
                    <c:v>0.000388226840384565</c:v>
                  </c:pt>
                  <c:pt idx="16">
                    <c:v>0.000431965619189415</c:v>
                  </c:pt>
                  <c:pt idx="17">
                    <c:v>0.000518983361997509</c:v>
                  </c:pt>
                </c:numCache>
              </c:numRef>
            </c:plus>
            <c:minus>
              <c:numRef>
                <c:f>Лист1!$U$4:$U$21</c:f>
                <c:numCache>
                  <c:formatCode>General</c:formatCode>
                  <c:ptCount val="18"/>
                  <c:pt idx="0">
                    <c:v>2.98548902914083E-5</c:v>
                  </c:pt>
                  <c:pt idx="1">
                    <c:v>3.00664586705376E-5</c:v>
                  </c:pt>
                  <c:pt idx="2">
                    <c:v>3.28349214759135E-5</c:v>
                  </c:pt>
                  <c:pt idx="3">
                    <c:v>3.43940248980356E-5</c:v>
                  </c:pt>
                  <c:pt idx="4">
                    <c:v>3.82540836329387E-5</c:v>
                  </c:pt>
                  <c:pt idx="5">
                    <c:v>4.40392353071543E-5</c:v>
                  </c:pt>
                  <c:pt idx="6">
                    <c:v>5.23888409878507E-5</c:v>
                  </c:pt>
                  <c:pt idx="7">
                    <c:v>6.61021845957002E-5</c:v>
                  </c:pt>
                  <c:pt idx="8">
                    <c:v>8.43209980508878E-5</c:v>
                  </c:pt>
                  <c:pt idx="9">
                    <c:v>0.000113193797235209</c:v>
                  </c:pt>
                  <c:pt idx="10">
                    <c:v>0.000137982575180678</c:v>
                  </c:pt>
                  <c:pt idx="11">
                    <c:v>0.000195296352939497</c:v>
                  </c:pt>
                  <c:pt idx="12">
                    <c:v>0.000243908603844097</c:v>
                  </c:pt>
                  <c:pt idx="13">
                    <c:v>0.00029560244038071</c:v>
                  </c:pt>
                  <c:pt idx="14">
                    <c:v>0.000340046160096473</c:v>
                  </c:pt>
                  <c:pt idx="15">
                    <c:v>0.000388226840384565</c:v>
                  </c:pt>
                  <c:pt idx="16">
                    <c:v>0.000431965619189415</c:v>
                  </c:pt>
                  <c:pt idx="17">
                    <c:v>0.000518983361997509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Лист1!$L$4:$L$22</c:f>
              <c:numCache>
                <c:formatCode>0.00</c:formatCode>
                <c:ptCount val="19"/>
                <c:pt idx="0">
                  <c:v>14.33</c:v>
                </c:pt>
                <c:pt idx="1">
                  <c:v>14.52</c:v>
                </c:pt>
                <c:pt idx="2">
                  <c:v>16.112</c:v>
                </c:pt>
                <c:pt idx="3">
                  <c:v>16.742</c:v>
                </c:pt>
                <c:pt idx="4">
                  <c:v>17.792</c:v>
                </c:pt>
                <c:pt idx="5">
                  <c:v>18.834</c:v>
                </c:pt>
                <c:pt idx="6">
                  <c:v>19.702</c:v>
                </c:pt>
                <c:pt idx="7">
                  <c:v>20.716</c:v>
                </c:pt>
                <c:pt idx="8">
                  <c:v>21.648</c:v>
                </c:pt>
                <c:pt idx="9">
                  <c:v>22.772</c:v>
                </c:pt>
                <c:pt idx="10">
                  <c:v>23.676</c:v>
                </c:pt>
                <c:pt idx="11">
                  <c:v>25.796</c:v>
                </c:pt>
                <c:pt idx="12">
                  <c:v>27.68</c:v>
                </c:pt>
                <c:pt idx="13">
                  <c:v>29.708</c:v>
                </c:pt>
                <c:pt idx="14">
                  <c:v>31.554</c:v>
                </c:pt>
                <c:pt idx="15">
                  <c:v>33.544</c:v>
                </c:pt>
                <c:pt idx="16">
                  <c:v>35.524</c:v>
                </c:pt>
                <c:pt idx="17">
                  <c:v>39.494</c:v>
                </c:pt>
              </c:numCache>
            </c:numRef>
          </c:xVal>
          <c:yVal>
            <c:numRef>
              <c:f>Лист1!$N$4:$N$22</c:f>
              <c:numCache>
                <c:formatCode>0.00</c:formatCode>
                <c:ptCount val="19"/>
                <c:pt idx="0">
                  <c:v>0.0300579035453898</c:v>
                </c:pt>
                <c:pt idx="1">
                  <c:v>0.0302408441308267</c:v>
                </c:pt>
                <c:pt idx="2">
                  <c:v>0.0326280614706153</c:v>
                </c:pt>
                <c:pt idx="3">
                  <c:v>0.0339675389893</c:v>
                </c:pt>
                <c:pt idx="4">
                  <c:v>0.0372709536835722</c:v>
                </c:pt>
                <c:pt idx="5">
                  <c:v>0.0421939913477845</c:v>
                </c:pt>
                <c:pt idx="6">
                  <c:v>0.0492559882967772</c:v>
                </c:pt>
                <c:pt idx="7">
                  <c:v>0.0607809587357463</c:v>
                </c:pt>
                <c:pt idx="8">
                  <c:v>0.0760069476430703</c:v>
                </c:pt>
                <c:pt idx="9">
                  <c:v>0.100029358616754</c:v>
                </c:pt>
                <c:pt idx="10">
                  <c:v>0.120596770707913</c:v>
                </c:pt>
                <c:pt idx="11">
                  <c:v>0.168052511704437</c:v>
                </c:pt>
                <c:pt idx="12">
                  <c:v>0.20824916596209</c:v>
                </c:pt>
                <c:pt idx="13">
                  <c:v>0.250966471883222</c:v>
                </c:pt>
                <c:pt idx="14">
                  <c:v>0.287679051441616</c:v>
                </c:pt>
                <c:pt idx="15">
                  <c:v>0.327469339864381</c:v>
                </c:pt>
                <c:pt idx="16">
                  <c:v>0.36358546167173</c:v>
                </c:pt>
                <c:pt idx="17">
                  <c:v>0.43542704071591</c:v>
                </c:pt>
              </c:numCache>
            </c:numRef>
          </c:yVal>
          <c:smooth val="0"/>
        </c:ser>
        <c:ser>
          <c:idx val="1"/>
          <c:order val="1"/>
          <c:tx>
            <c:v>Основная линия y = 0,020x - 0,360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5.0"/>
            <c:dispRSqr val="0"/>
            <c:dispEq val="0"/>
          </c:trendline>
          <c:xVal>
            <c:numRef>
              <c:f>Лист1!$L$11:$L$21</c:f>
              <c:numCache>
                <c:formatCode>0.00</c:formatCode>
                <c:ptCount val="11"/>
                <c:pt idx="0">
                  <c:v>20.716</c:v>
                </c:pt>
                <c:pt idx="1">
                  <c:v>21.648</c:v>
                </c:pt>
                <c:pt idx="2">
                  <c:v>22.772</c:v>
                </c:pt>
                <c:pt idx="3">
                  <c:v>23.676</c:v>
                </c:pt>
                <c:pt idx="4">
                  <c:v>25.796</c:v>
                </c:pt>
                <c:pt idx="5">
                  <c:v>27.68</c:v>
                </c:pt>
                <c:pt idx="6">
                  <c:v>29.708</c:v>
                </c:pt>
                <c:pt idx="7">
                  <c:v>31.554</c:v>
                </c:pt>
                <c:pt idx="8">
                  <c:v>33.544</c:v>
                </c:pt>
                <c:pt idx="9">
                  <c:v>35.524</c:v>
                </c:pt>
                <c:pt idx="10">
                  <c:v>39.494</c:v>
                </c:pt>
              </c:numCache>
            </c:numRef>
          </c:xVal>
          <c:yVal>
            <c:numRef>
              <c:f>Лист1!$N$11:$N$21</c:f>
              <c:numCache>
                <c:formatCode>0.00</c:formatCode>
                <c:ptCount val="11"/>
                <c:pt idx="0">
                  <c:v>0.0607809587357463</c:v>
                </c:pt>
                <c:pt idx="1">
                  <c:v>0.0760069476430703</c:v>
                </c:pt>
                <c:pt idx="2">
                  <c:v>0.100029358616754</c:v>
                </c:pt>
                <c:pt idx="3">
                  <c:v>0.120596770707913</c:v>
                </c:pt>
                <c:pt idx="4">
                  <c:v>0.168052511704437</c:v>
                </c:pt>
                <c:pt idx="5">
                  <c:v>0.20824916596209</c:v>
                </c:pt>
                <c:pt idx="6">
                  <c:v>0.250966471883222</c:v>
                </c:pt>
                <c:pt idx="7">
                  <c:v>0.287679051441616</c:v>
                </c:pt>
                <c:pt idx="8">
                  <c:v>0.327469339864381</c:v>
                </c:pt>
                <c:pt idx="9">
                  <c:v>0.36358546167173</c:v>
                </c:pt>
                <c:pt idx="10">
                  <c:v>0.43542704071591</c:v>
                </c:pt>
              </c:numCache>
            </c:numRef>
          </c:yVal>
          <c:smooth val="0"/>
        </c:ser>
        <c:ser>
          <c:idx val="2"/>
          <c:order val="2"/>
          <c:tx>
            <c:v>Нижняя прямая y = 0,018x - 0,312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.0"/>
            <c:backward val="2.0"/>
            <c:dispRSqr val="0"/>
            <c:dispEq val="0"/>
          </c:trendline>
          <c:xVal>
            <c:numRef>
              <c:f>Лист1!$K$29:$K$30</c:f>
              <c:numCache>
                <c:formatCode>0.00</c:formatCode>
                <c:ptCount val="2"/>
                <c:pt idx="0">
                  <c:v>40.5382587181345</c:v>
                </c:pt>
                <c:pt idx="1">
                  <c:v>21.04176449275362</c:v>
                </c:pt>
              </c:numCache>
            </c:numRef>
          </c:xVal>
          <c:yVal>
            <c:numRef>
              <c:f>Лист1!$L$29:$L$30</c:f>
              <c:numCache>
                <c:formatCode>0.00</c:formatCode>
                <c:ptCount val="2"/>
                <c:pt idx="0">
                  <c:v>0.43542704071591</c:v>
                </c:pt>
                <c:pt idx="1">
                  <c:v>0.0760069476430703</c:v>
                </c:pt>
              </c:numCache>
            </c:numRef>
          </c:yVal>
          <c:smooth val="0"/>
        </c:ser>
        <c:ser>
          <c:idx val="3"/>
          <c:order val="3"/>
          <c:tx>
            <c:v>Верхняя прямая y = 0,022x - 0,418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.0"/>
            <c:backward val="2.0"/>
            <c:dispRSqr val="0"/>
            <c:dispEq val="0"/>
          </c:trendline>
          <c:xVal>
            <c:numRef>
              <c:f>Лист1!$K$32:$K$33</c:f>
              <c:numCache>
                <c:formatCode>0.00</c:formatCode>
                <c:ptCount val="2"/>
                <c:pt idx="0">
                  <c:v>38.44974128186549</c:v>
                </c:pt>
                <c:pt idx="1">
                  <c:v>22.25423550724638</c:v>
                </c:pt>
              </c:numCache>
            </c:numRef>
          </c:xVal>
          <c:yVal>
            <c:numRef>
              <c:f>Лист1!$L$32:$L$33</c:f>
              <c:numCache>
                <c:formatCode>0.00</c:formatCode>
                <c:ptCount val="2"/>
                <c:pt idx="0">
                  <c:v>0.43542704071591</c:v>
                </c:pt>
                <c:pt idx="1">
                  <c:v>0.0760069476430703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078480"/>
        <c:axId val="-2142075136"/>
      </c:scatterChart>
      <c:valAx>
        <c:axId val="-2142078480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2075136"/>
        <c:crosses val="autoZero"/>
        <c:crossBetween val="midCat"/>
        <c:majorUnit val="10.0"/>
        <c:minorUnit val="2.0"/>
      </c:valAx>
      <c:valAx>
        <c:axId val="-214207513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2078480"/>
        <c:crosses val="autoZero"/>
        <c:crossBetween val="midCat"/>
        <c:majorUnit val="0.1"/>
        <c:minorUnit val="0.02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0925025496757935"/>
          <c:y val="0.0738619889002152"/>
          <c:w val="0.27717727094458"/>
          <c:h val="0.187241227772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u="none" strike="noStrike" baseline="0">
                <a:effectLst/>
              </a:rPr>
              <a:t>Т, С° </a:t>
            </a:r>
            <a:endParaRPr lang="ru-RU" sz="1200"/>
          </a:p>
        </c:rich>
      </c:tx>
      <c:layout>
        <c:manualLayout>
          <c:xMode val="edge"/>
          <c:yMode val="edge"/>
          <c:x val="0.483761915103534"/>
          <c:y val="0.909976458475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2675544176299"/>
          <c:y val="0.161345207625947"/>
          <c:w val="0.805375114790832"/>
          <c:h val="0.6670678836950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Лист1!$M$4:$M$47</c:f>
                <c:numCache>
                  <c:formatCode>General</c:formatCode>
                  <c:ptCount val="44"/>
                  <c:pt idx="0">
                    <c:v>0.482544134331745</c:v>
                  </c:pt>
                  <c:pt idx="1">
                    <c:v>0.36784</c:v>
                  </c:pt>
                  <c:pt idx="2">
                    <c:v>0.478758866258368</c:v>
                  </c:pt>
                  <c:pt idx="3">
                    <c:v>0.497292814268564</c:v>
                  </c:pt>
                  <c:pt idx="4">
                    <c:v>0.528182029734971</c:v>
                  </c:pt>
                  <c:pt idx="5">
                    <c:v>0.67755522021015</c:v>
                  </c:pt>
                  <c:pt idx="6">
                    <c:v>0.584369146166671</c:v>
                  </c:pt>
                  <c:pt idx="7">
                    <c:v>0.652284004739336</c:v>
                  </c:pt>
                  <c:pt idx="8">
                    <c:v>0.606235507246377</c:v>
                  </c:pt>
                  <c:pt idx="9">
                    <c:v>0.953770887539751</c:v>
                  </c:pt>
                  <c:pt idx="10">
                    <c:v>0.744795199501247</c:v>
                  </c:pt>
                  <c:pt idx="11">
                    <c:v>1.177494802204702</c:v>
                  </c:pt>
                  <c:pt idx="12">
                    <c:v>0.927602472658107</c:v>
                  </c:pt>
                  <c:pt idx="13">
                    <c:v>1.147563419258956</c:v>
                  </c:pt>
                  <c:pt idx="14">
                    <c:v>0.835297193311301</c:v>
                  </c:pt>
                  <c:pt idx="15">
                    <c:v>0.887669783281734</c:v>
                  </c:pt>
                  <c:pt idx="16">
                    <c:v>0.939778736725081</c:v>
                  </c:pt>
                  <c:pt idx="17">
                    <c:v>1.04425871813451</c:v>
                  </c:pt>
                </c:numCache>
              </c:numRef>
            </c:plus>
            <c:minus>
              <c:numRef>
                <c:f>Лист1!$M$4:$M$47</c:f>
                <c:numCache>
                  <c:formatCode>General</c:formatCode>
                  <c:ptCount val="44"/>
                  <c:pt idx="0">
                    <c:v>0.482544134331745</c:v>
                  </c:pt>
                  <c:pt idx="1">
                    <c:v>0.36784</c:v>
                  </c:pt>
                  <c:pt idx="2">
                    <c:v>0.478758866258368</c:v>
                  </c:pt>
                  <c:pt idx="3">
                    <c:v>0.497292814268564</c:v>
                  </c:pt>
                  <c:pt idx="4">
                    <c:v>0.528182029734971</c:v>
                  </c:pt>
                  <c:pt idx="5">
                    <c:v>0.67755522021015</c:v>
                  </c:pt>
                  <c:pt idx="6">
                    <c:v>0.584369146166671</c:v>
                  </c:pt>
                  <c:pt idx="7">
                    <c:v>0.652284004739336</c:v>
                  </c:pt>
                  <c:pt idx="8">
                    <c:v>0.606235507246377</c:v>
                  </c:pt>
                  <c:pt idx="9">
                    <c:v>0.953770887539751</c:v>
                  </c:pt>
                  <c:pt idx="10">
                    <c:v>0.744795199501247</c:v>
                  </c:pt>
                  <c:pt idx="11">
                    <c:v>1.177494802204702</c:v>
                  </c:pt>
                  <c:pt idx="12">
                    <c:v>0.927602472658107</c:v>
                  </c:pt>
                  <c:pt idx="13">
                    <c:v>1.147563419258956</c:v>
                  </c:pt>
                  <c:pt idx="14">
                    <c:v>0.835297193311301</c:v>
                  </c:pt>
                  <c:pt idx="15">
                    <c:v>0.887669783281734</c:v>
                  </c:pt>
                  <c:pt idx="16">
                    <c:v>0.939778736725081</c:v>
                  </c:pt>
                  <c:pt idx="17">
                    <c:v>1.04425871813451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Лист1!$R$4:$R$47</c:f>
                <c:numCache>
                  <c:formatCode>General</c:formatCode>
                  <c:ptCount val="44"/>
                  <c:pt idx="0">
                    <c:v>0.0330444179578864</c:v>
                  </c:pt>
                  <c:pt idx="1">
                    <c:v>0.0328771724000795</c:v>
                  </c:pt>
                  <c:pt idx="2">
                    <c:v>0.0308427744792191</c:v>
                  </c:pt>
                  <c:pt idx="3">
                    <c:v>0.0298095099230457</c:v>
                  </c:pt>
                  <c:pt idx="4">
                    <c:v>0.027538278764241</c:v>
                  </c:pt>
                  <c:pt idx="5">
                    <c:v>0.0247365170650245</c:v>
                  </c:pt>
                  <c:pt idx="6">
                    <c:v>0.0215933843863008</c:v>
                  </c:pt>
                  <c:pt idx="7">
                    <c:v>0.0178928994018488</c:v>
                  </c:pt>
                  <c:pt idx="8">
                    <c:v>0.0145958420235189</c:v>
                  </c:pt>
                  <c:pt idx="9">
                    <c:v>0.0113127362227</c:v>
                  </c:pt>
                  <c:pt idx="10">
                    <c:v>0.00948752402745995</c:v>
                  </c:pt>
                  <c:pt idx="11">
                    <c:v>0.00691519000581058</c:v>
                  </c:pt>
                  <c:pt idx="12">
                    <c:v>0.00562419770438042</c:v>
                  </c:pt>
                  <c:pt idx="13">
                    <c:v>0.00469328150765606</c:v>
                  </c:pt>
                  <c:pt idx="14">
                    <c:v>0.00410886052009458</c:v>
                  </c:pt>
                  <c:pt idx="15">
                    <c:v>0.00362029756965028</c:v>
                  </c:pt>
                  <c:pt idx="16">
                    <c:v>0.00326765474634667</c:v>
                  </c:pt>
                  <c:pt idx="17">
                    <c:v>0.00273730154946366</c:v>
                  </c:pt>
                </c:numCache>
              </c:numRef>
            </c:plus>
            <c:minus>
              <c:numRef>
                <c:f>Лист1!$R$4:$R$47</c:f>
                <c:numCache>
                  <c:formatCode>General</c:formatCode>
                  <c:ptCount val="44"/>
                  <c:pt idx="0">
                    <c:v>0.0330444179578864</c:v>
                  </c:pt>
                  <c:pt idx="1">
                    <c:v>0.0328771724000795</c:v>
                  </c:pt>
                  <c:pt idx="2">
                    <c:v>0.0308427744792191</c:v>
                  </c:pt>
                  <c:pt idx="3">
                    <c:v>0.0298095099230457</c:v>
                  </c:pt>
                  <c:pt idx="4">
                    <c:v>0.027538278764241</c:v>
                  </c:pt>
                  <c:pt idx="5">
                    <c:v>0.0247365170650245</c:v>
                  </c:pt>
                  <c:pt idx="6">
                    <c:v>0.0215933843863008</c:v>
                  </c:pt>
                  <c:pt idx="7">
                    <c:v>0.0178928994018488</c:v>
                  </c:pt>
                  <c:pt idx="8">
                    <c:v>0.0145958420235189</c:v>
                  </c:pt>
                  <c:pt idx="9">
                    <c:v>0.0113127362227</c:v>
                  </c:pt>
                  <c:pt idx="10">
                    <c:v>0.00948752402745995</c:v>
                  </c:pt>
                  <c:pt idx="11">
                    <c:v>0.00691519000581058</c:v>
                  </c:pt>
                  <c:pt idx="12">
                    <c:v>0.00562419770438042</c:v>
                  </c:pt>
                  <c:pt idx="13">
                    <c:v>0.00469328150765606</c:v>
                  </c:pt>
                  <c:pt idx="14">
                    <c:v>0.00410886052009458</c:v>
                  </c:pt>
                  <c:pt idx="15">
                    <c:v>0.00362029756965028</c:v>
                  </c:pt>
                  <c:pt idx="16">
                    <c:v>0.00326765474634667</c:v>
                  </c:pt>
                  <c:pt idx="17">
                    <c:v>0.00273730154946366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Лист1!$L$4:$L$47</c:f>
              <c:numCache>
                <c:formatCode>0.00</c:formatCode>
                <c:ptCount val="44"/>
                <c:pt idx="0">
                  <c:v>14.33</c:v>
                </c:pt>
                <c:pt idx="1">
                  <c:v>14.52</c:v>
                </c:pt>
                <c:pt idx="2">
                  <c:v>16.112</c:v>
                </c:pt>
                <c:pt idx="3">
                  <c:v>16.742</c:v>
                </c:pt>
                <c:pt idx="4">
                  <c:v>17.792</c:v>
                </c:pt>
                <c:pt idx="5">
                  <c:v>18.834</c:v>
                </c:pt>
                <c:pt idx="6">
                  <c:v>19.702</c:v>
                </c:pt>
                <c:pt idx="7">
                  <c:v>20.716</c:v>
                </c:pt>
                <c:pt idx="8">
                  <c:v>21.648</c:v>
                </c:pt>
                <c:pt idx="9">
                  <c:v>22.772</c:v>
                </c:pt>
                <c:pt idx="10">
                  <c:v>23.676</c:v>
                </c:pt>
                <c:pt idx="11">
                  <c:v>25.796</c:v>
                </c:pt>
                <c:pt idx="12">
                  <c:v>27.68</c:v>
                </c:pt>
                <c:pt idx="13">
                  <c:v>29.708</c:v>
                </c:pt>
                <c:pt idx="14">
                  <c:v>31.554</c:v>
                </c:pt>
                <c:pt idx="15">
                  <c:v>33.544</c:v>
                </c:pt>
                <c:pt idx="16">
                  <c:v>35.524</c:v>
                </c:pt>
                <c:pt idx="17">
                  <c:v>39.494</c:v>
                </c:pt>
                <c:pt idx="25">
                  <c:v>0.43542704071591</c:v>
                </c:pt>
                <c:pt idx="26">
                  <c:v>0.0760069476430703</c:v>
                </c:pt>
                <c:pt idx="28">
                  <c:v>0.43542704071591</c:v>
                </c:pt>
                <c:pt idx="29">
                  <c:v>0.0760069476430703</c:v>
                </c:pt>
              </c:numCache>
            </c:numRef>
          </c:xVal>
          <c:yVal>
            <c:numRef>
              <c:f>Лист1!$Q$4:$Q$47</c:f>
              <c:numCache>
                <c:formatCode>0.00</c:formatCode>
                <c:ptCount val="44"/>
                <c:pt idx="0">
                  <c:v>33.26911999999998</c:v>
                </c:pt>
                <c:pt idx="1">
                  <c:v>33.06786</c:v>
                </c:pt>
                <c:pt idx="2">
                  <c:v>30.64846499999999</c:v>
                </c:pt>
                <c:pt idx="3">
                  <c:v>29.43987199999998</c:v>
                </c:pt>
                <c:pt idx="4">
                  <c:v>26.830545</c:v>
                </c:pt>
                <c:pt idx="5">
                  <c:v>23.70005699999999</c:v>
                </c:pt>
                <c:pt idx="6">
                  <c:v>20.30209999999998</c:v>
                </c:pt>
                <c:pt idx="7">
                  <c:v>16.452521</c:v>
                </c:pt>
                <c:pt idx="8">
                  <c:v>13.15669199999998</c:v>
                </c:pt>
                <c:pt idx="9">
                  <c:v>9.99706499999999</c:v>
                </c:pt>
                <c:pt idx="10">
                  <c:v>8.292096</c:v>
                </c:pt>
                <c:pt idx="11">
                  <c:v>5.95052100000001</c:v>
                </c:pt>
                <c:pt idx="12">
                  <c:v>4.801940000000002</c:v>
                </c:pt>
                <c:pt idx="13">
                  <c:v>3.984595999999996</c:v>
                </c:pt>
                <c:pt idx="14">
                  <c:v>3.476096000000013</c:v>
                </c:pt>
                <c:pt idx="15">
                  <c:v>3.05372100000001</c:v>
                </c:pt>
                <c:pt idx="16">
                  <c:v>2.750384999999994</c:v>
                </c:pt>
                <c:pt idx="17">
                  <c:v>2.296596000000008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88944"/>
        <c:axId val="-2139685440"/>
      </c:scatterChart>
      <c:valAx>
        <c:axId val="-2139688944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9685440"/>
        <c:crosses val="autoZero"/>
        <c:crossBetween val="midCat"/>
        <c:majorUnit val="10.0"/>
        <c:minorUnit val="2.0"/>
      </c:valAx>
      <c:valAx>
        <c:axId val="-21396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u="none" strike="noStrike" baseline="0">
                    <a:effectLst/>
                  </a:rPr>
                  <a:t>(τ²-τ0²), </a:t>
                </a:r>
                <a:r>
                  <a:rPr lang="ru-RU" sz="1200" b="0" i="0" u="none" strike="noStrike" baseline="0">
                    <a:effectLst/>
                  </a:rPr>
                  <a:t>мк</a:t>
                </a:r>
                <a:r>
                  <a:rPr lang="en-US" sz="1200" b="0" i="0" u="none" strike="noStrike" baseline="0">
                    <a:effectLst/>
                  </a:rPr>
                  <a:t>c² </a:t>
                </a:r>
                <a:endParaRPr lang="ru-RU" sz="1200" baseline="0"/>
              </a:p>
            </c:rich>
          </c:tx>
          <c:layout>
            <c:manualLayout>
              <c:xMode val="edge"/>
              <c:yMode val="edge"/>
              <c:x val="0.035303306503928"/>
              <c:y val="0.380221412436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9688944"/>
        <c:crosses val="autoZero"/>
        <c:crossBetween val="midCat"/>
        <c:majorUnit val="10.0"/>
        <c:min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161925</xdr:colOff>
      <xdr:row>3</xdr:row>
      <xdr:rowOff>71437</xdr:rowOff>
    </xdr:from>
    <xdr:to>
      <xdr:col>34</xdr:col>
      <xdr:colOff>85725</xdr:colOff>
      <xdr:row>22</xdr:row>
      <xdr:rowOff>9407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413927</xdr:colOff>
      <xdr:row>2</xdr:row>
      <xdr:rowOff>528637</xdr:rowOff>
    </xdr:from>
    <xdr:to>
      <xdr:col>43</xdr:col>
      <xdr:colOff>1</xdr:colOff>
      <xdr:row>20</xdr:row>
      <xdr:rowOff>37629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28</xdr:col>
      <xdr:colOff>394171</xdr:colOff>
      <xdr:row>20</xdr:row>
      <xdr:rowOff>191911</xdr:rowOff>
    </xdr:from>
    <xdr:ext cx="326179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0808245" y="4434652"/>
              <a:ext cx="3261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charset="0"/>
                      </a:rPr>
                      <m:t>𝑇</m:t>
                    </m:r>
                    <m:r>
                      <a:rPr lang="en-US" sz="1200" b="0" i="1">
                        <a:latin typeface="Cambria Math" charset="0"/>
                      </a:rPr>
                      <m:t>, ℃</m:t>
                    </m:r>
                  </m:oMath>
                </m:oMathPara>
              </a14:m>
              <a:endParaRPr lang="ru-RU" sz="12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0808245" y="4434652"/>
              <a:ext cx="3261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charset="0"/>
                </a:rPr>
                <a:t>𝑇, 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℃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23</xdr:col>
      <xdr:colOff>180408</xdr:colOff>
      <xdr:row>9</xdr:row>
      <xdr:rowOff>121435</xdr:rowOff>
    </xdr:from>
    <xdr:ext cx="292581" cy="8794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 rot="16200000">
              <a:off x="16914370" y="2587991"/>
              <a:ext cx="879472" cy="2925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bg-BG" sz="1200" i="1">
                          <a:latin typeface="Cambria Math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charset="0"/>
                        </a:rPr>
                        <m:t>1</m:t>
                      </m:r>
                    </m:num>
                    <m:den>
                      <m:sSup>
                        <m:sSupPr>
                          <m:ctrlPr>
                            <a:rPr lang="bg-BG" sz="120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</m:ctrlPr>
                        </m:sSupPr>
                        <m:e>
                          <m:r>
                            <a:rPr lang="bg-BG" sz="120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𝜏</m:t>
                          </m:r>
                        </m:e>
                        <m:sup>
                          <m:r>
                            <a:rPr lang="en-US" sz="1200" b="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2</m:t>
                          </m:r>
                        </m:sup>
                      </m:sSup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−</m:t>
                      </m:r>
                      <m:sSubSup>
                        <m:sSubSupPr>
                          <m:ctrlPr>
                            <a:rPr lang="en-US" sz="1200" b="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</m:ctrlPr>
                        </m:sSubSupPr>
                        <m:e>
                          <m:r>
                            <a:rPr lang="en-US" sz="1200" b="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𝜏</m:t>
                          </m:r>
                        </m:e>
                        <m:sub>
                          <m:r>
                            <a:rPr lang="en-US" sz="1200" b="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0</m:t>
                          </m:r>
                        </m:sub>
                        <m:sup>
                          <m:r>
                            <a:rPr lang="en-US" sz="1200" b="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2</m:t>
                          </m:r>
                        </m:sup>
                      </m:sSubSup>
                    </m:den>
                  </m:f>
                </m:oMath>
              </a14:m>
              <a:r>
                <a:rPr lang="en-US" sz="1200"/>
                <a:t>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200" b="0" i="1">
                          <a:latin typeface="Cambria Math" charset="0"/>
                        </a:rPr>
                      </m:ctrlPr>
                    </m:sSupPr>
                    <m:e>
                      <m:r>
                        <a:rPr lang="ru-RU" sz="1200" b="0" i="1">
                          <a:latin typeface="Cambria Math" charset="0"/>
                        </a:rPr>
                        <m:t>1/мкс</m:t>
                      </m:r>
                    </m:e>
                    <m:sup>
                      <m:r>
                        <a:rPr lang="ru-RU" sz="1200" b="0" i="1">
                          <a:latin typeface="Cambria Math" charset="0"/>
                        </a:rPr>
                        <m:t>2</m:t>
                      </m:r>
                    </m:sup>
                  </m:sSup>
                </m:oMath>
              </a14:m>
              <a:endParaRPr lang="ru-RU" sz="12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 rot="16200000">
              <a:off x="16914370" y="2587991"/>
              <a:ext cx="879472" cy="2925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charset="0"/>
                </a:rPr>
                <a:t>1</a:t>
              </a:r>
              <a:r>
                <a:rPr lang="bg-BG" sz="1200" b="0" i="0">
                  <a:latin typeface="Cambria Math" charset="0"/>
                </a:rPr>
                <a:t>/(</a:t>
              </a:r>
              <a:r>
                <a:rPr lang="bg-BG" sz="1200" i="0">
                  <a:latin typeface="Cambria Math" charset="0"/>
                  <a:ea typeface="Cambria Math" charset="0"/>
                  <a:cs typeface="Cambria Math" charset="0"/>
                </a:rPr>
                <a:t>𝜏^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2−𝜏_0^2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 )</a:t>
              </a:r>
              <a:r>
                <a:rPr lang="en-US" sz="1200"/>
                <a:t>, </a:t>
              </a:r>
              <a:r>
                <a:rPr lang="en-US" sz="1200" b="0" i="0">
                  <a:latin typeface="Cambria Math" charset="0"/>
                </a:rPr>
                <a:t>〖</a:t>
              </a:r>
              <a:r>
                <a:rPr lang="ru-RU" sz="1200" b="0" i="0">
                  <a:latin typeface="Cambria Math" charset="0"/>
                </a:rPr>
                <a:t>1/мкс</a:t>
              </a:r>
              <a:r>
                <a:rPr lang="en-US" sz="1200" b="0" i="0">
                  <a:latin typeface="Cambria Math" charset="0"/>
                </a:rPr>
                <a:t>〗^</a:t>
              </a:r>
              <a:r>
                <a:rPr lang="ru-RU" sz="1200" b="0" i="0">
                  <a:latin typeface="Cambria Math" charset="0"/>
                </a:rPr>
                <a:t>2</a:t>
              </a:r>
              <a:endParaRPr lang="ru-RU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43"/>
  <sheetViews>
    <sheetView showGridLines="0" tabSelected="1" topLeftCell="V1" zoomScale="135" workbookViewId="0">
      <selection activeCell="AA3" sqref="AA3"/>
    </sheetView>
  </sheetViews>
  <sheetFormatPr baseColWidth="10" defaultColWidth="8.83203125" defaultRowHeight="15" x14ac:dyDescent="0.2"/>
  <cols>
    <col min="14" max="14" width="9.6640625" customWidth="1"/>
    <col min="15" max="15" width="12.1640625" customWidth="1"/>
    <col min="19" max="19" width="7.33203125" customWidth="1"/>
    <col min="20" max="20" width="12.6640625" customWidth="1"/>
    <col min="21" max="21" width="12" bestFit="1" customWidth="1"/>
    <col min="22" max="22" width="14" customWidth="1"/>
    <col min="23" max="23" width="13.5" customWidth="1"/>
  </cols>
  <sheetData>
    <row r="2" spans="2:21" ht="16" thickBot="1" x14ac:dyDescent="0.25"/>
    <row r="3" spans="2:21" ht="51" customHeight="1" thickBot="1" x14ac:dyDescent="0.25">
      <c r="B3" s="1" t="s">
        <v>4</v>
      </c>
      <c r="C3">
        <v>0.5</v>
      </c>
      <c r="E3" t="s">
        <v>2</v>
      </c>
      <c r="F3">
        <f>C3/C4</f>
        <v>2.0833333333333332E-2</v>
      </c>
      <c r="I3" s="16" t="s">
        <v>19</v>
      </c>
      <c r="J3" s="17" t="s">
        <v>25</v>
      </c>
      <c r="K3" s="17" t="s">
        <v>33</v>
      </c>
      <c r="L3" s="17" t="s">
        <v>3</v>
      </c>
      <c r="M3" s="18" t="s">
        <v>0</v>
      </c>
      <c r="N3" s="18" t="s">
        <v>26</v>
      </c>
      <c r="O3" s="19" t="s">
        <v>27</v>
      </c>
      <c r="Q3" t="s">
        <v>23</v>
      </c>
      <c r="R3" t="s">
        <v>28</v>
      </c>
    </row>
    <row r="4" spans="2:21" x14ac:dyDescent="0.2">
      <c r="B4" t="s">
        <v>1</v>
      </c>
      <c r="C4">
        <v>24</v>
      </c>
      <c r="I4" s="12">
        <v>10.068</v>
      </c>
      <c r="J4" s="13">
        <v>1.4999999999999999E-2</v>
      </c>
      <c r="K4" s="14">
        <v>14.69</v>
      </c>
      <c r="L4" s="14">
        <f>K4-J4*C$4</f>
        <v>14.33</v>
      </c>
      <c r="M4" s="14">
        <f>(F$10/J4+F$8/K4)*L4</f>
        <v>0.48254413433174498</v>
      </c>
      <c r="N4" s="14">
        <f>1/(I4*I4-C$6*C$6)</f>
        <v>3.0057903545389852E-2</v>
      </c>
      <c r="O4" s="15">
        <f>F$12/I4*2*N4*1000</f>
        <v>2.9854890291408274E-2</v>
      </c>
      <c r="Q4" s="2">
        <f>1/N4</f>
        <v>33.269119999999987</v>
      </c>
      <c r="R4" s="3">
        <f>F$12/I4*2*Q4</f>
        <v>3.304441795788636E-2</v>
      </c>
      <c r="U4">
        <f>O4/1000</f>
        <v>2.9854890291408276E-5</v>
      </c>
    </row>
    <row r="5" spans="2:21" x14ac:dyDescent="0.2">
      <c r="I5" s="6">
        <v>10.058</v>
      </c>
      <c r="J5" s="5">
        <v>0.02</v>
      </c>
      <c r="K5" s="4">
        <v>15</v>
      </c>
      <c r="L5" s="4">
        <f t="shared" ref="L5:L21" si="0">K5-J5*C$4</f>
        <v>14.52</v>
      </c>
      <c r="M5" s="4">
        <f>(F$10/J5+F$8/K5)*L5</f>
        <v>0.36784000000000006</v>
      </c>
      <c r="N5" s="4">
        <f t="shared" ref="N5:N17" si="1">1/(I5*I5-C$6*C$6)</f>
        <v>3.0240844130826734E-2</v>
      </c>
      <c r="O5" s="7">
        <f t="shared" ref="O5:O21" si="2">F$12/I5*2*N5*1000</f>
        <v>3.0066458670537619E-2</v>
      </c>
      <c r="Q5" s="2">
        <f t="shared" ref="Q5:Q21" si="3">1/N5</f>
        <v>33.067859999999996</v>
      </c>
      <c r="R5" s="3">
        <f t="shared" ref="R5:R21" si="4">F$12/I5*2*Q5</f>
        <v>3.2877172400079535E-2</v>
      </c>
      <c r="U5">
        <f t="shared" ref="U5:U21" si="5">O5/1000</f>
        <v>3.006645867053762E-5</v>
      </c>
    </row>
    <row r="6" spans="2:21" x14ac:dyDescent="0.2">
      <c r="B6" t="s">
        <v>18</v>
      </c>
      <c r="C6">
        <v>8.2520000000000007</v>
      </c>
      <c r="I6" s="6">
        <v>9.9369999999999994</v>
      </c>
      <c r="J6" s="5">
        <v>1.7000000000000001E-2</v>
      </c>
      <c r="K6" s="4">
        <v>16.52</v>
      </c>
      <c r="L6" s="4">
        <f t="shared" si="0"/>
        <v>16.111999999999998</v>
      </c>
      <c r="M6" s="4">
        <f t="shared" ref="M6:M17" si="6">(F$10/J6+F$8/K6)*L6</f>
        <v>0.47875886625836767</v>
      </c>
      <c r="N6" s="4">
        <f t="shared" si="1"/>
        <v>3.2628061470615262E-2</v>
      </c>
      <c r="O6" s="7">
        <f t="shared" si="2"/>
        <v>3.2834921475913513E-2</v>
      </c>
      <c r="Q6" s="2">
        <f t="shared" si="3"/>
        <v>30.648464999999987</v>
      </c>
      <c r="R6" s="3">
        <f t="shared" si="4"/>
        <v>3.0842774479219067E-2</v>
      </c>
      <c r="U6">
        <f t="shared" si="5"/>
        <v>3.2834921475913515E-5</v>
      </c>
    </row>
    <row r="7" spans="2:21" x14ac:dyDescent="0.2">
      <c r="I7" s="6">
        <v>9.8759999999999994</v>
      </c>
      <c r="J7" s="5">
        <v>1.7000000000000001E-2</v>
      </c>
      <c r="K7" s="4">
        <v>17.149999999999999</v>
      </c>
      <c r="L7" s="4">
        <f t="shared" si="0"/>
        <v>16.741999999999997</v>
      </c>
      <c r="M7" s="4">
        <f t="shared" si="6"/>
        <v>0.49729281426856453</v>
      </c>
      <c r="N7" s="4">
        <f t="shared" si="1"/>
        <v>3.3967538989299974E-2</v>
      </c>
      <c r="O7" s="7">
        <f t="shared" si="2"/>
        <v>3.4394024898035613E-2</v>
      </c>
      <c r="Q7" s="2">
        <f t="shared" si="3"/>
        <v>29.439871999999983</v>
      </c>
      <c r="R7" s="3">
        <f t="shared" si="4"/>
        <v>2.9809509923045752E-2</v>
      </c>
      <c r="U7">
        <f t="shared" si="5"/>
        <v>3.4394024898035615E-5</v>
      </c>
    </row>
    <row r="8" spans="2:21" x14ac:dyDescent="0.2">
      <c r="E8" t="s">
        <v>5</v>
      </c>
      <c r="F8">
        <v>5.0000000000000001E-3</v>
      </c>
      <c r="I8" s="6">
        <v>9.7430000000000003</v>
      </c>
      <c r="J8" s="5">
        <v>1.7000000000000001E-2</v>
      </c>
      <c r="K8" s="4">
        <v>18.2</v>
      </c>
      <c r="L8" s="4">
        <f t="shared" si="0"/>
        <v>17.791999999999998</v>
      </c>
      <c r="M8" s="4">
        <f t="shared" si="6"/>
        <v>0.52818202973497086</v>
      </c>
      <c r="N8" s="4">
        <f t="shared" si="1"/>
        <v>3.7270953683572208E-2</v>
      </c>
      <c r="O8" s="7">
        <f t="shared" si="2"/>
        <v>3.825408363293873E-2</v>
      </c>
      <c r="Q8" s="2">
        <f t="shared" si="3"/>
        <v>26.830545000000004</v>
      </c>
      <c r="R8" s="3">
        <f t="shared" si="4"/>
        <v>2.7538278764241E-2</v>
      </c>
      <c r="U8">
        <f t="shared" si="5"/>
        <v>3.8254083632938733E-5</v>
      </c>
    </row>
    <row r="9" spans="2:21" x14ac:dyDescent="0.2">
      <c r="I9" s="6">
        <v>9.5809999999999995</v>
      </c>
      <c r="J9" s="5">
        <v>1.4E-2</v>
      </c>
      <c r="K9" s="4">
        <v>19.170000000000002</v>
      </c>
      <c r="L9" s="4">
        <f t="shared" si="0"/>
        <v>18.834000000000003</v>
      </c>
      <c r="M9" s="4">
        <f t="shared" si="6"/>
        <v>0.67755522021014991</v>
      </c>
      <c r="N9" s="4">
        <f t="shared" si="1"/>
        <v>4.2193991347784544E-2</v>
      </c>
      <c r="O9" s="7">
        <f t="shared" si="2"/>
        <v>4.4039235307154312E-2</v>
      </c>
      <c r="Q9" s="2">
        <f t="shared" si="3"/>
        <v>23.700056999999987</v>
      </c>
      <c r="R9" s="3">
        <f t="shared" si="4"/>
        <v>2.4736517065024513E-2</v>
      </c>
      <c r="U9">
        <f t="shared" si="5"/>
        <v>4.4039235307154312E-5</v>
      </c>
    </row>
    <row r="10" spans="2:21" x14ac:dyDescent="0.2">
      <c r="E10" t="s">
        <v>6</v>
      </c>
      <c r="F10">
        <v>5.0000000000000001E-4</v>
      </c>
      <c r="I10" s="6">
        <v>9.4019999999999992</v>
      </c>
      <c r="J10" s="5">
        <v>1.7000000000000001E-2</v>
      </c>
      <c r="K10" s="4">
        <v>20.11</v>
      </c>
      <c r="L10" s="4">
        <f t="shared" si="0"/>
        <v>19.701999999999998</v>
      </c>
      <c r="M10" s="4">
        <f t="shared" si="6"/>
        <v>0.58436914616667146</v>
      </c>
      <c r="N10" s="4">
        <f t="shared" si="1"/>
        <v>4.9255988296777228E-2</v>
      </c>
      <c r="O10" s="7">
        <f t="shared" si="2"/>
        <v>5.238884098785071E-2</v>
      </c>
      <c r="Q10" s="2">
        <f t="shared" si="3"/>
        <v>20.302099999999982</v>
      </c>
      <c r="R10" s="3">
        <f t="shared" si="4"/>
        <v>2.1593384386300773E-2</v>
      </c>
      <c r="U10">
        <f t="shared" si="5"/>
        <v>5.2388840987850709E-5</v>
      </c>
    </row>
    <row r="11" spans="2:21" x14ac:dyDescent="0.2">
      <c r="I11" s="6">
        <v>9.1950000000000003</v>
      </c>
      <c r="J11" s="5">
        <v>1.6E-2</v>
      </c>
      <c r="K11" s="4">
        <v>21.1</v>
      </c>
      <c r="L11" s="4">
        <f t="shared" si="0"/>
        <v>20.716000000000001</v>
      </c>
      <c r="M11" s="4">
        <f t="shared" si="6"/>
        <v>0.65228400473933656</v>
      </c>
      <c r="N11" s="4">
        <f t="shared" si="1"/>
        <v>6.0780958735746314E-2</v>
      </c>
      <c r="O11" s="7">
        <f t="shared" si="2"/>
        <v>6.6102184595700178E-2</v>
      </c>
      <c r="Q11" s="2">
        <f t="shared" si="3"/>
        <v>16.452521000000004</v>
      </c>
      <c r="R11" s="3">
        <f t="shared" si="4"/>
        <v>1.7892899401848836E-2</v>
      </c>
      <c r="U11">
        <f t="shared" si="5"/>
        <v>6.6102184595700174E-5</v>
      </c>
    </row>
    <row r="12" spans="2:21" x14ac:dyDescent="0.2">
      <c r="E12" t="s">
        <v>7</v>
      </c>
      <c r="F12">
        <v>5.0000000000000001E-3</v>
      </c>
      <c r="I12" s="6">
        <v>9.0139999999999993</v>
      </c>
      <c r="J12" s="5">
        <v>1.7999999999999999E-2</v>
      </c>
      <c r="K12" s="4">
        <v>22.08</v>
      </c>
      <c r="L12" s="4">
        <f t="shared" si="0"/>
        <v>21.648</v>
      </c>
      <c r="M12" s="4">
        <f t="shared" si="6"/>
        <v>0.60623550724637687</v>
      </c>
      <c r="N12" s="4">
        <f t="shared" si="1"/>
        <v>7.6006947643070283E-2</v>
      </c>
      <c r="O12" s="7">
        <f t="shared" si="2"/>
        <v>8.432099805088783E-2</v>
      </c>
      <c r="Q12" s="2">
        <f t="shared" si="3"/>
        <v>13.156691999999978</v>
      </c>
      <c r="R12" s="3">
        <f t="shared" si="4"/>
        <v>1.4595842023518948E-2</v>
      </c>
      <c r="U12">
        <f t="shared" si="5"/>
        <v>8.4320998050887831E-5</v>
      </c>
    </row>
    <row r="13" spans="2:21" x14ac:dyDescent="0.2">
      <c r="I13" s="6">
        <v>8.8369999999999997</v>
      </c>
      <c r="J13" s="5">
        <v>1.2E-2</v>
      </c>
      <c r="K13" s="4">
        <v>23.06</v>
      </c>
      <c r="L13" s="4">
        <f t="shared" si="0"/>
        <v>22.771999999999998</v>
      </c>
      <c r="M13" s="4">
        <f t="shared" si="6"/>
        <v>0.95377088753975126</v>
      </c>
      <c r="N13" s="4">
        <f t="shared" si="1"/>
        <v>0.10002935861675409</v>
      </c>
      <c r="O13" s="7">
        <f t="shared" si="2"/>
        <v>0.11319379723520889</v>
      </c>
      <c r="Q13" s="2">
        <f t="shared" si="3"/>
        <v>9.9970649999999921</v>
      </c>
      <c r="R13" s="3">
        <f t="shared" si="4"/>
        <v>1.1312736222700003E-2</v>
      </c>
      <c r="U13">
        <f t="shared" si="5"/>
        <v>1.1319379723520889E-4</v>
      </c>
    </row>
    <row r="14" spans="2:21" x14ac:dyDescent="0.2">
      <c r="I14" s="6">
        <v>8.74</v>
      </c>
      <c r="J14" s="5">
        <v>1.6E-2</v>
      </c>
      <c r="K14" s="4">
        <v>24.06</v>
      </c>
      <c r="L14" s="4">
        <f t="shared" si="0"/>
        <v>23.675999999999998</v>
      </c>
      <c r="M14" s="4">
        <f t="shared" si="6"/>
        <v>0.74479519950124684</v>
      </c>
      <c r="N14" s="4">
        <f t="shared" si="1"/>
        <v>0.12059677070791268</v>
      </c>
      <c r="O14" s="7">
        <f t="shared" si="2"/>
        <v>0.13798257518067814</v>
      </c>
      <c r="Q14" s="2">
        <f t="shared" si="3"/>
        <v>8.2920960000000008</v>
      </c>
      <c r="R14" s="3">
        <f t="shared" si="4"/>
        <v>9.4875240274599551E-3</v>
      </c>
      <c r="U14">
        <f t="shared" si="5"/>
        <v>1.3798257518067813E-4</v>
      </c>
    </row>
    <row r="15" spans="2:21" x14ac:dyDescent="0.2">
      <c r="I15" s="6">
        <v>8.6050000000000004</v>
      </c>
      <c r="J15" s="5">
        <v>1.0999999999999999E-2</v>
      </c>
      <c r="K15" s="4">
        <v>26.06</v>
      </c>
      <c r="L15" s="4">
        <f t="shared" si="0"/>
        <v>25.795999999999999</v>
      </c>
      <c r="M15" s="4">
        <f t="shared" si="6"/>
        <v>1.1774948022047025</v>
      </c>
      <c r="N15" s="4">
        <f t="shared" si="1"/>
        <v>0.16805251170443705</v>
      </c>
      <c r="O15" s="7">
        <f t="shared" si="2"/>
        <v>0.19529635293949685</v>
      </c>
      <c r="Q15" s="2">
        <f t="shared" si="3"/>
        <v>5.9505210000000091</v>
      </c>
      <c r="R15" s="3">
        <f t="shared" si="4"/>
        <v>6.9151900058105854E-3</v>
      </c>
      <c r="U15">
        <f t="shared" si="5"/>
        <v>1.9529635293949685E-4</v>
      </c>
    </row>
    <row r="16" spans="2:21" x14ac:dyDescent="0.2">
      <c r="I16" s="6">
        <v>8.5380000000000003</v>
      </c>
      <c r="J16" s="5">
        <v>1.4999999999999999E-2</v>
      </c>
      <c r="K16" s="4">
        <v>28.04</v>
      </c>
      <c r="L16" s="4">
        <f t="shared" si="0"/>
        <v>27.68</v>
      </c>
      <c r="M16" s="4">
        <f t="shared" si="6"/>
        <v>0.92760247265810736</v>
      </c>
      <c r="N16" s="4">
        <f>1/(I16*I16-C$6*C$6)</f>
        <v>0.20824916596209023</v>
      </c>
      <c r="O16" s="7">
        <f t="shared" si="2"/>
        <v>0.24390860384409724</v>
      </c>
      <c r="Q16" s="2">
        <f t="shared" si="3"/>
        <v>4.8019400000000019</v>
      </c>
      <c r="R16" s="3">
        <f t="shared" si="4"/>
        <v>5.6241977043804195E-3</v>
      </c>
      <c r="U16">
        <f t="shared" si="5"/>
        <v>2.4390860384409724E-4</v>
      </c>
    </row>
    <row r="17" spans="2:30" x14ac:dyDescent="0.2">
      <c r="I17" s="6">
        <v>8.49</v>
      </c>
      <c r="J17" s="5">
        <v>1.2999999999999999E-2</v>
      </c>
      <c r="K17" s="4">
        <v>30.02</v>
      </c>
      <c r="L17" s="4">
        <f t="shared" si="0"/>
        <v>29.707999999999998</v>
      </c>
      <c r="M17" s="4">
        <f t="shared" si="6"/>
        <v>1.1475634192589557</v>
      </c>
      <c r="N17" s="4">
        <f t="shared" si="1"/>
        <v>0.25096647188322252</v>
      </c>
      <c r="O17" s="7">
        <f t="shared" si="2"/>
        <v>0.29560244038070965</v>
      </c>
      <c r="Q17" s="2">
        <f t="shared" si="3"/>
        <v>3.9845959999999963</v>
      </c>
      <c r="R17" s="3">
        <f t="shared" si="4"/>
        <v>4.693281507656061E-3</v>
      </c>
      <c r="U17">
        <f t="shared" si="5"/>
        <v>2.9560244038070966E-4</v>
      </c>
    </row>
    <row r="18" spans="2:30" x14ac:dyDescent="0.2">
      <c r="B18" t="s">
        <v>24</v>
      </c>
      <c r="I18" s="6">
        <v>8.4600000000000009</v>
      </c>
      <c r="J18" s="5">
        <v>1.9E-2</v>
      </c>
      <c r="K18" s="4">
        <v>32.01</v>
      </c>
      <c r="L18" s="4">
        <f t="shared" si="0"/>
        <v>31.553999999999998</v>
      </c>
      <c r="M18" s="4">
        <f t="shared" ref="M18" si="7">(F$10/J18+F$8/K18)*L18</f>
        <v>0.83529719331130081</v>
      </c>
      <c r="N18" s="4">
        <f t="shared" ref="N18" si="8">1/(I18*I18-C$6*C$6)</f>
        <v>0.28767905144161621</v>
      </c>
      <c r="O18" s="7">
        <f t="shared" si="2"/>
        <v>0.34004616009647309</v>
      </c>
      <c r="Q18" s="2">
        <f t="shared" si="3"/>
        <v>3.476096000000013</v>
      </c>
      <c r="R18" s="3">
        <f t="shared" si="4"/>
        <v>4.1088605200945783E-3</v>
      </c>
      <c r="U18">
        <f t="shared" si="5"/>
        <v>3.4004616009647307E-4</v>
      </c>
    </row>
    <row r="19" spans="2:30" x14ac:dyDescent="0.2">
      <c r="I19" s="6">
        <v>8.4350000000000005</v>
      </c>
      <c r="J19" s="5">
        <v>1.9E-2</v>
      </c>
      <c r="K19" s="4">
        <v>34</v>
      </c>
      <c r="L19" s="4">
        <f t="shared" si="0"/>
        <v>33.543999999999997</v>
      </c>
      <c r="M19" s="4">
        <f t="shared" ref="M19:M21" si="9">(F$10/J19+F$8/K19)*L19</f>
        <v>0.88766978328173374</v>
      </c>
      <c r="N19" s="4">
        <f t="shared" ref="N19:N21" si="10">1/(I19*I19-C$6*C$6)</f>
        <v>0.32746933986438076</v>
      </c>
      <c r="O19" s="7">
        <f t="shared" si="2"/>
        <v>0.38822684038456517</v>
      </c>
      <c r="Q19" s="2">
        <f t="shared" si="3"/>
        <v>3.0537210000000101</v>
      </c>
      <c r="R19" s="3">
        <f t="shared" si="4"/>
        <v>3.6202975696502785E-3</v>
      </c>
      <c r="U19">
        <f t="shared" si="5"/>
        <v>3.8822684038456519E-4</v>
      </c>
    </row>
    <row r="20" spans="2:30" x14ac:dyDescent="0.2">
      <c r="I20" s="6">
        <v>8.4169999999999998</v>
      </c>
      <c r="J20" s="5">
        <v>1.9E-2</v>
      </c>
      <c r="K20" s="4">
        <v>35.979999999999997</v>
      </c>
      <c r="L20" s="4">
        <f t="shared" si="0"/>
        <v>35.523999999999994</v>
      </c>
      <c r="M20" s="4">
        <f t="shared" si="9"/>
        <v>0.93977873672508105</v>
      </c>
      <c r="N20" s="4">
        <f t="shared" si="10"/>
        <v>0.36358546167173034</v>
      </c>
      <c r="O20" s="7">
        <f t="shared" si="2"/>
        <v>0.43196561918941473</v>
      </c>
      <c r="Q20" s="2">
        <f t="shared" si="3"/>
        <v>2.7503849999999943</v>
      </c>
      <c r="R20" s="3">
        <f t="shared" si="4"/>
        <v>3.2676547463466729E-3</v>
      </c>
      <c r="U20">
        <f t="shared" si="5"/>
        <v>4.3196561918941472E-4</v>
      </c>
    </row>
    <row r="21" spans="2:30" ht="16" thickBot="1" x14ac:dyDescent="0.25">
      <c r="I21" s="8">
        <v>8.39</v>
      </c>
      <c r="J21" s="9">
        <v>1.9E-2</v>
      </c>
      <c r="K21" s="10">
        <v>39.950000000000003</v>
      </c>
      <c r="L21" s="10">
        <f t="shared" si="0"/>
        <v>39.494</v>
      </c>
      <c r="M21" s="10">
        <f t="shared" si="9"/>
        <v>1.0442587181345104</v>
      </c>
      <c r="N21" s="10">
        <f t="shared" si="10"/>
        <v>0.43542704071591021</v>
      </c>
      <c r="O21" s="11">
        <f t="shared" si="2"/>
        <v>0.51898336199750916</v>
      </c>
      <c r="Q21" s="2">
        <f t="shared" si="3"/>
        <v>2.2965960000000081</v>
      </c>
      <c r="R21" s="3">
        <f t="shared" si="4"/>
        <v>2.7373015494636566E-3</v>
      </c>
      <c r="U21">
        <f t="shared" si="5"/>
        <v>5.1898336199750921E-4</v>
      </c>
    </row>
    <row r="23" spans="2:30" x14ac:dyDescent="0.2">
      <c r="T23" t="s">
        <v>8</v>
      </c>
      <c r="U23">
        <f>FORECAST(0,L11:L21,N11:N21)</f>
        <v>17.692113682557192</v>
      </c>
      <c r="W23">
        <v>0</v>
      </c>
    </row>
    <row r="27" spans="2:30" ht="16" thickBot="1" x14ac:dyDescent="0.25">
      <c r="U27" s="34" t="s">
        <v>9</v>
      </c>
      <c r="V27" s="34"/>
      <c r="W27" s="34"/>
    </row>
    <row r="28" spans="2:30" ht="39" customHeight="1" thickBot="1" x14ac:dyDescent="0.25">
      <c r="K28" t="s">
        <v>29</v>
      </c>
      <c r="U28" s="16" t="s">
        <v>10</v>
      </c>
      <c r="V28" s="18" t="s">
        <v>21</v>
      </c>
      <c r="W28" s="19" t="s">
        <v>20</v>
      </c>
    </row>
    <row r="29" spans="2:30" x14ac:dyDescent="0.2">
      <c r="K29" s="2">
        <f>L21+M21</f>
        <v>40.538258718134507</v>
      </c>
      <c r="L29" s="2">
        <f>N21</f>
        <v>0.43542704071591021</v>
      </c>
      <c r="U29" s="12">
        <f t="shared" ref="U29:U39" si="11">L11*L11</f>
        <v>429.15265600000004</v>
      </c>
      <c r="V29" s="14">
        <f t="shared" ref="V29:V39" si="12">L11*N11</f>
        <v>1.2591383411697208</v>
      </c>
      <c r="W29" s="15">
        <f t="shared" ref="W29:W39" si="13">N11*N11</f>
        <v>3.6943249448364961E-3</v>
      </c>
    </row>
    <row r="30" spans="2:30" x14ac:dyDescent="0.2">
      <c r="K30" s="2">
        <f>L12-M12</f>
        <v>21.041764492753622</v>
      </c>
      <c r="L30" s="2">
        <f>N12</f>
        <v>7.6006947643070283E-2</v>
      </c>
      <c r="U30" s="6">
        <f t="shared" si="11"/>
        <v>468.63590399999998</v>
      </c>
      <c r="V30" s="4">
        <f t="shared" si="12"/>
        <v>1.6453984025771855</v>
      </c>
      <c r="W30" s="7">
        <f t="shared" si="13"/>
        <v>5.7770560900164275E-3</v>
      </c>
    </row>
    <row r="31" spans="2:30" x14ac:dyDescent="0.2">
      <c r="U31" s="6">
        <f t="shared" si="11"/>
        <v>518.56398399999989</v>
      </c>
      <c r="V31" s="4">
        <f t="shared" si="12"/>
        <v>2.2778685544207242</v>
      </c>
      <c r="W31" s="7">
        <f t="shared" si="13"/>
        <v>1.0005872585279196E-2</v>
      </c>
      <c r="Y31" s="30" t="s">
        <v>12</v>
      </c>
      <c r="Z31" s="30" t="s">
        <v>13</v>
      </c>
      <c r="AA31" s="30" t="s">
        <v>31</v>
      </c>
      <c r="AB31" s="30" t="s">
        <v>32</v>
      </c>
      <c r="AC31" s="30" t="s">
        <v>30</v>
      </c>
      <c r="AD31" s="30" t="s">
        <v>14</v>
      </c>
    </row>
    <row r="32" spans="2:30" ht="16" thickBot="1" x14ac:dyDescent="0.25">
      <c r="K32" s="2">
        <f>L21-M21</f>
        <v>38.449741281865492</v>
      </c>
      <c r="L32" s="2">
        <f>L29</f>
        <v>0.43542704071591021</v>
      </c>
      <c r="U32" s="6">
        <f t="shared" si="11"/>
        <v>560.55297599999994</v>
      </c>
      <c r="V32" s="4">
        <f t="shared" si="12"/>
        <v>2.8552491432805405</v>
      </c>
      <c r="W32" s="7">
        <f t="shared" si="13"/>
        <v>1.4543581105176865E-2</v>
      </c>
      <c r="Y32" s="21">
        <f>(V40-U41*W41)/(U40-U41*U41)</f>
        <v>2.0386404111334567E-2</v>
      </c>
      <c r="Z32" s="21">
        <f>W41-Y32*U41</f>
        <v>-0.36036348009545305</v>
      </c>
      <c r="AA32" s="31">
        <f>SQRT(((W40-W41*W41)/(U40-U41*U41)-Y32*Y32)/11)</f>
        <v>2.3381761104054362E-4</v>
      </c>
      <c r="AB32" s="31">
        <f>(0.0221925821937656-0.018435113970641)/2</f>
        <v>1.8787341115622993E-3</v>
      </c>
      <c r="AC32" s="31">
        <f>SQRT(AB32*AB32+AA32*AA32)</f>
        <v>1.8932280732073695E-3</v>
      </c>
      <c r="AD32" s="4">
        <f>AC32*U41</f>
        <v>5.371810912589986E-2</v>
      </c>
    </row>
    <row r="33" spans="11:35" x14ac:dyDescent="0.2">
      <c r="K33" s="2">
        <f>L12+M12</f>
        <v>22.254235507246378</v>
      </c>
      <c r="L33" s="2">
        <f>L30</f>
        <v>7.6006947643070283E-2</v>
      </c>
      <c r="U33" s="6">
        <f t="shared" si="11"/>
        <v>665.43361599999992</v>
      </c>
      <c r="V33" s="4">
        <f t="shared" si="12"/>
        <v>4.3350825919276579</v>
      </c>
      <c r="W33" s="7">
        <f t="shared" si="13"/>
        <v>2.8241646690169951E-2</v>
      </c>
      <c r="Y33" s="32" t="s">
        <v>15</v>
      </c>
      <c r="Z33" s="33" t="s">
        <v>16</v>
      </c>
    </row>
    <row r="34" spans="11:35" ht="16" thickBot="1" x14ac:dyDescent="0.25">
      <c r="U34" s="6">
        <f t="shared" si="11"/>
        <v>766.18240000000003</v>
      </c>
      <c r="V34" s="4">
        <f t="shared" si="12"/>
        <v>5.7643369138306575</v>
      </c>
      <c r="W34" s="7">
        <f t="shared" si="13"/>
        <v>4.3367715123906199E-2</v>
      </c>
      <c r="Y34" s="8">
        <f>-Z32/Y32</f>
        <v>17.67665735101836</v>
      </c>
      <c r="Z34" s="11">
        <f>(-AD32/Z32+AC32/Y32)*Y34</f>
        <v>4.2765782816422284</v>
      </c>
      <c r="AH34" t="s">
        <v>17</v>
      </c>
      <c r="AI34">
        <f>290-273</f>
        <v>17</v>
      </c>
    </row>
    <row r="35" spans="11:35" x14ac:dyDescent="0.2">
      <c r="U35" s="6">
        <f t="shared" si="11"/>
        <v>882.56526399999996</v>
      </c>
      <c r="V35" s="4">
        <f t="shared" si="12"/>
        <v>7.4557119467067743</v>
      </c>
      <c r="W35" s="7">
        <f t="shared" si="13"/>
        <v>6.2984170009512314E-2</v>
      </c>
    </row>
    <row r="36" spans="11:35" x14ac:dyDescent="0.2">
      <c r="U36" s="6">
        <f t="shared" si="11"/>
        <v>995.65491599999996</v>
      </c>
      <c r="V36" s="4">
        <f t="shared" si="12"/>
        <v>9.0774247891887576</v>
      </c>
      <c r="W36" s="7">
        <f t="shared" si="13"/>
        <v>8.2759236638348069E-2</v>
      </c>
    </row>
    <row r="37" spans="11:35" x14ac:dyDescent="0.2">
      <c r="U37" s="6">
        <f t="shared" si="11"/>
        <v>1125.1999359999998</v>
      </c>
      <c r="V37" s="4">
        <f t="shared" si="12"/>
        <v>10.984631536410788</v>
      </c>
      <c r="W37" s="7">
        <f t="shared" si="13"/>
        <v>0.10723616855121332</v>
      </c>
    </row>
    <row r="38" spans="11:35" x14ac:dyDescent="0.2">
      <c r="U38" s="6">
        <f t="shared" si="11"/>
        <v>1261.9545759999996</v>
      </c>
      <c r="V38" s="4">
        <f t="shared" si="12"/>
        <v>12.916009940426546</v>
      </c>
      <c r="W38" s="7">
        <f t="shared" si="13"/>
        <v>0.13219438793904528</v>
      </c>
    </row>
    <row r="39" spans="11:35" ht="16" thickBot="1" x14ac:dyDescent="0.25">
      <c r="U39" s="20">
        <f t="shared" si="11"/>
        <v>1559.776036</v>
      </c>
      <c r="V39" s="21">
        <f t="shared" si="12"/>
        <v>17.196755546034158</v>
      </c>
      <c r="W39" s="22">
        <f t="shared" si="13"/>
        <v>0.18959670778661492</v>
      </c>
    </row>
    <row r="40" spans="11:35" x14ac:dyDescent="0.2">
      <c r="T40" s="23" t="s">
        <v>11</v>
      </c>
      <c r="U40" s="24">
        <f>AVERAGE(U29:U39)</f>
        <v>839.42475127272712</v>
      </c>
      <c r="V40" s="29">
        <f>AVERAGE(V29:V39)</f>
        <v>6.8879643369066823</v>
      </c>
      <c r="W40" s="25">
        <f>AVERAGE(W29:W39)</f>
        <v>6.185462431491992E-2</v>
      </c>
    </row>
    <row r="41" spans="11:35" ht="32.25" customHeight="1" thickBot="1" x14ac:dyDescent="0.25">
      <c r="T41" s="26" t="s">
        <v>34</v>
      </c>
      <c r="U41" s="27">
        <f>AVERAGE(L11:L21)</f>
        <v>28.37381818181818</v>
      </c>
      <c r="V41" s="21"/>
      <c r="W41" s="28">
        <f>AVERAGE(N11:N21)</f>
        <v>0.21807664354062462</v>
      </c>
    </row>
    <row r="43" spans="11:35" x14ac:dyDescent="0.2">
      <c r="AA43" t="s">
        <v>22</v>
      </c>
    </row>
  </sheetData>
  <mergeCells count="1">
    <mergeCell ref="U27:W27"/>
  </mergeCells>
  <pageMargins left="0.7" right="0.7" top="0.75" bottom="0.75" header="0.3" footer="0.3"/>
  <pageSetup paperSize="9" orientation="portrait" r:id="rId1"/>
  <ignoredErrors>
    <ignoredError sqref="V2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Наташа</dc:creator>
  <cp:lastModifiedBy>User</cp:lastModifiedBy>
  <dcterms:created xsi:type="dcterms:W3CDTF">2016-09-09T14:06:48Z</dcterms:created>
  <dcterms:modified xsi:type="dcterms:W3CDTF">2016-09-16T10:13:35Z</dcterms:modified>
</cp:coreProperties>
</file>