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filterPrivacy="1" defaultThemeVersion="166925"/>
  <xr:revisionPtr revIDLastSave="0" documentId="13_ncr:1_{4DCEF573-26F9-420D-9F9B-33FE57366185}" xr6:coauthVersionLast="47" xr6:coauthVersionMax="47" xr10:uidLastSave="{00000000-0000-0000-0000-000000000000}"/>
  <bookViews>
    <workbookView xWindow="-108" yWindow="-108" windowWidth="23256" windowHeight="12576" xr2:uid="{4A3FCB8F-A219-4C90-834B-2FA46928C71A}"/>
  </bookViews>
  <sheets>
    <sheet name="Assumptions" sheetId="10" r:id="rId1"/>
    <sheet name="Income Statement" sheetId="6" r:id="rId2"/>
    <sheet name="Balance Sheet" sheetId="7" r:id="rId3"/>
    <sheet name="Cash Flow " sheetId="9" r:id="rId4"/>
    <sheet name="Summary" sheetId="1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3" l="1"/>
  <c r="C1" i="9"/>
  <c r="D1" i="9"/>
  <c r="E1" i="9"/>
  <c r="F1" i="9"/>
  <c r="B1" i="9"/>
  <c r="C2" i="7"/>
  <c r="D2" i="7"/>
  <c r="E2" i="7"/>
  <c r="F2" i="7"/>
  <c r="B2" i="7"/>
  <c r="C1" i="6"/>
  <c r="D1" i="6"/>
  <c r="E1" i="6"/>
  <c r="F1" i="6"/>
  <c r="B1" i="6"/>
  <c r="B78" i="10"/>
  <c r="B69" i="10"/>
  <c r="C62" i="10"/>
  <c r="D62" i="10"/>
  <c r="E62" i="10"/>
  <c r="F62" i="10"/>
  <c r="G62" i="10"/>
  <c r="C37" i="10"/>
  <c r="D37" i="10" s="1"/>
  <c r="E37" i="10" s="1"/>
  <c r="F37" i="10" s="1"/>
  <c r="G37" i="10" s="1"/>
  <c r="C31" i="10"/>
  <c r="D31" i="10" s="1"/>
  <c r="C30" i="10"/>
  <c r="D30" i="10" s="1"/>
  <c r="E30" i="10" s="1"/>
  <c r="F30" i="10" s="1"/>
  <c r="G30" i="10" s="1"/>
  <c r="D41" i="10"/>
  <c r="E41" i="10"/>
  <c r="F41" i="10"/>
  <c r="G41" i="10"/>
  <c r="C41" i="10"/>
  <c r="E7" i="10"/>
  <c r="F7" i="10" s="1"/>
  <c r="G7" i="10" s="1"/>
  <c r="G8" i="10" s="1"/>
  <c r="F72" i="10"/>
  <c r="B62" i="10"/>
  <c r="B64" i="10" s="1"/>
  <c r="B8" i="13" s="1"/>
  <c r="D54" i="10"/>
  <c r="E54" i="10"/>
  <c r="F54" i="10"/>
  <c r="G54" i="10"/>
  <c r="C54" i="10"/>
  <c r="D49" i="10"/>
  <c r="E49" i="10"/>
  <c r="F49" i="10"/>
  <c r="G49" i="10"/>
  <c r="C49" i="10"/>
  <c r="E31" i="10" l="1"/>
  <c r="F31" i="10" s="1"/>
  <c r="G31" i="10" s="1"/>
  <c r="F8" i="10"/>
  <c r="C72" i="10"/>
  <c r="G72" i="10"/>
  <c r="E72" i="10"/>
  <c r="B17" i="7"/>
  <c r="B7" i="7"/>
  <c r="B70" i="10"/>
  <c r="B73" i="10" s="1"/>
  <c r="D72" i="10"/>
  <c r="C38" i="10"/>
  <c r="C33" i="10"/>
  <c r="D38" i="10"/>
  <c r="B18" i="7" l="1"/>
  <c r="B76" i="10"/>
  <c r="C42" i="10"/>
  <c r="C44" i="10" s="1"/>
  <c r="C51" i="10"/>
  <c r="C55" i="10"/>
  <c r="B2" i="6"/>
  <c r="D33" i="10"/>
  <c r="E38" i="10"/>
  <c r="B77" i="10"/>
  <c r="B5" i="7" l="1"/>
  <c r="B6" i="7"/>
  <c r="B14" i="7"/>
  <c r="B80" i="10"/>
  <c r="B79" i="10"/>
  <c r="D55" i="10"/>
  <c r="D51" i="10"/>
  <c r="C2" i="6"/>
  <c r="D42" i="10"/>
  <c r="E33" i="10"/>
  <c r="G38" i="10"/>
  <c r="F38" i="10"/>
  <c r="D1" i="13"/>
  <c r="E1" i="13"/>
  <c r="F1" i="13"/>
  <c r="G1" i="13"/>
  <c r="C1" i="13"/>
  <c r="C5" i="7" l="1"/>
  <c r="B82" i="10"/>
  <c r="C9" i="13" s="1"/>
  <c r="E55" i="10"/>
  <c r="E51" i="10"/>
  <c r="D2" i="6"/>
  <c r="E42" i="10"/>
  <c r="G33" i="10"/>
  <c r="F33" i="10"/>
  <c r="C18" i="7"/>
  <c r="D18" i="7" s="1"/>
  <c r="E18" i="7" s="1"/>
  <c r="F18" i="7" s="1"/>
  <c r="D73" i="10"/>
  <c r="E73" i="10"/>
  <c r="F73" i="10"/>
  <c r="G73" i="10"/>
  <c r="D64" i="10"/>
  <c r="E64" i="10"/>
  <c r="F64" i="10"/>
  <c r="G64" i="10"/>
  <c r="C64" i="10"/>
  <c r="D5" i="7" l="1"/>
  <c r="G55" i="10"/>
  <c r="G51" i="10"/>
  <c r="F55" i="10"/>
  <c r="F51" i="10"/>
  <c r="E2" i="6"/>
  <c r="F42" i="10"/>
  <c r="F2" i="6"/>
  <c r="G42" i="10"/>
  <c r="C17" i="7"/>
  <c r="D17" i="7" s="1"/>
  <c r="E17" i="7" s="1"/>
  <c r="F17" i="7" s="1"/>
  <c r="C73" i="10"/>
  <c r="C7" i="7"/>
  <c r="D7" i="7" s="1"/>
  <c r="E7" i="7" s="1"/>
  <c r="F7" i="7" s="1"/>
  <c r="F5" i="7" l="1"/>
  <c r="E5" i="7"/>
  <c r="B16" i="13"/>
  <c r="B17" i="13" s="1"/>
  <c r="B12" i="13"/>
  <c r="C57" i="10" l="1"/>
  <c r="B9" i="6" s="1"/>
  <c r="B15" i="7" s="1"/>
  <c r="B10" i="9"/>
  <c r="D10" i="9"/>
  <c r="C10" i="9"/>
  <c r="B8" i="9"/>
  <c r="D57" i="10" l="1"/>
  <c r="C9" i="6" s="1"/>
  <c r="C15" i="7" s="1"/>
  <c r="G44" i="10"/>
  <c r="E10" i="9"/>
  <c r="F14" i="7" l="1"/>
  <c r="F6" i="7"/>
  <c r="B5" i="9"/>
  <c r="D44" i="10"/>
  <c r="B5" i="6"/>
  <c r="B7" i="6" s="1"/>
  <c r="E57" i="10"/>
  <c r="D9" i="6" s="1"/>
  <c r="D15" i="7" s="1"/>
  <c r="F5" i="6"/>
  <c r="F7" i="6" s="1"/>
  <c r="F10" i="9"/>
  <c r="C8" i="9"/>
  <c r="C14" i="7" l="1"/>
  <c r="C6" i="7"/>
  <c r="B28" i="7"/>
  <c r="F44" i="10"/>
  <c r="E44" i="10"/>
  <c r="C5" i="6"/>
  <c r="C7" i="6" s="1"/>
  <c r="G57" i="10"/>
  <c r="F9" i="6" s="1"/>
  <c r="F15" i="7" s="1"/>
  <c r="F28" i="7"/>
  <c r="F57" i="10"/>
  <c r="E9" i="6" s="1"/>
  <c r="E15" i="7" s="1"/>
  <c r="D8" i="9"/>
  <c r="D14" i="7" l="1"/>
  <c r="D6" i="7"/>
  <c r="E14" i="7"/>
  <c r="E6" i="7"/>
  <c r="B11" i="6"/>
  <c r="C5" i="9"/>
  <c r="C28" i="7"/>
  <c r="D5" i="6"/>
  <c r="D7" i="6" s="1"/>
  <c r="E5" i="6"/>
  <c r="E7" i="6" s="1"/>
  <c r="E8" i="9"/>
  <c r="F8" i="9"/>
  <c r="B14" i="6" l="1"/>
  <c r="B16" i="7" s="1"/>
  <c r="E5" i="9"/>
  <c r="F5" i="9"/>
  <c r="E28" i="7"/>
  <c r="C11" i="6"/>
  <c r="C14" i="6" s="1"/>
  <c r="C16" i="7" s="1"/>
  <c r="D28" i="7"/>
  <c r="D5" i="9"/>
  <c r="F11" i="6"/>
  <c r="F14" i="6" s="1"/>
  <c r="F16" i="7" s="1"/>
  <c r="E11" i="6" l="1"/>
  <c r="E14" i="6" s="1"/>
  <c r="E16" i="7" s="1"/>
  <c r="C13" i="6"/>
  <c r="D11" i="6"/>
  <c r="D14" i="6" l="1"/>
  <c r="C16" i="6"/>
  <c r="F13" i="6"/>
  <c r="E13" i="6"/>
  <c r="D13" i="6" l="1"/>
  <c r="D16" i="7"/>
  <c r="D16" i="6"/>
  <c r="D3" i="9" s="1"/>
  <c r="D6" i="9"/>
  <c r="E3" i="13"/>
  <c r="C3" i="9"/>
  <c r="D3" i="13"/>
  <c r="D7" i="9"/>
  <c r="D9" i="9" s="1"/>
  <c r="D12" i="9" s="1"/>
  <c r="E8" i="13" s="1"/>
  <c r="E16" i="13" s="1"/>
  <c r="D26" i="9"/>
  <c r="E16" i="6"/>
  <c r="E6" i="9"/>
  <c r="F16" i="6"/>
  <c r="F6" i="9" l="1"/>
  <c r="E3" i="9"/>
  <c r="E7" i="9" s="1"/>
  <c r="E9" i="9" s="1"/>
  <c r="E12" i="9" s="1"/>
  <c r="F8" i="13" s="1"/>
  <c r="F16" i="13" s="1"/>
  <c r="F3" i="13"/>
  <c r="F3" i="9"/>
  <c r="G3" i="13"/>
  <c r="E26" i="9"/>
  <c r="D27" i="9"/>
  <c r="F7" i="9" l="1"/>
  <c r="F9" i="9" s="1"/>
  <c r="F12" i="9" s="1"/>
  <c r="G8" i="13" s="1"/>
  <c r="C29" i="13" s="1"/>
  <c r="F26" i="9"/>
  <c r="E27" i="9"/>
  <c r="G16" i="13" l="1"/>
  <c r="F27" i="9"/>
  <c r="B13" i="6"/>
  <c r="B16" i="6" s="1"/>
  <c r="C6" i="9" l="1"/>
  <c r="B6" i="9"/>
  <c r="B26" i="9" s="1"/>
  <c r="B3" i="9"/>
  <c r="C3" i="13"/>
  <c r="B19" i="7"/>
  <c r="C19" i="7" s="1"/>
  <c r="D19" i="7" l="1"/>
  <c r="C29" i="7"/>
  <c r="B29" i="7"/>
  <c r="C26" i="9"/>
  <c r="C7" i="9"/>
  <c r="C9" i="9" s="1"/>
  <c r="C12" i="9" s="1"/>
  <c r="B7" i="9"/>
  <c r="B9" i="9" s="1"/>
  <c r="B12" i="9" s="1"/>
  <c r="B4" i="7"/>
  <c r="B9" i="7" s="1"/>
  <c r="C4" i="13" s="1"/>
  <c r="C5" i="13" s="1"/>
  <c r="C4" i="7" l="1"/>
  <c r="C9" i="7" s="1"/>
  <c r="D4" i="13" s="1"/>
  <c r="D5" i="13" s="1"/>
  <c r="E19" i="7"/>
  <c r="D29" i="7"/>
  <c r="B13" i="7"/>
  <c r="B21" i="7" s="1"/>
  <c r="B27" i="9"/>
  <c r="C8" i="13"/>
  <c r="C27" i="9"/>
  <c r="D8" i="13"/>
  <c r="D16" i="13" s="1"/>
  <c r="F19" i="7" l="1"/>
  <c r="F29" i="7" s="1"/>
  <c r="E29" i="7"/>
  <c r="D4" i="7"/>
  <c r="D9" i="7" s="1"/>
  <c r="E4" i="13" s="1"/>
  <c r="E5" i="13" s="1"/>
  <c r="C13" i="7"/>
  <c r="C21" i="7" s="1"/>
  <c r="C20" i="13"/>
  <c r="C12" i="13"/>
  <c r="D12" i="13" s="1"/>
  <c r="E12" i="13" s="1"/>
  <c r="F12" i="13" s="1"/>
  <c r="G12" i="13" s="1"/>
  <c r="C27" i="13"/>
  <c r="C31" i="13" s="1"/>
  <c r="C35" i="13" s="1"/>
  <c r="C22" i="13"/>
  <c r="C24" i="13" s="1"/>
  <c r="C16" i="13"/>
  <c r="C17" i="13" s="1"/>
  <c r="D17" i="13" s="1"/>
  <c r="E17" i="13" s="1"/>
  <c r="F17" i="13" s="1"/>
  <c r="G17" i="13" s="1"/>
  <c r="E4" i="7" l="1"/>
  <c r="E9" i="7" s="1"/>
  <c r="F4" i="13" s="1"/>
  <c r="F5" i="13" s="1"/>
  <c r="F4" i="7"/>
  <c r="F9" i="7" s="1"/>
  <c r="G4" i="13" s="1"/>
  <c r="G5" i="13" s="1"/>
  <c r="F13" i="7"/>
  <c r="F21" i="7" s="1"/>
  <c r="D13" i="7"/>
  <c r="D21" i="7" s="1"/>
  <c r="E13" i="7" l="1"/>
  <c r="E21" i="7" s="1"/>
</calcChain>
</file>

<file path=xl/sharedStrings.xml><?xml version="1.0" encoding="utf-8"?>
<sst xmlns="http://schemas.openxmlformats.org/spreadsheetml/2006/main" count="131" uniqueCount="115">
  <si>
    <t>Assumptions</t>
  </si>
  <si>
    <t>prior</t>
  </si>
  <si>
    <t>year 1</t>
  </si>
  <si>
    <t>year 2</t>
  </si>
  <si>
    <t>year 3</t>
  </si>
  <si>
    <t>year 4</t>
  </si>
  <si>
    <t>year 5</t>
  </si>
  <si>
    <t>Reply the follow questions and check the calculations</t>
  </si>
  <si>
    <t>which is the main product / service or group of products/services of the company</t>
  </si>
  <si>
    <t>which is the average price for such a product/service/group</t>
  </si>
  <si>
    <t>how much ($) does the company pay for acquiring such a product/service/group (variable costs)</t>
  </si>
  <si>
    <t>how many sales does the company in a year?</t>
  </si>
  <si>
    <t>what is the expected cpi (inflation) for the next 5 years? (check reliable sources)</t>
  </si>
  <si>
    <t>what is the expected gdp for the next 5 years? (check reliable sources)</t>
  </si>
  <si>
    <t>what is the expected interest rates for the next 5 years? (check fed´s t10y yield curve)</t>
  </si>
  <si>
    <t>what is the contry risk of the most of company´s revenues? (check jpmorgan´s embi)</t>
  </si>
  <si>
    <t>what is the company´s beta? (check yahoo finance or estimate from the last 5 years´ quotes)</t>
  </si>
  <si>
    <t>what is the average return of stock market in the last 5 years? (check S&amp;P 500 or estimate from the index)</t>
  </si>
  <si>
    <t>how much (%) of the revenues is the company´s costs of goods sold? (CGS, check the financial statements)</t>
  </si>
  <si>
    <t>how much (%) of the revenues is the company´s selling expenses? (check the financial statements)</t>
  </si>
  <si>
    <t>how much (%) of the revenues is the company´s general &amp; administrative expenses? (sg&amp;a, check the financial statements)</t>
  </si>
  <si>
    <t>what is the capex budget from now to the next 5 years (capex, check all the investor relations disclosed forms)</t>
  </si>
  <si>
    <t>how much will the company issue bond/debt for funding the capex budget (financing needs, check the cash flow statement)</t>
  </si>
  <si>
    <t>what is the average receivables turnover in days? (check financial statements = (receivables / revenues)*360)</t>
  </si>
  <si>
    <t>what is the average inventories turnover in days? (check financial statements = (inventories / cgs)*360)</t>
  </si>
  <si>
    <t>what is the average payables turnover in days? (check financial statements = (payables / cgs)*360)</t>
  </si>
  <si>
    <t>what is the company´s quantity of shares ?(check financial statements or yahoo finance)</t>
  </si>
  <si>
    <t>Revenues</t>
  </si>
  <si>
    <t>Quantity</t>
  </si>
  <si>
    <t>Price</t>
  </si>
  <si>
    <t>Total (QxP)</t>
  </si>
  <si>
    <t>CGS</t>
  </si>
  <si>
    <t xml:space="preserve">Variable ($) </t>
  </si>
  <si>
    <t>variable cost per unit</t>
  </si>
  <si>
    <t>Total variable costs</t>
  </si>
  <si>
    <t>Fixed ($)</t>
  </si>
  <si>
    <t>fixed costs as % of revenues</t>
  </si>
  <si>
    <t>Total fixed costs</t>
  </si>
  <si>
    <t>Total CGS</t>
  </si>
  <si>
    <t>SG&amp;A</t>
  </si>
  <si>
    <t>Selling expenses ($)</t>
  </si>
  <si>
    <t>selling expenses as % of revenues</t>
  </si>
  <si>
    <t>Total</t>
  </si>
  <si>
    <t>General and Administrative expenses ($)</t>
  </si>
  <si>
    <t>g&amp;a as % of revenues</t>
  </si>
  <si>
    <t>Total SG&amp;A</t>
  </si>
  <si>
    <t>Investments and Capital Structure</t>
  </si>
  <si>
    <t>Investments</t>
  </si>
  <si>
    <t>capex budget</t>
  </si>
  <si>
    <t>Funding</t>
  </si>
  <si>
    <t>cost of debt (bonds/banks) - Kd (check the notes of financial statements)</t>
  </si>
  <si>
    <t>total issued</t>
  </si>
  <si>
    <t>equity cost - Ke</t>
  </si>
  <si>
    <t>investidor anjo</t>
  </si>
  <si>
    <t>ibovespa nos últimos 30 anos = 25% ano</t>
  </si>
  <si>
    <t>time of bonds (months)</t>
  </si>
  <si>
    <t>(-) interests and liquidation at maturity</t>
  </si>
  <si>
    <t>WACC (Weighted Average Cost of Capital)</t>
  </si>
  <si>
    <t>Kd</t>
  </si>
  <si>
    <t>Ke</t>
  </si>
  <si>
    <t>Wd - weight of debt</t>
  </si>
  <si>
    <t>We - weight of equity</t>
  </si>
  <si>
    <t>WACC</t>
  </si>
  <si>
    <t>Income statement forecasts</t>
  </si>
  <si>
    <t>Lucro bruto</t>
  </si>
  <si>
    <t>Ebitda</t>
  </si>
  <si>
    <t>Income tax</t>
  </si>
  <si>
    <t>total income tax</t>
  </si>
  <si>
    <t>Net profit</t>
  </si>
  <si>
    <t>Balance Sheet forecasts</t>
  </si>
  <si>
    <t>Assets</t>
  </si>
  <si>
    <t>Cash</t>
  </si>
  <si>
    <t>Receivables</t>
  </si>
  <si>
    <t>Inventories</t>
  </si>
  <si>
    <t>PPE</t>
  </si>
  <si>
    <t>Liabilities and Equity</t>
  </si>
  <si>
    <t>Loans</t>
  </si>
  <si>
    <t>Suppliers</t>
  </si>
  <si>
    <t>Other payable</t>
  </si>
  <si>
    <t>Tax payable</t>
  </si>
  <si>
    <t>Bonds</t>
  </si>
  <si>
    <t>Stockholders equity</t>
  </si>
  <si>
    <t>Retained earnings</t>
  </si>
  <si>
    <t>ativos</t>
  </si>
  <si>
    <t>passivos</t>
  </si>
  <si>
    <t>Cash flow forecasts</t>
  </si>
  <si>
    <t>(+) depreciation</t>
  </si>
  <si>
    <t>(+/-) changes in current assets</t>
  </si>
  <si>
    <t>(+/-) changes in current liabilities</t>
  </si>
  <si>
    <t>(=) operational cash flow</t>
  </si>
  <si>
    <t>(+/-) capex / changes in ppe</t>
  </si>
  <si>
    <t>(=) cash flow after investments</t>
  </si>
  <si>
    <t>(+/-) issuances / changes in funding</t>
  </si>
  <si>
    <t>(=) Net cash flow</t>
  </si>
  <si>
    <t>ano 0</t>
  </si>
  <si>
    <t>ROI</t>
  </si>
  <si>
    <t>Total assets</t>
  </si>
  <si>
    <t>Year</t>
  </si>
  <si>
    <t>Net cash flow</t>
  </si>
  <si>
    <t>PAYBACK</t>
  </si>
  <si>
    <t>Balance</t>
  </si>
  <si>
    <t>year</t>
  </si>
  <si>
    <t>Discounted Payback</t>
  </si>
  <si>
    <t>net present value</t>
  </si>
  <si>
    <t>balance</t>
  </si>
  <si>
    <t>IRR</t>
  </si>
  <si>
    <t>NPV</t>
  </si>
  <si>
    <t>Profitability index</t>
  </si>
  <si>
    <t>VALUATION</t>
  </si>
  <si>
    <t>NPV from year 1 to 5</t>
  </si>
  <si>
    <t>g - growth rate from 6th year</t>
  </si>
  <si>
    <t>Perpetuity</t>
  </si>
  <si>
    <t>Equity value</t>
  </si>
  <si>
    <t>Quantity of shares</t>
  </si>
  <si>
    <t>Fundamental value of a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</si>
</sst>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1" applyFont="1"/>
    <xf numFmtId="0" fontId="3" fillId="0" borderId="0" xfId="0" applyFont="1"/>
    <xf numFmtId="43" fontId="0" fillId="0" borderId="0" xfId="0" applyNumberFormat="1"/>
    <xf numFmtId="0" fontId="0" fillId="0" borderId="0" xfId="0" applyAlignment="1">
      <alignment horizontal="center"/>
    </xf>
    <xf numFmtId="43" fontId="5" fillId="0" borderId="0" xfId="1" applyFont="1"/>
    <xf numFmtId="43" fontId="2" fillId="0" borderId="0" xfId="1" applyFont="1"/>
    <xf numFmtId="43" fontId="6" fillId="0" borderId="0" xfId="1" applyFont="1"/>
    <xf numFmtId="43" fontId="1" fillId="0" borderId="0" xfId="1" applyFont="1"/>
    <xf numFmtId="43" fontId="2" fillId="0" borderId="0" xfId="0" applyNumberFormat="1" applyFont="1"/>
    <xf numFmtId="0" fontId="2" fillId="0" borderId="0" xfId="0" applyFont="1"/>
    <xf numFmtId="43" fontId="0" fillId="0" borderId="0" xfId="1" applyFont="1" applyFill="1"/>
    <xf numFmtId="10" fontId="0" fillId="0" borderId="0" xfId="2" applyNumberFormat="1" applyFont="1" applyFill="1"/>
    <xf numFmtId="10" fontId="0" fillId="0" borderId="0" xfId="0" applyNumberFormat="1"/>
    <xf numFmtId="10" fontId="0" fillId="0" borderId="1" xfId="2" applyNumberFormat="1" applyFont="1" applyFill="1" applyBorder="1"/>
    <xf numFmtId="9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1" applyNumberFormat="1" applyFont="1" applyFill="1"/>
    <xf numFmtId="9" fontId="0" fillId="0" borderId="0" xfId="1" applyNumberFormat="1" applyFont="1" applyFill="1" applyAlignment="1">
      <alignment horizontal="center"/>
    </xf>
    <xf numFmtId="0" fontId="4" fillId="0" borderId="0" xfId="0" applyFont="1"/>
    <xf numFmtId="43" fontId="5" fillId="0" borderId="0" xfId="1" applyFont="1" applyFill="1"/>
    <xf numFmtId="43" fontId="4" fillId="0" borderId="0" xfId="0" applyNumberFormat="1" applyFont="1"/>
    <xf numFmtId="43" fontId="1" fillId="0" borderId="2" xfId="1" applyFont="1" applyFill="1" applyBorder="1"/>
    <xf numFmtId="10" fontId="1" fillId="0" borderId="0" xfId="2" applyNumberFormat="1" applyFont="1" applyFill="1"/>
    <xf numFmtId="43" fontId="0" fillId="0" borderId="0" xfId="1" applyFont="1" applyFill="1" applyAlignment="1">
      <alignment horizontal="center"/>
    </xf>
    <xf numFmtId="43" fontId="1" fillId="0" borderId="0" xfId="1" applyFont="1" applyFill="1"/>
    <xf numFmtId="43" fontId="0" fillId="0" borderId="3" xfId="1" applyFont="1" applyFill="1" applyBorder="1"/>
    <xf numFmtId="2" fontId="0" fillId="0" borderId="0" xfId="0" applyNumberFormat="1"/>
    <xf numFmtId="9" fontId="0" fillId="0" borderId="0" xfId="2" applyFont="1" applyFill="1" applyAlignment="1"/>
    <xf numFmtId="43" fontId="0" fillId="0" borderId="0" xfId="1" applyFont="1" applyAlignment="1">
      <alignment horizontal="center"/>
    </xf>
    <xf numFmtId="10" fontId="0" fillId="0" borderId="1" xfId="0" applyNumberFormat="1" applyBorder="1"/>
    <xf numFmtId="8" fontId="0" fillId="0" borderId="1" xfId="1" applyNumberFormat="1" applyFont="1" applyFill="1" applyBorder="1"/>
    <xf numFmtId="43" fontId="0" fillId="0" borderId="0" xfId="1" applyFont="1" applyFill="1" applyBorder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0C2F-0BE3-498C-AA72-613235B3DD9F}">
  <dimension ref="A1:K83"/>
  <sheetViews>
    <sheetView tabSelected="1" topLeftCell="A65" zoomScale="150" zoomScaleNormal="150" workbookViewId="0">
      <selection activeCell="A81" sqref="A81"/>
    </sheetView>
  </sheetViews>
  <sheetFormatPr defaultRowHeight="14.45"/>
  <cols>
    <col min="1" max="1" width="82.85546875" bestFit="1" customWidth="1"/>
    <col min="2" max="2" width="20.28515625" customWidth="1"/>
    <col min="3" max="3" width="17.28515625" customWidth="1"/>
    <col min="4" max="7" width="15.28515625" bestFit="1" customWidth="1"/>
  </cols>
  <sheetData>
    <row r="1" spans="1:1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1">
      <c r="A2" s="2"/>
      <c r="B2" s="4"/>
      <c r="C2" s="4"/>
      <c r="D2" s="4"/>
      <c r="E2" s="4"/>
      <c r="F2" s="4"/>
      <c r="G2" s="4"/>
    </row>
    <row r="3" spans="1:11">
      <c r="A3" s="2"/>
      <c r="B3" s="4"/>
      <c r="C3" s="4"/>
      <c r="D3" s="4"/>
      <c r="E3" s="4"/>
      <c r="F3" s="4"/>
      <c r="G3" s="4"/>
    </row>
    <row r="4" spans="1:11">
      <c r="A4" s="2" t="s">
        <v>7</v>
      </c>
      <c r="B4" s="4"/>
      <c r="C4" s="4"/>
      <c r="D4" s="4"/>
      <c r="E4" s="4"/>
      <c r="F4" s="4"/>
      <c r="G4" s="4"/>
    </row>
    <row r="5" spans="1:11">
      <c r="A5" s="2"/>
      <c r="B5" s="4"/>
      <c r="C5" s="4"/>
      <c r="D5" s="4"/>
      <c r="E5" s="4"/>
      <c r="F5" s="4"/>
      <c r="G5" s="4"/>
    </row>
    <row r="6" spans="1:11">
      <c r="A6" t="s">
        <v>8</v>
      </c>
      <c r="B6" s="4"/>
      <c r="C6" s="4"/>
      <c r="D6" s="4"/>
      <c r="E6" s="4"/>
      <c r="F6" s="4"/>
      <c r="G6" s="4"/>
    </row>
    <row r="7" spans="1:11">
      <c r="A7" t="s">
        <v>9</v>
      </c>
      <c r="B7" s="25"/>
      <c r="C7" s="25">
        <v>2000</v>
      </c>
      <c r="D7" s="25">
        <v>3000</v>
      </c>
      <c r="E7" s="25">
        <f t="shared" ref="E7:G7" si="0">D7*1.1</f>
        <v>3300.0000000000005</v>
      </c>
      <c r="F7" s="25">
        <f t="shared" si="0"/>
        <v>3630.0000000000009</v>
      </c>
      <c r="G7" s="25">
        <f t="shared" si="0"/>
        <v>3993.0000000000014</v>
      </c>
      <c r="K7" s="4"/>
    </row>
    <row r="8" spans="1:11">
      <c r="A8" t="s">
        <v>10</v>
      </c>
      <c r="B8" s="4"/>
      <c r="C8" s="25">
        <v>600</v>
      </c>
      <c r="D8" s="25">
        <v>900</v>
      </c>
      <c r="E8" s="25">
        <v>990</v>
      </c>
      <c r="F8" s="25">
        <f>F7*0.3</f>
        <v>1089.0000000000002</v>
      </c>
      <c r="G8" s="25">
        <f>G7*0.3</f>
        <v>1197.9000000000003</v>
      </c>
      <c r="K8" s="4"/>
    </row>
    <row r="9" spans="1:11">
      <c r="A9" t="s">
        <v>11</v>
      </c>
      <c r="B9" s="4"/>
      <c r="C9" s="25">
        <v>10000</v>
      </c>
      <c r="D9" s="25">
        <v>10000</v>
      </c>
      <c r="E9" s="25">
        <v>10000</v>
      </c>
      <c r="F9" s="25">
        <v>10000</v>
      </c>
      <c r="G9" s="25">
        <v>10000</v>
      </c>
      <c r="K9" s="4"/>
    </row>
    <row r="10" spans="1:11">
      <c r="A10" t="s">
        <v>12</v>
      </c>
      <c r="B10" s="30">
        <v>0.09</v>
      </c>
      <c r="C10" s="25">
        <v>0.08</v>
      </c>
      <c r="D10" s="25">
        <v>0.05</v>
      </c>
      <c r="E10" s="25">
        <v>0.03</v>
      </c>
      <c r="F10" s="25">
        <v>0.03</v>
      </c>
      <c r="G10" s="25">
        <v>0.03</v>
      </c>
      <c r="K10" s="4"/>
    </row>
    <row r="11" spans="1:11">
      <c r="A11" t="s">
        <v>13</v>
      </c>
      <c r="B11" s="30">
        <v>1.4999999999999999E-2</v>
      </c>
      <c r="C11" s="25">
        <v>1.4999999999999999E-2</v>
      </c>
      <c r="D11" s="25">
        <v>1.4999999999999999E-2</v>
      </c>
      <c r="E11" s="25">
        <v>0.02</v>
      </c>
      <c r="F11" s="25">
        <v>2.5000000000000001E-2</v>
      </c>
      <c r="G11" s="25">
        <v>2.5000000000000001E-2</v>
      </c>
      <c r="K11" s="4"/>
    </row>
    <row r="12" spans="1:11">
      <c r="A12" t="s">
        <v>14</v>
      </c>
      <c r="B12" s="30">
        <v>0.04</v>
      </c>
      <c r="C12" s="25">
        <v>0.04</v>
      </c>
      <c r="D12" s="25">
        <v>0.04</v>
      </c>
      <c r="E12" s="25">
        <v>0.03</v>
      </c>
      <c r="F12" s="25">
        <v>0.03</v>
      </c>
      <c r="G12" s="25">
        <v>0.02</v>
      </c>
      <c r="K12" s="4"/>
    </row>
    <row r="13" spans="1:11">
      <c r="A13" t="s">
        <v>15</v>
      </c>
      <c r="B13" s="4">
        <v>300</v>
      </c>
      <c r="C13" s="16">
        <v>300</v>
      </c>
      <c r="D13" s="16">
        <v>300</v>
      </c>
      <c r="E13" s="16">
        <v>300</v>
      </c>
      <c r="F13" s="16">
        <v>300</v>
      </c>
      <c r="G13" s="16">
        <v>300</v>
      </c>
      <c r="K13" s="4"/>
    </row>
    <row r="14" spans="1:11">
      <c r="A14" t="s">
        <v>16</v>
      </c>
      <c r="B14" s="4">
        <v>1.5</v>
      </c>
      <c r="C14" s="25">
        <v>1.5</v>
      </c>
      <c r="D14" s="25">
        <v>1.5</v>
      </c>
      <c r="E14" s="25">
        <v>1.5</v>
      </c>
      <c r="F14" s="25">
        <v>1.5</v>
      </c>
      <c r="G14" s="25">
        <v>1.5</v>
      </c>
      <c r="K14" s="4"/>
    </row>
    <row r="15" spans="1:11">
      <c r="A15" t="s">
        <v>17</v>
      </c>
      <c r="B15" s="30">
        <v>0.1</v>
      </c>
      <c r="C15" s="30">
        <v>0.1</v>
      </c>
      <c r="D15" s="30">
        <v>0.1</v>
      </c>
      <c r="E15" s="30">
        <v>0.1</v>
      </c>
      <c r="F15" s="30">
        <v>0.1</v>
      </c>
      <c r="G15" s="30">
        <v>0.1</v>
      </c>
      <c r="K15" s="4"/>
    </row>
    <row r="16" spans="1:11">
      <c r="A16" t="s">
        <v>18</v>
      </c>
      <c r="B16" s="30">
        <v>0.3</v>
      </c>
      <c r="C16" s="30">
        <v>0.3</v>
      </c>
      <c r="D16" s="30">
        <v>0.3</v>
      </c>
      <c r="E16" s="30">
        <v>0.3</v>
      </c>
      <c r="F16" s="30">
        <v>0.3</v>
      </c>
      <c r="G16" s="30">
        <v>0.3</v>
      </c>
      <c r="K16" s="4"/>
    </row>
    <row r="17" spans="1:7">
      <c r="A17" t="s">
        <v>19</v>
      </c>
      <c r="B17" s="30">
        <v>0.01</v>
      </c>
      <c r="C17" s="30">
        <v>0.01</v>
      </c>
      <c r="D17" s="30">
        <v>0.01</v>
      </c>
      <c r="E17" s="30">
        <v>0.01</v>
      </c>
      <c r="F17" s="30">
        <v>0.01</v>
      </c>
      <c r="G17" s="30">
        <v>0.01</v>
      </c>
    </row>
    <row r="18" spans="1:7">
      <c r="A18" t="s">
        <v>20</v>
      </c>
      <c r="B18" s="30">
        <v>0.2</v>
      </c>
      <c r="C18" s="30">
        <v>0.2</v>
      </c>
      <c r="D18" s="30">
        <v>0.2</v>
      </c>
      <c r="E18" s="30">
        <v>0.2</v>
      </c>
      <c r="F18" s="30">
        <v>0.2</v>
      </c>
      <c r="G18" s="30">
        <v>0.2</v>
      </c>
    </row>
    <row r="19" spans="1:7">
      <c r="A19" t="s">
        <v>21</v>
      </c>
      <c r="B19" s="25">
        <v>25000</v>
      </c>
      <c r="C19" s="4"/>
      <c r="D19" s="4"/>
      <c r="E19" s="4"/>
      <c r="F19" s="4"/>
      <c r="G19" s="4"/>
    </row>
    <row r="20" spans="1:7">
      <c r="A20" t="s">
        <v>22</v>
      </c>
      <c r="B20" s="25">
        <v>1000</v>
      </c>
      <c r="C20" s="4"/>
      <c r="D20" s="4"/>
      <c r="E20" s="4"/>
      <c r="F20" s="4"/>
      <c r="G20" s="4"/>
    </row>
    <row r="21" spans="1:7">
      <c r="A21" t="s">
        <v>23</v>
      </c>
      <c r="B21" s="25"/>
      <c r="C21" s="4">
        <v>30</v>
      </c>
      <c r="D21" s="4">
        <v>30</v>
      </c>
      <c r="E21" s="4">
        <v>30</v>
      </c>
      <c r="F21" s="4">
        <v>30</v>
      </c>
      <c r="G21" s="4">
        <v>30</v>
      </c>
    </row>
    <row r="22" spans="1:7">
      <c r="A22" t="s">
        <v>24</v>
      </c>
      <c r="B22" s="25"/>
      <c r="C22" s="4">
        <v>20</v>
      </c>
      <c r="D22" s="4">
        <v>20</v>
      </c>
      <c r="E22" s="4">
        <v>20</v>
      </c>
      <c r="F22" s="4">
        <v>20</v>
      </c>
      <c r="G22" s="4">
        <v>20</v>
      </c>
    </row>
    <row r="23" spans="1:7">
      <c r="A23" t="s">
        <v>25</v>
      </c>
      <c r="B23" s="4"/>
      <c r="C23" s="4">
        <v>15</v>
      </c>
      <c r="D23" s="4">
        <v>15</v>
      </c>
      <c r="E23" s="4">
        <v>15</v>
      </c>
      <c r="F23" s="4">
        <v>15</v>
      </c>
      <c r="G23" s="4">
        <v>15</v>
      </c>
    </row>
    <row r="24" spans="1:7">
      <c r="A24" t="s">
        <v>26</v>
      </c>
      <c r="B24" s="34">
        <v>10000000</v>
      </c>
      <c r="C24" s="4"/>
      <c r="D24" s="4"/>
      <c r="E24" s="4"/>
      <c r="F24" s="4"/>
      <c r="G24" s="4"/>
    </row>
    <row r="25" spans="1:7">
      <c r="A25" s="2"/>
      <c r="B25" s="4"/>
      <c r="C25" s="4"/>
      <c r="D25" s="4"/>
      <c r="E25" s="4"/>
      <c r="F25" s="4"/>
      <c r="G25" s="4"/>
    </row>
    <row r="26" spans="1:7">
      <c r="B26" s="2"/>
      <c r="C26" s="4"/>
      <c r="D26" s="4"/>
      <c r="E26" s="4"/>
      <c r="F26" s="4"/>
      <c r="G26" s="4"/>
    </row>
    <row r="27" spans="1:7">
      <c r="A27" s="2"/>
      <c r="B27" s="2"/>
      <c r="C27" s="4"/>
      <c r="D27" s="4"/>
      <c r="E27" s="4"/>
      <c r="F27" s="4"/>
      <c r="G27" s="4"/>
    </row>
    <row r="28" spans="1:7">
      <c r="A28" s="2" t="s">
        <v>27</v>
      </c>
      <c r="B28" s="2"/>
      <c r="C28" s="4"/>
      <c r="D28" s="4"/>
      <c r="E28" s="4"/>
      <c r="F28" s="4"/>
      <c r="G28" s="4"/>
    </row>
    <row r="29" spans="1:7">
      <c r="C29" s="17"/>
      <c r="D29" s="17"/>
      <c r="E29" s="17"/>
      <c r="F29" s="17"/>
      <c r="G29" s="17"/>
    </row>
    <row r="30" spans="1:7">
      <c r="A30" t="s">
        <v>28</v>
      </c>
      <c r="C30" s="16">
        <f>C9*(1+C11)</f>
        <v>10149.999999999998</v>
      </c>
      <c r="D30" s="16">
        <f>C30*(1+D11)</f>
        <v>10302.249999999996</v>
      </c>
      <c r="E30" s="16">
        <f>D30*(1+E11)</f>
        <v>10508.294999999996</v>
      </c>
      <c r="F30" s="16">
        <f>E30*(1+F11)</f>
        <v>10771.002374999995</v>
      </c>
      <c r="G30" s="16">
        <f>F30*(1+G11)</f>
        <v>11040.277434374993</v>
      </c>
    </row>
    <row r="31" spans="1:7">
      <c r="A31" t="s">
        <v>29</v>
      </c>
      <c r="C31" s="28">
        <f>C7*(1+C10)</f>
        <v>2160</v>
      </c>
      <c r="D31" s="28">
        <f>C31*(1+C10)</f>
        <v>2332.8000000000002</v>
      </c>
      <c r="E31" s="28">
        <f>D31*(1+E11)</f>
        <v>2379.4560000000001</v>
      </c>
      <c r="F31" s="28">
        <f>E31*(1+F11)</f>
        <v>2438.9423999999999</v>
      </c>
      <c r="G31" s="28">
        <f>F31*(1+G11)</f>
        <v>2499.9159599999998</v>
      </c>
    </row>
    <row r="32" spans="1:7">
      <c r="C32" s="18"/>
      <c r="D32" s="19"/>
      <c r="E32" s="19"/>
      <c r="F32" s="19"/>
      <c r="G32" s="19"/>
    </row>
    <row r="33" spans="1:8">
      <c r="A33" t="s">
        <v>30</v>
      </c>
      <c r="C33" s="11">
        <f>(C30*C31)</f>
        <v>21923999.999999996</v>
      </c>
      <c r="D33" s="11">
        <f>(D30*D31)</f>
        <v>24033088.799999993</v>
      </c>
      <c r="E33" s="11">
        <f>(E30*E31)</f>
        <v>25004025.587519992</v>
      </c>
      <c r="F33" s="11">
        <f>(F30*F31)</f>
        <v>26269854.382888187</v>
      </c>
      <c r="G33" s="11">
        <f>(G30*G31)</f>
        <v>27599765.761021897</v>
      </c>
      <c r="H33" s="11"/>
    </row>
    <row r="35" spans="1:8">
      <c r="A35" s="2" t="s">
        <v>31</v>
      </c>
      <c r="B35" s="2"/>
    </row>
    <row r="36" spans="1:8">
      <c r="A36" s="20" t="s">
        <v>32</v>
      </c>
      <c r="B36" s="20"/>
    </row>
    <row r="37" spans="1:8">
      <c r="A37" t="s">
        <v>33</v>
      </c>
      <c r="C37" s="11">
        <f>C8*(1+C10)</f>
        <v>648</v>
      </c>
      <c r="D37" s="11">
        <f>C37*(1+D10)</f>
        <v>680.4</v>
      </c>
      <c r="E37" s="11">
        <f>D37*(1+E10)</f>
        <v>700.81200000000001</v>
      </c>
      <c r="F37" s="11">
        <f>E37*(1+F10)</f>
        <v>721.83636000000001</v>
      </c>
      <c r="G37" s="11">
        <f>F37*(1+G10)</f>
        <v>743.49145080000005</v>
      </c>
    </row>
    <row r="38" spans="1:8">
      <c r="A38" t="s">
        <v>34</v>
      </c>
      <c r="C38" s="11">
        <f>C30*C37</f>
        <v>6577199.9999999991</v>
      </c>
      <c r="D38" s="11">
        <f>D30*D37</f>
        <v>7009650.8999999976</v>
      </c>
      <c r="E38" s="11">
        <f>E30*E37</f>
        <v>7364339.2355399979</v>
      </c>
      <c r="F38" s="11">
        <f>F30*F37</f>
        <v>7774901.1479213508</v>
      </c>
      <c r="G38" s="11">
        <f>G30*G37</f>
        <v>8208351.8869179664</v>
      </c>
    </row>
    <row r="39" spans="1:8">
      <c r="C39" s="11"/>
      <c r="D39" s="11"/>
      <c r="E39" s="11"/>
      <c r="F39" s="11"/>
      <c r="G39" s="11"/>
    </row>
    <row r="40" spans="1:8">
      <c r="A40" s="20" t="s">
        <v>35</v>
      </c>
      <c r="B40" s="20"/>
      <c r="C40" s="22"/>
      <c r="D40" s="22"/>
      <c r="E40" s="22"/>
      <c r="F40" s="22"/>
      <c r="G40" s="22"/>
    </row>
    <row r="41" spans="1:8">
      <c r="A41" t="s">
        <v>36</v>
      </c>
      <c r="C41" s="29">
        <f>C16</f>
        <v>0.3</v>
      </c>
      <c r="D41" s="29">
        <f t="shared" ref="D41:G41" si="1">D16</f>
        <v>0.3</v>
      </c>
      <c r="E41" s="29">
        <f t="shared" si="1"/>
        <v>0.3</v>
      </c>
      <c r="F41" s="29">
        <f t="shared" si="1"/>
        <v>0.3</v>
      </c>
      <c r="G41" s="29">
        <f t="shared" si="1"/>
        <v>0.3</v>
      </c>
    </row>
    <row r="42" spans="1:8">
      <c r="A42" t="s">
        <v>37</v>
      </c>
      <c r="C42" s="3">
        <f>C33*C41</f>
        <v>6577199.9999999991</v>
      </c>
      <c r="D42" s="3">
        <f>D33*D41</f>
        <v>7209926.6399999978</v>
      </c>
      <c r="E42" s="3">
        <f>E33*E41</f>
        <v>7501207.6762559973</v>
      </c>
      <c r="F42" s="3">
        <f>F33*F41</f>
        <v>7880956.3148664553</v>
      </c>
      <c r="G42" s="3">
        <f>G33*G41</f>
        <v>8279929.7283065692</v>
      </c>
    </row>
    <row r="44" spans="1:8">
      <c r="A44" t="s">
        <v>38</v>
      </c>
      <c r="C44" s="3">
        <f>C42+C38</f>
        <v>13154399.999999998</v>
      </c>
      <c r="D44" s="3">
        <f>D42+D38</f>
        <v>14219577.539999995</v>
      </c>
      <c r="E44" s="3">
        <f>E42+E38</f>
        <v>14865546.911795996</v>
      </c>
      <c r="F44" s="3">
        <f>F42+F38</f>
        <v>15655857.462787807</v>
      </c>
      <c r="G44" s="3">
        <f>G42+G38</f>
        <v>16488281.615224537</v>
      </c>
    </row>
    <row r="45" spans="1:8">
      <c r="C45" s="3"/>
      <c r="D45" s="3"/>
      <c r="E45" s="3"/>
      <c r="F45" s="3"/>
      <c r="G45" s="3"/>
    </row>
    <row r="46" spans="1:8">
      <c r="C46" s="3"/>
      <c r="D46" s="3"/>
      <c r="E46" s="3"/>
      <c r="F46" s="3"/>
      <c r="G46" s="3"/>
    </row>
    <row r="47" spans="1:8">
      <c r="A47" s="2" t="s">
        <v>39</v>
      </c>
      <c r="B47" s="2"/>
      <c r="C47" s="3"/>
      <c r="D47" s="3"/>
      <c r="E47" s="3"/>
      <c r="F47" s="3"/>
      <c r="G47" s="3"/>
    </row>
    <row r="48" spans="1:8" ht="16.149999999999999">
      <c r="A48" s="20" t="s">
        <v>40</v>
      </c>
      <c r="B48" s="20"/>
      <c r="C48" s="21"/>
      <c r="D48" s="21"/>
      <c r="E48" s="21"/>
      <c r="F48" s="21"/>
      <c r="G48" s="21"/>
    </row>
    <row r="49" spans="1:7">
      <c r="A49" t="s">
        <v>41</v>
      </c>
      <c r="C49" s="15">
        <f>C17</f>
        <v>0.01</v>
      </c>
      <c r="D49" s="15">
        <f>D17</f>
        <v>0.01</v>
      </c>
      <c r="E49" s="15">
        <f>E17</f>
        <v>0.01</v>
      </c>
      <c r="F49" s="15">
        <f>F17</f>
        <v>0.01</v>
      </c>
      <c r="G49" s="15">
        <f>G17</f>
        <v>0.01</v>
      </c>
    </row>
    <row r="50" spans="1:7">
      <c r="C50" s="26"/>
      <c r="D50" s="26"/>
      <c r="E50" s="26"/>
      <c r="F50" s="26"/>
      <c r="G50" s="26"/>
    </row>
    <row r="51" spans="1:7">
      <c r="A51" t="s">
        <v>42</v>
      </c>
      <c r="C51" s="27">
        <f>C33*C49</f>
        <v>219239.99999999997</v>
      </c>
      <c r="D51" s="27">
        <f>D33*D49</f>
        <v>240330.88799999995</v>
      </c>
      <c r="E51" s="27">
        <f>E33*E49</f>
        <v>250040.25587519992</v>
      </c>
      <c r="F51" s="27">
        <f>F33*F49</f>
        <v>262698.54382888187</v>
      </c>
      <c r="G51" s="27">
        <f>G33*G49</f>
        <v>275997.65761021897</v>
      </c>
    </row>
    <row r="52" spans="1:7">
      <c r="C52" s="11"/>
      <c r="D52" s="11"/>
      <c r="E52" s="11"/>
      <c r="F52" s="11"/>
      <c r="G52" s="11"/>
    </row>
    <row r="53" spans="1:7">
      <c r="A53" s="20" t="s">
        <v>43</v>
      </c>
      <c r="B53" s="20"/>
      <c r="C53" s="22"/>
      <c r="D53" s="22"/>
      <c r="E53" s="22"/>
      <c r="F53" s="22"/>
      <c r="G53" s="22"/>
    </row>
    <row r="54" spans="1:7">
      <c r="A54" t="s">
        <v>44</v>
      </c>
      <c r="C54" s="15">
        <f>C18</f>
        <v>0.2</v>
      </c>
      <c r="D54" s="15">
        <f>D18</f>
        <v>0.2</v>
      </c>
      <c r="E54" s="15">
        <f>E18</f>
        <v>0.2</v>
      </c>
      <c r="F54" s="15">
        <f>F18</f>
        <v>0.2</v>
      </c>
      <c r="G54" s="15">
        <f>G18</f>
        <v>0.2</v>
      </c>
    </row>
    <row r="55" spans="1:7">
      <c r="A55" t="s">
        <v>42</v>
      </c>
      <c r="C55" s="3">
        <f>C33*C54</f>
        <v>4384799.9999999991</v>
      </c>
      <c r="D55" s="3">
        <f>D33*D54</f>
        <v>4806617.7599999988</v>
      </c>
      <c r="E55" s="3">
        <f>E33*E54</f>
        <v>5000805.1175039988</v>
      </c>
      <c r="F55" s="3">
        <f>F33*F54</f>
        <v>5253970.8765776381</v>
      </c>
      <c r="G55" s="3">
        <f>G33*G54</f>
        <v>5519953.1522043794</v>
      </c>
    </row>
    <row r="57" spans="1:7">
      <c r="A57" t="s">
        <v>45</v>
      </c>
      <c r="C57" s="3">
        <f>C51+C55</f>
        <v>4604039.9999999991</v>
      </c>
      <c r="D57" s="3">
        <f>D51+D55</f>
        <v>5046948.6479999991</v>
      </c>
      <c r="E57" s="3">
        <f>E51+E55</f>
        <v>5250845.3733791988</v>
      </c>
      <c r="F57" s="3">
        <f>F51+F55</f>
        <v>5516669.4204065204</v>
      </c>
      <c r="G57" s="3">
        <f>G51+G55</f>
        <v>5795950.8098145984</v>
      </c>
    </row>
    <row r="60" spans="1:7">
      <c r="A60" s="2" t="s">
        <v>46</v>
      </c>
      <c r="B60" s="2"/>
    </row>
    <row r="61" spans="1:7" ht="16.149999999999999">
      <c r="A61" s="20" t="s">
        <v>47</v>
      </c>
      <c r="B61" s="20"/>
      <c r="C61" s="21"/>
      <c r="D61" s="21"/>
      <c r="E61" s="21"/>
      <c r="F61" s="21"/>
      <c r="G61" s="21"/>
    </row>
    <row r="62" spans="1:7">
      <c r="A62" t="s">
        <v>48</v>
      </c>
      <c r="B62" s="11">
        <f>B19</f>
        <v>25000</v>
      </c>
      <c r="C62" s="11">
        <f t="shared" ref="C62:G62" si="2">C19</f>
        <v>0</v>
      </c>
      <c r="D62" s="11">
        <f t="shared" si="2"/>
        <v>0</v>
      </c>
      <c r="E62" s="11">
        <f t="shared" si="2"/>
        <v>0</v>
      </c>
      <c r="F62" s="11">
        <f t="shared" si="2"/>
        <v>0</v>
      </c>
      <c r="G62" s="11">
        <f t="shared" si="2"/>
        <v>0</v>
      </c>
    </row>
    <row r="63" spans="1:7" ht="16.149999999999999">
      <c r="B63" s="21"/>
      <c r="C63" s="23"/>
      <c r="D63" s="21">
        <v>0</v>
      </c>
      <c r="E63" s="21">
        <v>0</v>
      </c>
      <c r="F63" s="21">
        <v>0</v>
      </c>
      <c r="G63" s="21">
        <v>0</v>
      </c>
    </row>
    <row r="64" spans="1:7">
      <c r="A64" t="s">
        <v>42</v>
      </c>
      <c r="B64" s="3">
        <f t="shared" ref="B64:G64" si="3">SUM(B62:B63)</f>
        <v>25000</v>
      </c>
      <c r="C64" s="11">
        <f t="shared" si="3"/>
        <v>0</v>
      </c>
      <c r="D64" s="11">
        <f t="shared" si="3"/>
        <v>0</v>
      </c>
      <c r="E64" s="11">
        <f t="shared" si="3"/>
        <v>0</v>
      </c>
      <c r="F64" s="11">
        <f t="shared" si="3"/>
        <v>0</v>
      </c>
      <c r="G64" s="11">
        <f t="shared" si="3"/>
        <v>0</v>
      </c>
    </row>
    <row r="65" spans="1:10">
      <c r="C65" s="11"/>
      <c r="D65" s="11"/>
      <c r="E65" s="11"/>
      <c r="F65" s="11"/>
      <c r="G65" s="11"/>
    </row>
    <row r="66" spans="1:10">
      <c r="A66" s="20" t="s">
        <v>49</v>
      </c>
      <c r="B66" s="20"/>
      <c r="C66" s="22"/>
      <c r="D66" s="22"/>
      <c r="E66" s="22"/>
      <c r="F66" s="22"/>
      <c r="G66" s="22"/>
    </row>
    <row r="67" spans="1:10">
      <c r="A67" t="s">
        <v>50</v>
      </c>
      <c r="B67" s="24">
        <v>0.05</v>
      </c>
      <c r="C67" s="24">
        <v>0.05</v>
      </c>
      <c r="D67" s="24">
        <v>0.05</v>
      </c>
      <c r="E67" s="24">
        <v>0.05</v>
      </c>
      <c r="F67" s="24">
        <v>0.05</v>
      </c>
      <c r="G67" s="24">
        <v>0.05</v>
      </c>
    </row>
    <row r="68" spans="1:10">
      <c r="A68" t="s">
        <v>51</v>
      </c>
      <c r="B68" s="11">
        <v>10000</v>
      </c>
      <c r="C68" s="11"/>
      <c r="D68" s="11"/>
      <c r="E68" s="11"/>
      <c r="F68" s="11"/>
      <c r="G68" s="11"/>
    </row>
    <row r="69" spans="1:10">
      <c r="A69" t="s">
        <v>52</v>
      </c>
      <c r="B69" s="12">
        <f>(B12+(B14*(B15-B12)))+(B13/100)</f>
        <v>3.13</v>
      </c>
      <c r="C69" s="12">
        <v>0.3</v>
      </c>
      <c r="D69" s="12">
        <v>0.3</v>
      </c>
      <c r="E69" s="12">
        <v>0.3</v>
      </c>
      <c r="F69" s="12">
        <v>0.3</v>
      </c>
      <c r="G69" s="12">
        <v>0.3</v>
      </c>
      <c r="H69" s="12" t="s">
        <v>53</v>
      </c>
      <c r="J69" t="s">
        <v>54</v>
      </c>
    </row>
    <row r="70" spans="1:10">
      <c r="A70" t="s">
        <v>51</v>
      </c>
      <c r="B70" s="11">
        <f>B64-B68</f>
        <v>15000</v>
      </c>
      <c r="C70" s="11"/>
      <c r="D70" s="11"/>
      <c r="E70" s="11"/>
      <c r="F70" s="11"/>
      <c r="G70" s="11"/>
    </row>
    <row r="71" spans="1:10">
      <c r="A71" t="s">
        <v>55</v>
      </c>
      <c r="B71" s="16">
        <v>60</v>
      </c>
      <c r="C71" s="16">
        <v>60</v>
      </c>
      <c r="D71" s="11"/>
      <c r="E71" s="11"/>
      <c r="F71" s="11"/>
      <c r="G71" s="11"/>
    </row>
    <row r="72" spans="1:10">
      <c r="A72" t="s">
        <v>56</v>
      </c>
      <c r="B72" s="11"/>
      <c r="C72" s="11">
        <f>-$B$68/$B$71*12</f>
        <v>-2000</v>
      </c>
      <c r="D72" s="11">
        <f t="shared" ref="D72:G72" si="4">-$B$68/$B$71*12</f>
        <v>-2000</v>
      </c>
      <c r="E72" s="11">
        <f t="shared" si="4"/>
        <v>-2000</v>
      </c>
      <c r="F72" s="11">
        <f t="shared" si="4"/>
        <v>-2000</v>
      </c>
      <c r="G72" s="11">
        <f t="shared" si="4"/>
        <v>-2000</v>
      </c>
    </row>
    <row r="73" spans="1:10">
      <c r="A73" t="s">
        <v>42</v>
      </c>
      <c r="B73" s="3">
        <f>B68+B70+B72</f>
        <v>25000</v>
      </c>
      <c r="C73" s="3">
        <f>C68+C70+C72</f>
        <v>-2000</v>
      </c>
      <c r="D73" s="3">
        <f t="shared" ref="D73:G73" si="5">D68+D70+D72</f>
        <v>-2000</v>
      </c>
      <c r="E73" s="3">
        <f t="shared" si="5"/>
        <v>-2000</v>
      </c>
      <c r="F73" s="3">
        <f t="shared" si="5"/>
        <v>-2000</v>
      </c>
      <c r="G73" s="3">
        <f t="shared" si="5"/>
        <v>-2000</v>
      </c>
    </row>
    <row r="75" spans="1:10">
      <c r="A75" s="10" t="s">
        <v>57</v>
      </c>
      <c r="B75" s="10"/>
    </row>
    <row r="76" spans="1:10">
      <c r="A76" t="s">
        <v>49</v>
      </c>
      <c r="B76" s="3">
        <f>B68+B70</f>
        <v>25000</v>
      </c>
    </row>
    <row r="77" spans="1:10">
      <c r="A77" t="s">
        <v>58</v>
      </c>
      <c r="B77" s="12">
        <f>C67</f>
        <v>0.05</v>
      </c>
    </row>
    <row r="78" spans="1:10">
      <c r="A78" t="s">
        <v>59</v>
      </c>
      <c r="B78" s="12">
        <f>(B12+(B14*(B15-B12)))+(B13/100/100)</f>
        <v>0.16</v>
      </c>
    </row>
    <row r="79" spans="1:10">
      <c r="A79" t="s">
        <v>60</v>
      </c>
      <c r="B79" s="12">
        <f>B68/B76</f>
        <v>0.4</v>
      </c>
    </row>
    <row r="80" spans="1:10">
      <c r="A80" t="s">
        <v>61</v>
      </c>
      <c r="B80" s="13">
        <f>B70/B76</f>
        <v>0.6</v>
      </c>
    </row>
    <row r="81" spans="1:5">
      <c r="B81" s="13"/>
      <c r="E81" s="12"/>
    </row>
    <row r="82" spans="1:5">
      <c r="A82" t="s">
        <v>62</v>
      </c>
      <c r="B82" s="13">
        <f>(B77*B79)+(B78*B80)</f>
        <v>0.11600000000000001</v>
      </c>
    </row>
    <row r="83" spans="1:5">
      <c r="C83" s="13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113F-2C5E-43F1-9729-D84018D85E6B}">
  <dimension ref="A1:F16"/>
  <sheetViews>
    <sheetView zoomScale="120" zoomScaleNormal="120" workbookViewId="0">
      <selection activeCell="F16" sqref="F16"/>
    </sheetView>
  </sheetViews>
  <sheetFormatPr defaultRowHeight="14.45"/>
  <cols>
    <col min="1" max="1" width="32.7109375" bestFit="1" customWidth="1"/>
    <col min="2" max="6" width="15" bestFit="1" customWidth="1"/>
  </cols>
  <sheetData>
    <row r="1" spans="1:6">
      <c r="A1" s="2" t="s">
        <v>63</v>
      </c>
      <c r="B1" t="str">
        <f>Assumptions!C1</f>
        <v>year 1</v>
      </c>
      <c r="C1" t="str">
        <f>Assumptions!D1</f>
        <v>year 2</v>
      </c>
      <c r="D1" t="str">
        <f>Assumptions!E1</f>
        <v>year 3</v>
      </c>
      <c r="E1" t="str">
        <f>Assumptions!F1</f>
        <v>year 4</v>
      </c>
      <c r="F1" t="str">
        <f>Assumptions!G1</f>
        <v>year 5</v>
      </c>
    </row>
    <row r="2" spans="1:6">
      <c r="A2" s="6" t="s">
        <v>27</v>
      </c>
      <c r="B2" s="1">
        <f>Assumptions!C33</f>
        <v>21923999.999999996</v>
      </c>
      <c r="C2" s="1">
        <f>Assumptions!D33</f>
        <v>24033088.799999993</v>
      </c>
      <c r="D2" s="1">
        <f>Assumptions!E33</f>
        <v>25004025.587519992</v>
      </c>
      <c r="E2" s="1">
        <f>Assumptions!F33</f>
        <v>26269854.382888187</v>
      </c>
      <c r="F2" s="1">
        <f>Assumptions!G33</f>
        <v>27599765.761021897</v>
      </c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6" t="s">
        <v>31</v>
      </c>
      <c r="B5" s="8">
        <f>Assumptions!C44</f>
        <v>13154399.999999998</v>
      </c>
      <c r="C5" s="8">
        <f>Assumptions!D44</f>
        <v>14219577.539999995</v>
      </c>
      <c r="D5" s="8">
        <f>Assumptions!E44</f>
        <v>14865546.911795996</v>
      </c>
      <c r="E5" s="8">
        <f>Assumptions!F44</f>
        <v>15655857.462787807</v>
      </c>
      <c r="F5" s="8">
        <f>Assumptions!G44</f>
        <v>16488281.615224537</v>
      </c>
    </row>
    <row r="6" spans="1:6">
      <c r="A6" s="1"/>
      <c r="B6" s="1"/>
      <c r="C6" s="1"/>
      <c r="D6" s="1"/>
      <c r="E6" s="1"/>
      <c r="F6" s="1"/>
    </row>
    <row r="7" spans="1:6">
      <c r="A7" s="6" t="s">
        <v>64</v>
      </c>
      <c r="B7" s="1">
        <f>B2-B5</f>
        <v>8769599.9999999981</v>
      </c>
      <c r="C7" s="1">
        <f t="shared" ref="C7:F7" si="0">C2-C5</f>
        <v>9813511.2599999979</v>
      </c>
      <c r="D7" s="1">
        <f t="shared" si="0"/>
        <v>10138478.675723996</v>
      </c>
      <c r="E7" s="1">
        <f t="shared" si="0"/>
        <v>10613996.92010038</v>
      </c>
      <c r="F7" s="1">
        <f t="shared" si="0"/>
        <v>11111484.145797361</v>
      </c>
    </row>
    <row r="8" spans="1:6">
      <c r="A8" s="1"/>
      <c r="B8" s="1"/>
      <c r="C8" s="1"/>
      <c r="D8" s="1"/>
      <c r="E8" s="1"/>
      <c r="F8" s="1"/>
    </row>
    <row r="9" spans="1:6">
      <c r="A9" s="6" t="s">
        <v>39</v>
      </c>
      <c r="B9" s="8">
        <f>Assumptions!C57</f>
        <v>4604039.9999999991</v>
      </c>
      <c r="C9" s="8">
        <f>Assumptions!D57</f>
        <v>5046948.6479999991</v>
      </c>
      <c r="D9" s="8">
        <f>Assumptions!E57</f>
        <v>5250845.3733791988</v>
      </c>
      <c r="E9" s="8">
        <f>Assumptions!F57</f>
        <v>5516669.4204065204</v>
      </c>
      <c r="F9" s="8">
        <f>Assumptions!G57</f>
        <v>5795950.8098145984</v>
      </c>
    </row>
    <row r="10" spans="1:6">
      <c r="A10" s="6"/>
      <c r="B10" s="8"/>
      <c r="C10" s="8"/>
      <c r="D10" s="8"/>
      <c r="E10" s="8"/>
      <c r="F10" s="8"/>
    </row>
    <row r="11" spans="1:6">
      <c r="A11" s="6" t="s">
        <v>65</v>
      </c>
      <c r="B11" s="8">
        <f>B7-B9</f>
        <v>4165559.9999999991</v>
      </c>
      <c r="C11" s="8">
        <f>C7-C9</f>
        <v>4766562.6119999988</v>
      </c>
      <c r="D11" s="8">
        <f>D7-D9</f>
        <v>4887633.3023447972</v>
      </c>
      <c r="E11" s="8">
        <f>E7-E9</f>
        <v>5097327.4996938594</v>
      </c>
      <c r="F11" s="8">
        <f>F7-F9</f>
        <v>5315533.3359827623</v>
      </c>
    </row>
    <row r="12" spans="1:6">
      <c r="A12" s="6"/>
      <c r="B12" s="8"/>
      <c r="C12" s="8"/>
      <c r="D12" s="8"/>
      <c r="E12" s="8"/>
      <c r="F12" s="8"/>
    </row>
    <row r="13" spans="1:6" ht="16.149999999999999">
      <c r="A13" s="7" t="s">
        <v>66</v>
      </c>
      <c r="B13" s="5">
        <f>SUM(B14:B14)</f>
        <v>1041389.9999999998</v>
      </c>
      <c r="C13" s="5">
        <f>SUM(C14:C14)</f>
        <v>1191640.6529999997</v>
      </c>
      <c r="D13" s="5">
        <f>SUM(D14:D14)</f>
        <v>1221908.3255861993</v>
      </c>
      <c r="E13" s="5">
        <f>SUM(E14:E14)</f>
        <v>1274331.8749234648</v>
      </c>
      <c r="F13" s="5">
        <f>SUM(F14:F14)</f>
        <v>1328883.3339956906</v>
      </c>
    </row>
    <row r="14" spans="1:6">
      <c r="A14" s="8" t="s">
        <v>67</v>
      </c>
      <c r="B14" s="8">
        <f>B11*0.25</f>
        <v>1041389.9999999998</v>
      </c>
      <c r="C14" s="8">
        <f t="shared" ref="C14:F14" si="1">C11*0.25</f>
        <v>1191640.6529999997</v>
      </c>
      <c r="D14" s="8">
        <f t="shared" si="1"/>
        <v>1221908.3255861993</v>
      </c>
      <c r="E14" s="8">
        <f t="shared" si="1"/>
        <v>1274331.8749234648</v>
      </c>
      <c r="F14" s="8">
        <f t="shared" si="1"/>
        <v>1328883.3339956906</v>
      </c>
    </row>
    <row r="15" spans="1:6">
      <c r="B15" s="3"/>
      <c r="C15" s="3"/>
      <c r="D15" s="3"/>
      <c r="E15" s="3"/>
      <c r="F15" s="3"/>
    </row>
    <row r="16" spans="1:6">
      <c r="A16" s="6" t="s">
        <v>68</v>
      </c>
      <c r="B16" s="9">
        <f>B11-B13</f>
        <v>3124169.9999999991</v>
      </c>
      <c r="C16" s="9">
        <f t="shared" ref="C16:F16" si="2">C11-C13</f>
        <v>3574921.9589999989</v>
      </c>
      <c r="D16" s="9">
        <f t="shared" si="2"/>
        <v>3665724.9767585979</v>
      </c>
      <c r="E16" s="9">
        <f t="shared" si="2"/>
        <v>3822995.6247703945</v>
      </c>
      <c r="F16" s="9">
        <f t="shared" si="2"/>
        <v>3986650.0019870717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E1EE-F491-4DD4-A11A-F4DAE72965A1}">
  <dimension ref="A1:F29"/>
  <sheetViews>
    <sheetView topLeftCell="A8" zoomScale="160" zoomScaleNormal="160" workbookViewId="0">
      <selection activeCell="A25" sqref="A25"/>
    </sheetView>
  </sheetViews>
  <sheetFormatPr defaultRowHeight="14.45"/>
  <cols>
    <col min="1" max="1" width="21.85546875" bestFit="1" customWidth="1"/>
    <col min="2" max="5" width="14" bestFit="1" customWidth="1"/>
    <col min="6" max="6" width="15" bestFit="1" customWidth="1"/>
  </cols>
  <sheetData>
    <row r="1" spans="1:6">
      <c r="A1" t="s">
        <v>69</v>
      </c>
    </row>
    <row r="2" spans="1:6">
      <c r="A2" s="10" t="s">
        <v>70</v>
      </c>
      <c r="B2" s="4" t="str">
        <f>Assumptions!C1</f>
        <v>year 1</v>
      </c>
      <c r="C2" s="4" t="str">
        <f>Assumptions!D1</f>
        <v>year 2</v>
      </c>
      <c r="D2" s="4" t="str">
        <f>Assumptions!E1</f>
        <v>year 3</v>
      </c>
      <c r="E2" s="4" t="str">
        <f>Assumptions!F1</f>
        <v>year 4</v>
      </c>
      <c r="F2" s="4" t="str">
        <f>Assumptions!G1</f>
        <v>year 5</v>
      </c>
    </row>
    <row r="4" spans="1:6">
      <c r="A4" t="s">
        <v>71</v>
      </c>
      <c r="B4" s="1">
        <f>IF(B28&lt;B29,B29-B28,0)</f>
        <v>1584922.4999999995</v>
      </c>
      <c r="C4" s="1">
        <f t="shared" ref="C4:F4" si="0">IF(C28&lt;C29,C29-C28,0)</f>
        <v>5016722.8682499975</v>
      </c>
      <c r="D4" s="1">
        <f t="shared" si="0"/>
        <v>8610078.3490485456</v>
      </c>
      <c r="E4" s="1">
        <f t="shared" si="0"/>
        <v>12341132.338471532</v>
      </c>
      <c r="F4" s="1">
        <f t="shared" si="0"/>
        <v>16231214.349759201</v>
      </c>
    </row>
    <row r="5" spans="1:6">
      <c r="A5" t="s">
        <v>72</v>
      </c>
      <c r="B5" s="3">
        <f>'Income Statement'!B2/360*Assumptions!C21</f>
        <v>1826999.9999999998</v>
      </c>
      <c r="C5" s="3">
        <f>'Income Statement'!C2/360*Assumptions!D21</f>
        <v>2002757.3999999997</v>
      </c>
      <c r="D5" s="3">
        <f>'Income Statement'!D2/360*Assumptions!E21</f>
        <v>2083668.7989599996</v>
      </c>
      <c r="E5" s="3">
        <f>'Income Statement'!E2/360*Assumptions!F21</f>
        <v>2189154.5319073489</v>
      </c>
      <c r="F5" s="3">
        <f>'Income Statement'!F2/360*Assumptions!G21</f>
        <v>2299980.4800851583</v>
      </c>
    </row>
    <row r="6" spans="1:6">
      <c r="A6" t="s">
        <v>73</v>
      </c>
      <c r="B6" s="3">
        <f>Assumptions!C44/360*Assumptions!C22</f>
        <v>730799.99999999988</v>
      </c>
      <c r="C6" s="3">
        <f>Assumptions!D44/360*Assumptions!D22</f>
        <v>789976.5299999998</v>
      </c>
      <c r="D6" s="3">
        <f>Assumptions!E44/360*Assumptions!E22</f>
        <v>825863.71732199972</v>
      </c>
      <c r="E6" s="3">
        <f>Assumptions!F44/360*Assumptions!F22</f>
        <v>869769.85904376709</v>
      </c>
      <c r="F6" s="3">
        <f>Assumptions!G44/360*Assumptions!G22</f>
        <v>916015.64529025205</v>
      </c>
    </row>
    <row r="7" spans="1:6">
      <c r="A7" t="s">
        <v>74</v>
      </c>
      <c r="B7" s="3">
        <f>Assumptions!B64</f>
        <v>25000</v>
      </c>
      <c r="C7" s="3">
        <f>B7+Assumptions!D64</f>
        <v>25000</v>
      </c>
      <c r="D7" s="3">
        <f>C7+Assumptions!E64</f>
        <v>25000</v>
      </c>
      <c r="E7" s="3">
        <f>D7+Assumptions!F64</f>
        <v>25000</v>
      </c>
      <c r="F7" s="3">
        <f>E7+Assumptions!G64</f>
        <v>25000</v>
      </c>
    </row>
    <row r="9" spans="1:6">
      <c r="A9" t="s">
        <v>42</v>
      </c>
      <c r="B9" s="1">
        <f>SUM(B4:B7)</f>
        <v>4167722.4999999991</v>
      </c>
      <c r="C9" s="1">
        <f t="shared" ref="C9:F9" si="1">SUM(C4:C7)</f>
        <v>7834456.7982499972</v>
      </c>
      <c r="D9" s="1">
        <f t="shared" si="1"/>
        <v>11544610.865330545</v>
      </c>
      <c r="E9" s="1">
        <f t="shared" si="1"/>
        <v>15425056.729422649</v>
      </c>
      <c r="F9" s="1">
        <f t="shared" si="1"/>
        <v>19472210.475134611</v>
      </c>
    </row>
    <row r="11" spans="1:6">
      <c r="A11" s="10" t="s">
        <v>75</v>
      </c>
    </row>
    <row r="13" spans="1:6">
      <c r="A13" t="s">
        <v>76</v>
      </c>
      <c r="B13" s="1">
        <f>IF(B29&lt;B9,B9-B29,0)</f>
        <v>0</v>
      </c>
      <c r="C13" s="1">
        <f>IF(C29&lt;C9,C9-C29,0)</f>
        <v>0</v>
      </c>
      <c r="D13" s="1">
        <f>IF(D29&lt;D9,D9-D29,0)</f>
        <v>0</v>
      </c>
      <c r="E13" s="1">
        <f>IF(E29&lt;E9,E9-E29,0)</f>
        <v>0</v>
      </c>
      <c r="F13" s="1">
        <f>IF(F29&lt;F9,F9-F29,0)</f>
        <v>0</v>
      </c>
    </row>
    <row r="14" spans="1:6">
      <c r="A14" t="s">
        <v>77</v>
      </c>
      <c r="B14" s="3">
        <f>(Assumptions!C44)/360*Assumptions!C23</f>
        <v>548099.99999999988</v>
      </c>
      <c r="C14" s="3">
        <f>(Assumptions!D44)/360*Assumptions!D23</f>
        <v>592482.39749999985</v>
      </c>
      <c r="D14" s="3">
        <f>(Assumptions!E44)/360*Assumptions!E23</f>
        <v>619397.78799149976</v>
      </c>
      <c r="E14" s="3">
        <f>(Assumptions!F44)/360*Assumptions!F23</f>
        <v>652327.39428282529</v>
      </c>
      <c r="F14" s="3">
        <f>(Assumptions!G44)/360*Assumptions!G23</f>
        <v>687011.73396768898</v>
      </c>
    </row>
    <row r="15" spans="1:6">
      <c r="A15" t="s">
        <v>78</v>
      </c>
      <c r="B15" s="3">
        <f>'Income Statement'!B9/12</f>
        <v>383669.99999999994</v>
      </c>
      <c r="C15" s="3">
        <f>'Income Statement'!C9/12</f>
        <v>420579.05399999995</v>
      </c>
      <c r="D15" s="3">
        <f>'Income Statement'!D9/12</f>
        <v>437570.44778159988</v>
      </c>
      <c r="E15" s="3">
        <f>'Income Statement'!E9/12</f>
        <v>459722.45170054334</v>
      </c>
      <c r="F15" s="3">
        <f>'Income Statement'!F9/12</f>
        <v>482995.9008178832</v>
      </c>
    </row>
    <row r="16" spans="1:6">
      <c r="A16" t="s">
        <v>79</v>
      </c>
      <c r="B16" s="3">
        <f>'Income Statement'!B14/12</f>
        <v>86782.499999999985</v>
      </c>
      <c r="C16" s="3">
        <f>'Income Statement'!C14/12</f>
        <v>99303.38774999998</v>
      </c>
      <c r="D16" s="3">
        <f>'Income Statement'!D14/12</f>
        <v>101825.69379884994</v>
      </c>
      <c r="E16" s="3">
        <f>'Income Statement'!E14/12</f>
        <v>106194.32291028874</v>
      </c>
      <c r="F16" s="3">
        <f>'Income Statement'!F14/12</f>
        <v>110740.27783297421</v>
      </c>
    </row>
    <row r="17" spans="1:6">
      <c r="A17" t="s">
        <v>80</v>
      </c>
      <c r="B17" s="3">
        <f>Assumptions!B68+Assumptions!B72</f>
        <v>10000</v>
      </c>
      <c r="C17" s="3">
        <f>B17+Assumptions!D68+Assumptions!D72</f>
        <v>8000</v>
      </c>
      <c r="D17" s="3">
        <f>C17+Assumptions!E68+Assumptions!E72</f>
        <v>6000</v>
      </c>
      <c r="E17" s="3">
        <f>D17+Assumptions!F68+Assumptions!F72</f>
        <v>4000</v>
      </c>
      <c r="F17" s="3">
        <f>E17+Assumptions!G68+Assumptions!G72</f>
        <v>2000</v>
      </c>
    </row>
    <row r="18" spans="1:6">
      <c r="A18" t="s">
        <v>81</v>
      </c>
      <c r="B18" s="3">
        <f>Assumptions!B70</f>
        <v>15000</v>
      </c>
      <c r="C18" s="3">
        <f>B18+Assumptions!D70</f>
        <v>15000</v>
      </c>
      <c r="D18" s="3">
        <f>C18+Assumptions!E70</f>
        <v>15000</v>
      </c>
      <c r="E18" s="3">
        <f>D18+Assumptions!F70</f>
        <v>15000</v>
      </c>
      <c r="F18" s="3">
        <f>E18+Assumptions!G70</f>
        <v>15000</v>
      </c>
    </row>
    <row r="19" spans="1:6">
      <c r="A19" t="s">
        <v>82</v>
      </c>
      <c r="B19" s="3">
        <f>'Income Statement'!B16</f>
        <v>3124169.9999999991</v>
      </c>
      <c r="C19" s="3">
        <f>'Income Statement'!C16+B19</f>
        <v>6699091.9589999979</v>
      </c>
      <c r="D19" s="3">
        <f>'Income Statement'!D16+C19</f>
        <v>10364816.935758596</v>
      </c>
      <c r="E19" s="3">
        <f>'Income Statement'!E16+D19</f>
        <v>14187812.56052899</v>
      </c>
      <c r="F19" s="3">
        <f>'Income Statement'!F16+E19</f>
        <v>18174462.562516063</v>
      </c>
    </row>
    <row r="21" spans="1:6">
      <c r="A21" t="s">
        <v>42</v>
      </c>
      <c r="B21" s="1">
        <f>SUM(B13:B19)</f>
        <v>4167722.4999999991</v>
      </c>
      <c r="C21" s="1">
        <f>SUM(C13:C19)</f>
        <v>7834456.7982499972</v>
      </c>
      <c r="D21" s="1">
        <f>SUM(D13:D19)</f>
        <v>11544610.865330545</v>
      </c>
      <c r="E21" s="1">
        <f>SUM(E13:E19)</f>
        <v>15425056.729422648</v>
      </c>
      <c r="F21" s="1">
        <f>SUM(F13:F19)</f>
        <v>19472210.475134611</v>
      </c>
    </row>
    <row r="28" spans="1:6">
      <c r="A28" t="s">
        <v>83</v>
      </c>
      <c r="B28" s="3">
        <f>SUM(B5:B7)</f>
        <v>2582799.9999999995</v>
      </c>
      <c r="C28" s="3">
        <f>SUM(C5:C7)</f>
        <v>2817733.9299999997</v>
      </c>
      <c r="D28" s="3">
        <f>SUM(D5:D7)</f>
        <v>2934532.5162819992</v>
      </c>
      <c r="E28" s="3">
        <f>SUM(E5:E7)</f>
        <v>3083924.3909511161</v>
      </c>
      <c r="F28" s="3">
        <f>SUM(F5:F7)</f>
        <v>3240996.1253754105</v>
      </c>
    </row>
    <row r="29" spans="1:6">
      <c r="A29" t="s">
        <v>84</v>
      </c>
      <c r="B29" s="1">
        <f>SUM(B14:B19)</f>
        <v>4167722.4999999991</v>
      </c>
      <c r="C29" s="1">
        <f t="shared" ref="C29:F29" si="2">SUM(C14:C19)</f>
        <v>7834456.7982499972</v>
      </c>
      <c r="D29" s="1">
        <f t="shared" si="2"/>
        <v>11544610.865330545</v>
      </c>
      <c r="E29" s="1">
        <f t="shared" si="2"/>
        <v>15425056.729422648</v>
      </c>
      <c r="F29" s="1">
        <f t="shared" si="2"/>
        <v>19472210.475134611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E11B-FF10-4677-A4CA-514853D8B539}">
  <dimension ref="A1:F27"/>
  <sheetViews>
    <sheetView zoomScale="160" zoomScaleNormal="160" workbookViewId="0">
      <selection activeCell="B12" sqref="B12"/>
    </sheetView>
  </sheetViews>
  <sheetFormatPr defaultRowHeight="14.45"/>
  <cols>
    <col min="1" max="1" width="29.42578125" bestFit="1" customWidth="1"/>
    <col min="2" max="6" width="14" bestFit="1" customWidth="1"/>
  </cols>
  <sheetData>
    <row r="1" spans="1:6">
      <c r="A1" s="10" t="s">
        <v>85</v>
      </c>
      <c r="B1" s="4" t="str">
        <f>Assumptions!C1</f>
        <v>year 1</v>
      </c>
      <c r="C1" s="4" t="str">
        <f>Assumptions!D1</f>
        <v>year 2</v>
      </c>
      <c r="D1" s="4" t="str">
        <f>Assumptions!E1</f>
        <v>year 3</v>
      </c>
      <c r="E1" s="4" t="str">
        <f>Assumptions!F1</f>
        <v>year 4</v>
      </c>
      <c r="F1" s="4" t="str">
        <f>Assumptions!G1</f>
        <v>year 5</v>
      </c>
    </row>
    <row r="3" spans="1:6">
      <c r="A3" t="s">
        <v>68</v>
      </c>
      <c r="B3" s="1">
        <f>'Income Statement'!B16</f>
        <v>3124169.9999999991</v>
      </c>
      <c r="C3" s="1">
        <f>'Income Statement'!C16</f>
        <v>3574921.9589999989</v>
      </c>
      <c r="D3" s="1">
        <f>'Income Statement'!D16</f>
        <v>3665724.9767585979</v>
      </c>
      <c r="E3" s="1">
        <f>'Income Statement'!E16</f>
        <v>3822995.6247703945</v>
      </c>
      <c r="F3" s="1">
        <f>'Income Statement'!F16</f>
        <v>3986650.0019870717</v>
      </c>
    </row>
    <row r="4" spans="1:6">
      <c r="A4" t="s">
        <v>86</v>
      </c>
      <c r="B4" s="3"/>
      <c r="C4" s="3"/>
      <c r="D4" s="3"/>
      <c r="E4" s="3"/>
      <c r="F4" s="3"/>
    </row>
    <row r="5" spans="1:6">
      <c r="A5" t="s">
        <v>87</v>
      </c>
      <c r="B5" s="3">
        <f>-('Balance Sheet'!B5+'Balance Sheet'!B6)</f>
        <v>-2557799.9999999995</v>
      </c>
      <c r="C5" s="3">
        <f>'Balance Sheet'!B5+'Balance Sheet'!B6-'Balance Sheet'!C5-'Balance Sheet'!C6</f>
        <v>-234933.92999999993</v>
      </c>
      <c r="D5" s="3">
        <f>'Balance Sheet'!C5+'Balance Sheet'!C6-'Balance Sheet'!D5-'Balance Sheet'!D6</f>
        <v>-116798.5862819996</v>
      </c>
      <c r="E5" s="3">
        <f>'Balance Sheet'!D5+'Balance Sheet'!D6-'Balance Sheet'!E5-'Balance Sheet'!E6</f>
        <v>-149391.87466911681</v>
      </c>
      <c r="F5" s="3">
        <f>'Balance Sheet'!E5+'Balance Sheet'!E6-'Balance Sheet'!F5-'Balance Sheet'!F6</f>
        <v>-157071.73442429421</v>
      </c>
    </row>
    <row r="6" spans="1:6">
      <c r="A6" t="s">
        <v>88</v>
      </c>
      <c r="B6" s="3">
        <f>('Balance Sheet'!B14+'Balance Sheet'!B15+'Balance Sheet'!B16)</f>
        <v>1018552.4999999998</v>
      </c>
      <c r="C6" s="3">
        <f>('Balance Sheet'!C14+'Balance Sheet'!C15+'Balance Sheet'!C16-'Balance Sheet'!B14-'Balance Sheet'!B15-'Balance Sheet'!B16)</f>
        <v>93812.339249999917</v>
      </c>
      <c r="D6" s="3">
        <f>('Balance Sheet'!D14+'Balance Sheet'!D15+'Balance Sheet'!D16-'Balance Sheet'!C14-'Balance Sheet'!C15-'Balance Sheet'!C16)</f>
        <v>46429.090321949639</v>
      </c>
      <c r="E6" s="3">
        <f>('Balance Sheet'!E14+'Balance Sheet'!E15+'Balance Sheet'!E16-'Balance Sheet'!D14-'Balance Sheet'!D15-'Balance Sheet'!D16)</f>
        <v>59450.239321707806</v>
      </c>
      <c r="F6" s="3">
        <f>('Balance Sheet'!F14+'Balance Sheet'!F15+'Balance Sheet'!F16-'Balance Sheet'!E14-'Balance Sheet'!E15-'Balance Sheet'!E16)</f>
        <v>62503.743724888904</v>
      </c>
    </row>
    <row r="7" spans="1:6">
      <c r="A7" t="s">
        <v>89</v>
      </c>
      <c r="B7" s="1">
        <f>SUM(B3:B6)</f>
        <v>1584922.4999999993</v>
      </c>
      <c r="C7" s="1">
        <f t="shared" ref="C7:F7" si="0">SUM(C3:C6)</f>
        <v>3433800.3682499989</v>
      </c>
      <c r="D7" s="1">
        <f t="shared" si="0"/>
        <v>3595355.4807985481</v>
      </c>
      <c r="E7" s="1">
        <f t="shared" si="0"/>
        <v>3733053.9894229854</v>
      </c>
      <c r="F7" s="1">
        <f t="shared" si="0"/>
        <v>3892082.0112876669</v>
      </c>
    </row>
    <row r="8" spans="1:6">
      <c r="A8" t="s">
        <v>90</v>
      </c>
      <c r="B8" s="3">
        <f>-'Balance Sheet'!B7</f>
        <v>-25000</v>
      </c>
      <c r="C8" s="3">
        <f>'Balance Sheet'!B7-'Balance Sheet'!C7</f>
        <v>0</v>
      </c>
      <c r="D8" s="3">
        <f>'Balance Sheet'!C7-'Balance Sheet'!D7</f>
        <v>0</v>
      </c>
      <c r="E8" s="3">
        <f>'Balance Sheet'!D7-'Balance Sheet'!E7</f>
        <v>0</v>
      </c>
      <c r="F8" s="3">
        <f>'Balance Sheet'!E7-'Balance Sheet'!F7</f>
        <v>0</v>
      </c>
    </row>
    <row r="9" spans="1:6">
      <c r="A9" t="s">
        <v>91</v>
      </c>
      <c r="B9" s="3">
        <f>SUM(B7:B8)</f>
        <v>1559922.4999999993</v>
      </c>
      <c r="C9" s="3">
        <f t="shared" ref="C9:F9" si="1">SUM(C7:C8)</f>
        <v>3433800.3682499989</v>
      </c>
      <c r="D9" s="3">
        <f t="shared" si="1"/>
        <v>3595355.4807985481</v>
      </c>
      <c r="E9" s="3">
        <f t="shared" si="1"/>
        <v>3733053.9894229854</v>
      </c>
      <c r="F9" s="3">
        <f t="shared" si="1"/>
        <v>3892082.0112876669</v>
      </c>
    </row>
    <row r="10" spans="1:6">
      <c r="A10" t="s">
        <v>92</v>
      </c>
      <c r="B10" s="3">
        <f>'Balance Sheet'!B17+'Balance Sheet'!B18</f>
        <v>25000</v>
      </c>
      <c r="C10" s="3">
        <f>'Balance Sheet'!C17+'Balance Sheet'!C18-'Balance Sheet'!B17-'Balance Sheet'!B18</f>
        <v>-2000</v>
      </c>
      <c r="D10" s="3">
        <f>'Balance Sheet'!D17+'Balance Sheet'!D18-'Balance Sheet'!C17-'Balance Sheet'!C18</f>
        <v>-2000</v>
      </c>
      <c r="E10" s="3">
        <f>'Balance Sheet'!E17+'Balance Sheet'!E18-'Balance Sheet'!D17-'Balance Sheet'!D18</f>
        <v>-2000</v>
      </c>
      <c r="F10" s="3">
        <f>'Balance Sheet'!F17+'Balance Sheet'!F18-'Balance Sheet'!E17-'Balance Sheet'!E18</f>
        <v>-2000</v>
      </c>
    </row>
    <row r="11" spans="1:6">
      <c r="B11" s="1"/>
      <c r="C11" s="1"/>
      <c r="D11" s="1"/>
      <c r="E11" s="1"/>
      <c r="F11" s="1"/>
    </row>
    <row r="12" spans="1:6">
      <c r="A12" s="10" t="s">
        <v>93</v>
      </c>
      <c r="B12" s="3">
        <f>SUM(B9:B10)</f>
        <v>1584922.4999999993</v>
      </c>
      <c r="C12" s="3">
        <f t="shared" ref="C12:F12" si="2">SUM(C9:C10)</f>
        <v>3431800.3682499989</v>
      </c>
      <c r="D12" s="3">
        <f t="shared" si="2"/>
        <v>3593355.4807985481</v>
      </c>
      <c r="E12" s="3">
        <f t="shared" si="2"/>
        <v>3731053.9894229854</v>
      </c>
      <c r="F12" s="3">
        <f t="shared" si="2"/>
        <v>3890082.0112876669</v>
      </c>
    </row>
    <row r="13" spans="1:6">
      <c r="B13" s="3"/>
      <c r="C13" s="3"/>
      <c r="D13" s="3"/>
      <c r="E13" s="3"/>
      <c r="F13" s="3"/>
    </row>
    <row r="14" spans="1:6">
      <c r="B14" s="3"/>
      <c r="C14" s="3"/>
      <c r="D14" s="3"/>
      <c r="E14" s="3"/>
      <c r="F14" s="3"/>
    </row>
    <row r="15" spans="1:6">
      <c r="B15" s="3"/>
      <c r="C15" s="3"/>
      <c r="D15" s="3"/>
      <c r="E15" s="3"/>
      <c r="F15" s="3"/>
    </row>
    <row r="16" spans="1:6">
      <c r="B16" s="3"/>
      <c r="C16" s="3"/>
      <c r="D16" s="3"/>
      <c r="E16" s="3"/>
      <c r="F16" s="3"/>
    </row>
    <row r="17" spans="1:6">
      <c r="B17" s="3"/>
      <c r="C17" s="3"/>
      <c r="D17" s="3"/>
      <c r="E17" s="3"/>
      <c r="F17" s="3"/>
    </row>
    <row r="18" spans="1:6">
      <c r="B18" s="3"/>
      <c r="C18" s="3"/>
      <c r="D18" s="3"/>
      <c r="E18" s="3"/>
      <c r="F18" s="3"/>
    </row>
    <row r="26" spans="1:6" hidden="1">
      <c r="A26" t="s">
        <v>83</v>
      </c>
      <c r="B26" s="3">
        <f>SUM(B4:B6)</f>
        <v>-1539247.4999999998</v>
      </c>
      <c r="C26" s="3">
        <f>SUM(C4:C6)</f>
        <v>-141121.59075000003</v>
      </c>
      <c r="D26" s="3">
        <f>SUM(D4:D6)</f>
        <v>-70369.495960049957</v>
      </c>
      <c r="E26" s="3">
        <f>SUM(E4:E6)</f>
        <v>-89941.635347408999</v>
      </c>
      <c r="F26" s="3">
        <f>SUM(F4:F6)</f>
        <v>-94567.990699405302</v>
      </c>
    </row>
    <row r="27" spans="1:6" hidden="1">
      <c r="A27" t="s">
        <v>84</v>
      </c>
      <c r="B27" s="1">
        <f>SUM(B12:B18)</f>
        <v>1584922.4999999993</v>
      </c>
      <c r="C27" s="1">
        <f t="shared" ref="C27:F27" si="3">SUM(C12:C18)</f>
        <v>3431800.3682499989</v>
      </c>
      <c r="D27" s="1">
        <f t="shared" si="3"/>
        <v>3593355.4807985481</v>
      </c>
      <c r="E27" s="1">
        <f t="shared" si="3"/>
        <v>3731053.9894229854</v>
      </c>
      <c r="F27" s="1">
        <f t="shared" si="3"/>
        <v>3890082.0112876669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9AE1-ED08-4097-9323-E23096BD1602}">
  <dimension ref="A1:G35"/>
  <sheetViews>
    <sheetView topLeftCell="A12" zoomScaleNormal="100" workbookViewId="0">
      <selection activeCell="C35" sqref="C35"/>
    </sheetView>
  </sheetViews>
  <sheetFormatPr defaultRowHeight="14.45"/>
  <cols>
    <col min="1" max="1" width="36.85546875" bestFit="1" customWidth="1"/>
    <col min="2" max="2" width="22.42578125" customWidth="1"/>
    <col min="3" max="3" width="20" bestFit="1" customWidth="1"/>
    <col min="4" max="5" width="16.5703125" bestFit="1" customWidth="1"/>
    <col min="6" max="7" width="17.7109375" bestFit="1" customWidth="1"/>
  </cols>
  <sheetData>
    <row r="1" spans="1:7">
      <c r="B1" t="s">
        <v>94</v>
      </c>
      <c r="C1" t="str">
        <f>'Income Statement'!B1</f>
        <v>year 1</v>
      </c>
      <c r="D1" t="str">
        <f>'Income Statement'!C1</f>
        <v>year 2</v>
      </c>
      <c r="E1" t="str">
        <f>'Income Statement'!D1</f>
        <v>year 3</v>
      </c>
      <c r="F1" t="str">
        <f>'Income Statement'!E1</f>
        <v>year 4</v>
      </c>
      <c r="G1" t="str">
        <f>'Income Statement'!F1</f>
        <v>year 5</v>
      </c>
    </row>
    <row r="2" spans="1:7">
      <c r="A2" s="2" t="s">
        <v>95</v>
      </c>
      <c r="B2" s="2"/>
    </row>
    <row r="3" spans="1:7">
      <c r="A3" t="s">
        <v>68</v>
      </c>
      <c r="C3" s="3">
        <f>'Income Statement'!B16</f>
        <v>3124169.9999999991</v>
      </c>
      <c r="D3" s="3">
        <f>'Income Statement'!C16</f>
        <v>3574921.9589999989</v>
      </c>
      <c r="E3" s="3">
        <f>'Income Statement'!D16</f>
        <v>3665724.9767585979</v>
      </c>
      <c r="F3" s="3">
        <f>'Income Statement'!E16</f>
        <v>3822995.6247703945</v>
      </c>
      <c r="G3" s="3">
        <f>'Income Statement'!F16</f>
        <v>3986650.0019870717</v>
      </c>
    </row>
    <row r="4" spans="1:7">
      <c r="A4" t="s">
        <v>96</v>
      </c>
      <c r="C4" s="3">
        <f>'Balance Sheet'!B9</f>
        <v>4167722.4999999991</v>
      </c>
      <c r="D4" s="3">
        <f>'Balance Sheet'!C9</f>
        <v>7834456.7982499972</v>
      </c>
      <c r="E4" s="3">
        <f>'Balance Sheet'!D9</f>
        <v>11544610.865330545</v>
      </c>
      <c r="F4" s="3">
        <f>'Balance Sheet'!E9</f>
        <v>15425056.729422649</v>
      </c>
      <c r="G4" s="3">
        <f>'Balance Sheet'!F9</f>
        <v>19472210.475134611</v>
      </c>
    </row>
    <row r="5" spans="1:7">
      <c r="A5" t="s">
        <v>95</v>
      </c>
      <c r="C5" s="12">
        <f>C3/C4</f>
        <v>0.74961084861096194</v>
      </c>
      <c r="D5" s="12">
        <f t="shared" ref="D5:G5" si="0">D3/D4</f>
        <v>0.45630757193000776</v>
      </c>
      <c r="E5" s="12">
        <f t="shared" si="0"/>
        <v>0.31752694131658293</v>
      </c>
      <c r="F5" s="12">
        <f t="shared" si="0"/>
        <v>0.2478432132750728</v>
      </c>
      <c r="G5" s="12">
        <f t="shared" si="0"/>
        <v>0.20473535899162018</v>
      </c>
    </row>
    <row r="7" spans="1:7">
      <c r="A7" t="s">
        <v>97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</row>
    <row r="8" spans="1:7">
      <c r="A8" t="s">
        <v>98</v>
      </c>
      <c r="B8" s="11">
        <f>-Assumptions!B64</f>
        <v>-25000</v>
      </c>
      <c r="C8" s="11">
        <f>'Cash Flow '!B12</f>
        <v>1584922.4999999993</v>
      </c>
      <c r="D8" s="11">
        <f>'Cash Flow '!C12</f>
        <v>3431800.3682499989</v>
      </c>
      <c r="E8" s="11">
        <f>'Cash Flow '!D12</f>
        <v>3593355.4807985481</v>
      </c>
      <c r="F8" s="11">
        <f>'Cash Flow '!E12</f>
        <v>3731053.9894229854</v>
      </c>
      <c r="G8" s="11">
        <f>'Cash Flow '!F12</f>
        <v>3890082.0112876669</v>
      </c>
    </row>
    <row r="9" spans="1:7">
      <c r="A9" t="s">
        <v>62</v>
      </c>
      <c r="C9" s="13">
        <f>Assumptions!B82</f>
        <v>0.11600000000000001</v>
      </c>
    </row>
    <row r="11" spans="1:7">
      <c r="A11" s="10" t="s">
        <v>99</v>
      </c>
      <c r="B11" s="10"/>
    </row>
    <row r="12" spans="1:7">
      <c r="A12" t="s">
        <v>100</v>
      </c>
      <c r="B12" s="11">
        <f>B8</f>
        <v>-25000</v>
      </c>
      <c r="C12" s="3">
        <f>B12+C8</f>
        <v>1559922.4999999993</v>
      </c>
      <c r="D12" s="3">
        <f>C12+D8</f>
        <v>4991722.8682499984</v>
      </c>
      <c r="E12" s="3">
        <f t="shared" ref="E12:G12" si="1">D12+E8</f>
        <v>8585078.3490485474</v>
      </c>
      <c r="F12" s="3">
        <f t="shared" si="1"/>
        <v>12316132.338471532</v>
      </c>
      <c r="G12" s="3">
        <f t="shared" si="1"/>
        <v>16206214.349759199</v>
      </c>
    </row>
    <row r="13" spans="1:7">
      <c r="A13" t="s">
        <v>101</v>
      </c>
    </row>
    <row r="15" spans="1:7">
      <c r="A15" s="10" t="s">
        <v>102</v>
      </c>
      <c r="B15" s="10"/>
    </row>
    <row r="16" spans="1:7">
      <c r="A16" t="s">
        <v>103</v>
      </c>
      <c r="B16" s="11">
        <f>B8/(1+$C$9)^B7</f>
        <v>-25000</v>
      </c>
      <c r="C16" s="11">
        <f>C8/((1+$C$9)^C7)</f>
        <v>1420181.4516129026</v>
      </c>
      <c r="D16" s="11">
        <f>D8/((1+$C$9)^D7)</f>
        <v>2755456.9316378883</v>
      </c>
      <c r="E16" s="11">
        <f>E8/((1+$C$9)^E7)</f>
        <v>2585280.0752179967</v>
      </c>
      <c r="F16" s="11">
        <f>F8/((1+$C$9)^F7)</f>
        <v>2405330.4822989064</v>
      </c>
      <c r="G16" s="11">
        <f>G8/((1+$C$9)^G7)</f>
        <v>2247179.6031522318</v>
      </c>
    </row>
    <row r="17" spans="1:7">
      <c r="A17" t="s">
        <v>104</v>
      </c>
      <c r="B17" s="3">
        <f>B16</f>
        <v>-25000</v>
      </c>
      <c r="C17" s="3">
        <f>B17+C16</f>
        <v>1395181.4516129026</v>
      </c>
      <c r="D17" s="3">
        <f>C17+D16</f>
        <v>4150638.3832507906</v>
      </c>
      <c r="E17" s="3">
        <f t="shared" ref="E17:G17" si="2">D17+E16</f>
        <v>6735918.4584687874</v>
      </c>
      <c r="F17" s="3">
        <f t="shared" si="2"/>
        <v>9141248.9407676943</v>
      </c>
      <c r="G17" s="3">
        <f t="shared" si="2"/>
        <v>11388428.543919927</v>
      </c>
    </row>
    <row r="19" spans="1:7" ht="15" thickBot="1"/>
    <row r="20" spans="1:7" ht="15" thickBot="1">
      <c r="A20" s="10" t="s">
        <v>105</v>
      </c>
      <c r="B20" s="10"/>
      <c r="C20" s="31">
        <f>IRR(B8:G8,C9)</f>
        <v>64.525844359812922</v>
      </c>
    </row>
    <row r="21" spans="1:7" ht="15" thickBot="1"/>
    <row r="22" spans="1:7" ht="15" thickBot="1">
      <c r="A22" s="10" t="s">
        <v>106</v>
      </c>
      <c r="B22" s="10"/>
      <c r="C22" s="32">
        <f>NPV(C9,B8:G8)</f>
        <v>10204685.075197065</v>
      </c>
    </row>
    <row r="23" spans="1:7" ht="15" thickBot="1"/>
    <row r="24" spans="1:7" ht="15" thickBot="1">
      <c r="A24" s="10" t="s">
        <v>107</v>
      </c>
      <c r="B24" s="10"/>
      <c r="C24" s="14">
        <f>C22/-B8</f>
        <v>408.18740300788261</v>
      </c>
    </row>
    <row r="26" spans="1:7">
      <c r="A26" s="10" t="s">
        <v>108</v>
      </c>
    </row>
    <row r="27" spans="1:7">
      <c r="A27" t="s">
        <v>109</v>
      </c>
      <c r="C27" s="26">
        <f>NPV(C9,C8:G8)</f>
        <v>11413428.543919927</v>
      </c>
    </row>
    <row r="28" spans="1:7">
      <c r="A28" t="s">
        <v>110</v>
      </c>
      <c r="C28" s="15">
        <v>0.02</v>
      </c>
    </row>
    <row r="29" spans="1:7">
      <c r="A29" t="s">
        <v>111</v>
      </c>
      <c r="C29" s="3">
        <f>G8/(C9-C28)</f>
        <v>40521687.617579862</v>
      </c>
    </row>
    <row r="31" spans="1:7">
      <c r="A31" t="s">
        <v>112</v>
      </c>
      <c r="C31" s="33">
        <f>C27+C29</f>
        <v>51935116.161499791</v>
      </c>
      <c r="D31" s="10"/>
      <c r="E31" s="10"/>
    </row>
    <row r="33" spans="1:3">
      <c r="A33" t="s">
        <v>113</v>
      </c>
      <c r="C33" s="35">
        <f>Assumptions!B24</f>
        <v>10000000</v>
      </c>
    </row>
    <row r="35" spans="1:3">
      <c r="A35" s="10" t="s">
        <v>114</v>
      </c>
      <c r="C35" s="6">
        <f>C31/C33</f>
        <v>5.193511616149979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Alison Sousa</cp:lastModifiedBy>
  <cp:revision/>
  <dcterms:created xsi:type="dcterms:W3CDTF">2020-09-09T18:47:01Z</dcterms:created>
  <dcterms:modified xsi:type="dcterms:W3CDTF">2024-05-23T01:39:44Z</dcterms:modified>
  <cp:category/>
  <cp:contentStatus/>
</cp:coreProperties>
</file>