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GAMER\Downloads\"/>
    </mc:Choice>
  </mc:AlternateContent>
  <xr:revisionPtr revIDLastSave="0" documentId="13_ncr:1_{78150DE8-6ADE-4ECE-B2D0-0BA564AA86A8}" xr6:coauthVersionLast="47" xr6:coauthVersionMax="47" xr10:uidLastSave="{00000000-0000-0000-0000-000000000000}"/>
  <bookViews>
    <workbookView xWindow="-120" yWindow="-120" windowWidth="29040" windowHeight="15990" xr2:uid="{2067F830-EA6F-DA47-A739-AC8DA0B02A9B}"/>
  </bookViews>
  <sheets>
    <sheet name="MASTER" sheetId="21" r:id="rId1"/>
    <sheet name="ASSUMPTIONS" sheetId="12" r:id="rId2"/>
    <sheet name="INCOME STATEMENT" sheetId="13" r:id="rId3"/>
    <sheet name="BALANCE SHEET" sheetId="14" r:id="rId4"/>
    <sheet name="CASH FLOW" sheetId="15" r:id="rId5"/>
    <sheet name="BETA" sheetId="18" r:id="rId6"/>
    <sheet name="CAPM" sheetId="5" r:id="rId7"/>
    <sheet name="FUNDAMENTAL VALUE" sheetId="17" r:id="rId8"/>
    <sheet name="MARKETS" sheetId="2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7" l="1"/>
  <c r="B24" i="17"/>
  <c r="B19" i="17"/>
  <c r="B13" i="12"/>
  <c r="B14" i="12"/>
  <c r="B18" i="12"/>
  <c r="B19" i="14" l="1"/>
  <c r="B12" i="12"/>
  <c r="B23" i="14"/>
  <c r="B24" i="14"/>
  <c r="B20" i="14"/>
  <c r="B9" i="12"/>
  <c r="B11" i="5"/>
  <c r="B8" i="5" s="1"/>
  <c r="B12" i="5" s="1"/>
  <c r="C23" i="14" l="1"/>
  <c r="B28" i="14"/>
  <c r="C16" i="14"/>
  <c r="D16" i="14" s="1"/>
  <c r="E16" i="14" s="1"/>
  <c r="F16" i="14" s="1"/>
  <c r="G16" i="14" s="1"/>
  <c r="H16" i="14" s="1"/>
  <c r="B12" i="14"/>
  <c r="B17" i="12" l="1"/>
  <c r="C16" i="12"/>
  <c r="C11" i="12"/>
  <c r="B16" i="12"/>
  <c r="B11" i="12"/>
  <c r="A7" i="17" l="1"/>
  <c r="A8" i="17" s="1"/>
  <c r="A9" i="17" s="1"/>
  <c r="A10" i="17" s="1"/>
  <c r="A11" i="17" s="1"/>
  <c r="C5" i="15" l="1"/>
  <c r="D5" i="15" s="1"/>
  <c r="E5" i="15" s="1"/>
  <c r="F5" i="15" s="1"/>
  <c r="G5" i="15" s="1"/>
  <c r="H5" i="15" s="1"/>
  <c r="C5" i="14" l="1"/>
  <c r="D5" i="14" s="1"/>
  <c r="E5" i="14" s="1"/>
  <c r="F5" i="14" s="1"/>
  <c r="G5" i="14" s="1"/>
  <c r="H5" i="14" s="1"/>
  <c r="C13" i="15"/>
  <c r="C8" i="13" l="1"/>
  <c r="D4" i="13"/>
  <c r="E4" i="13" s="1"/>
  <c r="F4" i="13" s="1"/>
  <c r="G4" i="13" s="1"/>
  <c r="H4" i="13" s="1"/>
  <c r="C4" i="13"/>
  <c r="C17" i="12"/>
  <c r="D18" i="12"/>
  <c r="E18" i="12" s="1"/>
  <c r="F18" i="12" s="1"/>
  <c r="G18" i="12" s="1"/>
  <c r="H18" i="12" s="1"/>
  <c r="C12" i="12"/>
  <c r="D12" i="12" s="1"/>
  <c r="E12" i="12" s="1"/>
  <c r="F12" i="12" s="1"/>
  <c r="G12" i="12" s="1"/>
  <c r="H12" i="12" s="1"/>
  <c r="D5" i="12"/>
  <c r="C9" i="12"/>
  <c r="D9" i="12" s="1"/>
  <c r="E9" i="12" s="1"/>
  <c r="F9" i="12" s="1"/>
  <c r="G9" i="12" s="1"/>
  <c r="H9" i="12" s="1"/>
  <c r="D8" i="12"/>
  <c r="E8" i="12" s="1"/>
  <c r="F8" i="12" s="1"/>
  <c r="G8" i="12" s="1"/>
  <c r="H8" i="12" s="1"/>
  <c r="D6" i="12"/>
  <c r="E6" i="12" s="1"/>
  <c r="F6" i="12" s="1"/>
  <c r="G6" i="12" s="1"/>
  <c r="H6" i="12" s="1"/>
  <c r="D7" i="12"/>
  <c r="E7" i="12" s="1"/>
  <c r="F7" i="12" s="1"/>
  <c r="G7" i="12" s="1"/>
  <c r="H7" i="12" s="1"/>
  <c r="B6" i="13"/>
  <c r="B5" i="13"/>
  <c r="C14" i="12"/>
  <c r="D14" i="12" s="1"/>
  <c r="E14" i="12" s="1"/>
  <c r="F14" i="12" s="1"/>
  <c r="G14" i="12" s="1"/>
  <c r="H14" i="12" s="1"/>
  <c r="C13" i="12"/>
  <c r="D13" i="12" s="1"/>
  <c r="E13" i="12" s="1"/>
  <c r="F13" i="12" s="1"/>
  <c r="G13" i="12" s="1"/>
  <c r="H13" i="12" s="1"/>
  <c r="E5" i="12" l="1"/>
  <c r="D11" i="12"/>
  <c r="D16" i="12"/>
  <c r="B8" i="14"/>
  <c r="D8" i="13"/>
  <c r="E8" i="13" s="1"/>
  <c r="F8" i="13" s="1"/>
  <c r="G8" i="13" s="1"/>
  <c r="H8" i="13" s="1"/>
  <c r="C12" i="14"/>
  <c r="D17" i="12"/>
  <c r="E17" i="12" s="1"/>
  <c r="F17" i="12" s="1"/>
  <c r="G17" i="12" s="1"/>
  <c r="H17" i="12" s="1"/>
  <c r="C5" i="13"/>
  <c r="C8" i="14" s="1"/>
  <c r="B9" i="14"/>
  <c r="C6" i="13"/>
  <c r="D23" i="14"/>
  <c r="B7" i="13"/>
  <c r="B9" i="13" s="1"/>
  <c r="B10" i="13" s="1"/>
  <c r="B27" i="14" l="1"/>
  <c r="B18" i="14" s="1"/>
  <c r="B25" i="14" s="1"/>
  <c r="F5" i="12"/>
  <c r="E11" i="12"/>
  <c r="E16" i="12"/>
  <c r="B11" i="13"/>
  <c r="C19" i="14"/>
  <c r="C9" i="14"/>
  <c r="C27" i="14" s="1"/>
  <c r="D6" i="13"/>
  <c r="C7" i="13"/>
  <c r="C9" i="13" s="1"/>
  <c r="D13" i="15"/>
  <c r="D12" i="14"/>
  <c r="D11" i="15" s="1"/>
  <c r="C11" i="15"/>
  <c r="E23" i="14"/>
  <c r="D5" i="13"/>
  <c r="B7" i="14" l="1"/>
  <c r="B14" i="14" s="1"/>
  <c r="G5" i="12"/>
  <c r="F16" i="12"/>
  <c r="F11" i="12"/>
  <c r="E13" i="15"/>
  <c r="C10" i="13"/>
  <c r="C20" i="14" s="1"/>
  <c r="C9" i="15" s="1"/>
  <c r="E12" i="14"/>
  <c r="E11" i="15" s="1"/>
  <c r="B6" i="15"/>
  <c r="E6" i="13"/>
  <c r="D19" i="14"/>
  <c r="D9" i="14"/>
  <c r="E5" i="13"/>
  <c r="E8" i="14" s="1"/>
  <c r="D8" i="14"/>
  <c r="C8" i="15"/>
  <c r="F23" i="14"/>
  <c r="D7" i="13"/>
  <c r="D9" i="13" s="1"/>
  <c r="H5" i="12" l="1"/>
  <c r="G16" i="12"/>
  <c r="G11" i="12"/>
  <c r="E7" i="13"/>
  <c r="E9" i="13" s="1"/>
  <c r="E10" i="13" s="1"/>
  <c r="E20" i="14" s="1"/>
  <c r="D8" i="15"/>
  <c r="C11" i="13"/>
  <c r="C24" i="14" s="1"/>
  <c r="C28" i="14" s="1"/>
  <c r="F5" i="13"/>
  <c r="F8" i="14" s="1"/>
  <c r="F12" i="14"/>
  <c r="F11" i="15" s="1"/>
  <c r="D10" i="13"/>
  <c r="D20" i="14" s="1"/>
  <c r="D9" i="15" s="1"/>
  <c r="F13" i="15"/>
  <c r="D27" i="14"/>
  <c r="F6" i="13"/>
  <c r="E9" i="14"/>
  <c r="E8" i="15" s="1"/>
  <c r="E19" i="14"/>
  <c r="G23" i="14"/>
  <c r="H11" i="12" l="1"/>
  <c r="H16" i="12"/>
  <c r="C6" i="15"/>
  <c r="C10" i="15" s="1"/>
  <c r="C12" i="15" s="1"/>
  <c r="C14" i="15" s="1"/>
  <c r="B6" i="17" s="1"/>
  <c r="F7" i="13"/>
  <c r="F9" i="13" s="1"/>
  <c r="F10" i="13" s="1"/>
  <c r="F20" i="14" s="1"/>
  <c r="E9" i="15"/>
  <c r="D11" i="13"/>
  <c r="D6" i="15" s="1"/>
  <c r="D10" i="15" s="1"/>
  <c r="D12" i="15" s="1"/>
  <c r="D14" i="15" s="1"/>
  <c r="B7" i="17" s="1"/>
  <c r="E11" i="13"/>
  <c r="E27" i="14"/>
  <c r="G5" i="13"/>
  <c r="G8" i="14" s="1"/>
  <c r="C7" i="14"/>
  <c r="C14" i="14" s="1"/>
  <c r="C18" i="14"/>
  <c r="C25" i="14" s="1"/>
  <c r="G13" i="15"/>
  <c r="G6" i="13"/>
  <c r="F19" i="14"/>
  <c r="F9" i="14"/>
  <c r="F8" i="15" s="1"/>
  <c r="G12" i="14"/>
  <c r="H23" i="14"/>
  <c r="H13" i="15" s="1"/>
  <c r="H5" i="13"/>
  <c r="D24" i="14" l="1"/>
  <c r="D28" i="14" s="1"/>
  <c r="D7" i="14" s="1"/>
  <c r="D14" i="14" s="1"/>
  <c r="F11" i="13"/>
  <c r="F6" i="15" s="1"/>
  <c r="G7" i="13"/>
  <c r="G9" i="13" s="1"/>
  <c r="G10" i="13" s="1"/>
  <c r="H6" i="13"/>
  <c r="H7" i="13" s="1"/>
  <c r="H9" i="13" s="1"/>
  <c r="G9" i="14"/>
  <c r="G8" i="15" s="1"/>
  <c r="G19" i="14"/>
  <c r="F9" i="15"/>
  <c r="F27" i="14"/>
  <c r="F24" i="14"/>
  <c r="F28" i="14" s="1"/>
  <c r="H12" i="14"/>
  <c r="H11" i="15" s="1"/>
  <c r="E6" i="15"/>
  <c r="E10" i="15" s="1"/>
  <c r="E12" i="15" s="1"/>
  <c r="E14" i="15" s="1"/>
  <c r="B8" i="17" s="1"/>
  <c r="E24" i="14"/>
  <c r="E28" i="14" s="1"/>
  <c r="H8" i="14"/>
  <c r="G11" i="15"/>
  <c r="D18" i="14" l="1"/>
  <c r="D25" i="14" s="1"/>
  <c r="F10" i="15"/>
  <c r="F12" i="15" s="1"/>
  <c r="F14" i="15" s="1"/>
  <c r="B9" i="17" s="1"/>
  <c r="G20" i="14"/>
  <c r="G9" i="15" s="1"/>
  <c r="G11" i="13"/>
  <c r="G24" i="14" s="1"/>
  <c r="F7" i="14"/>
  <c r="F14" i="14" s="1"/>
  <c r="F18" i="14"/>
  <c r="F25" i="14" s="1"/>
  <c r="E18" i="14"/>
  <c r="E25" i="14" s="1"/>
  <c r="E7" i="14"/>
  <c r="E14" i="14" s="1"/>
  <c r="G27" i="14"/>
  <c r="H19" i="14"/>
  <c r="H9" i="14"/>
  <c r="H8" i="15" s="1"/>
  <c r="H10" i="13"/>
  <c r="H20" i="14" s="1"/>
  <c r="H9" i="15" l="1"/>
  <c r="G6" i="15"/>
  <c r="G10" i="15" s="1"/>
  <c r="G12" i="15" s="1"/>
  <c r="G14" i="15" s="1"/>
  <c r="B10" i="17" s="1"/>
  <c r="G28" i="14"/>
  <c r="G18" i="14" s="1"/>
  <c r="G25" i="14" s="1"/>
  <c r="H11" i="13"/>
  <c r="H24" i="14" s="1"/>
  <c r="H28" i="14" s="1"/>
  <c r="H27" i="14"/>
  <c r="H6" i="15" l="1"/>
  <c r="H10" i="15" s="1"/>
  <c r="H12" i="15" s="1"/>
  <c r="H14" i="15" s="1"/>
  <c r="B11" i="17" s="1"/>
  <c r="B15" i="17" s="1"/>
  <c r="G7" i="14"/>
  <c r="G14" i="14" s="1"/>
  <c r="H7" i="14"/>
  <c r="H14" i="14" s="1"/>
  <c r="H18" i="14"/>
  <c r="H25" i="14" s="1"/>
  <c r="B13" i="17" l="1"/>
  <c r="B17" i="17" s="1"/>
  <c r="B21" i="17" l="1"/>
</calcChain>
</file>

<file path=xl/sharedStrings.xml><?xml version="1.0" encoding="utf-8"?>
<sst xmlns="http://schemas.openxmlformats.org/spreadsheetml/2006/main" count="1578" uniqueCount="911">
  <si>
    <t>ITEM</t>
  </si>
  <si>
    <t>INCOME TAX</t>
  </si>
  <si>
    <t>TURNOVER</t>
  </si>
  <si>
    <t>RECEIVABLES</t>
  </si>
  <si>
    <t>INVENTORIES</t>
  </si>
  <si>
    <t>PAYABLES</t>
  </si>
  <si>
    <t>CAPEX</t>
  </si>
  <si>
    <t>PPE</t>
  </si>
  <si>
    <t>LONG TERM LOAN</t>
  </si>
  <si>
    <t>REVENUES</t>
  </si>
  <si>
    <t>COGS</t>
  </si>
  <si>
    <t>(=) GROSS PROFIT</t>
  </si>
  <si>
    <t>SG&amp;A</t>
  </si>
  <si>
    <t>(=) EBITDA</t>
  </si>
  <si>
    <t>NET PROFIT</t>
  </si>
  <si>
    <t>ASSETS</t>
  </si>
  <si>
    <t>LIABILITIES</t>
  </si>
  <si>
    <t>(+) Depreciation</t>
  </si>
  <si>
    <t>(+/-) Changes In Current Assets</t>
  </si>
  <si>
    <t>(+/-) Changes In Current Liabilities</t>
  </si>
  <si>
    <t>(=) OPERATIONAL CASH FLOW</t>
  </si>
  <si>
    <t>(+/-) Changes In Non Current Assets</t>
  </si>
  <si>
    <t>(=) CASH FLOW AFTER INVESTMENTS</t>
  </si>
  <si>
    <t>(+/-) Changes In Non Current Liabilities</t>
  </si>
  <si>
    <t>(=) NET CASH FLOW</t>
  </si>
  <si>
    <t xml:space="preserve">COST OF EQUITY </t>
  </si>
  <si>
    <t>CAPM</t>
  </si>
  <si>
    <t>BETA</t>
  </si>
  <si>
    <t>RETURN OF MARKET</t>
  </si>
  <si>
    <t>PRIOR</t>
  </si>
  <si>
    <t>PRESENT</t>
  </si>
  <si>
    <t>YEAR</t>
  </si>
  <si>
    <t>NET CASH FLOW</t>
  </si>
  <si>
    <t>NPV OF CASH FLOW</t>
  </si>
  <si>
    <t>PERPETUITY</t>
  </si>
  <si>
    <t>TOTAL</t>
  </si>
  <si>
    <t>QUANTITY OF SHARES</t>
  </si>
  <si>
    <t>Current assets</t>
  </si>
  <si>
    <t xml:space="preserve"> Cash</t>
  </si>
  <si>
    <t xml:space="preserve"> Receivables</t>
  </si>
  <si>
    <t xml:space="preserve"> Inventories</t>
  </si>
  <si>
    <t xml:space="preserve"> Other</t>
  </si>
  <si>
    <t>Non current assets</t>
  </si>
  <si>
    <t xml:space="preserve"> PPE (Plant, Property &amp; Equipaments)</t>
  </si>
  <si>
    <t xml:space="preserve"> Intangibles</t>
  </si>
  <si>
    <t>Current liabilities</t>
  </si>
  <si>
    <t xml:space="preserve"> Loans</t>
  </si>
  <si>
    <t xml:space="preserve"> Payables</t>
  </si>
  <si>
    <t xml:space="preserve"> Tax</t>
  </si>
  <si>
    <t>Non current liabilities</t>
  </si>
  <si>
    <t xml:space="preserve"> Long term loans (bonds)</t>
  </si>
  <si>
    <t xml:space="preserve"> Equity</t>
  </si>
  <si>
    <t>Industry Name</t>
  </si>
  <si>
    <t>Number of firms</t>
  </si>
  <si>
    <t>Beta </t>
  </si>
  <si>
    <t>D/E Ratio</t>
  </si>
  <si>
    <t>Effective Tax rate</t>
  </si>
  <si>
    <t>Unlevered beta</t>
  </si>
  <si>
    <t>Cash/Firm value</t>
  </si>
  <si>
    <t>Unlevered beta corrected for cash</t>
  </si>
  <si>
    <t>HiLo Risk</t>
  </si>
  <si>
    <t>Standard deviation of equity</t>
  </si>
  <si>
    <t>Standard deviation in operating income (last 10 years)</t>
  </si>
  <si>
    <t>Advertising</t>
  </si>
  <si>
    <t>1.34</t>
  </si>
  <si>
    <t>0.97</t>
  </si>
  <si>
    <t>1.10</t>
  </si>
  <si>
    <t>0.78</t>
  </si>
  <si>
    <t>0.87</t>
  </si>
  <si>
    <t>0.93</t>
  </si>
  <si>
    <t>0.77</t>
  </si>
  <si>
    <t>0.89</t>
  </si>
  <si>
    <t>Aerospace/Defense</t>
  </si>
  <si>
    <t>1.28</t>
  </si>
  <si>
    <t>1.05</t>
  </si>
  <si>
    <t>1.11</t>
  </si>
  <si>
    <t>0.99</t>
  </si>
  <si>
    <t>1.09</t>
  </si>
  <si>
    <t>1.08</t>
  </si>
  <si>
    <t>0.91</t>
  </si>
  <si>
    <t>1.04</t>
  </si>
  <si>
    <t>Air Transport</t>
  </si>
  <si>
    <t>0.75</t>
  </si>
  <si>
    <t>18.30%</t>
  </si>
  <si>
    <t>0.67</t>
  </si>
  <si>
    <t>0.63</t>
  </si>
  <si>
    <t>0.84</t>
  </si>
  <si>
    <t>0.80</t>
  </si>
  <si>
    <t>Apparel</t>
  </si>
  <si>
    <t>1.23</t>
  </si>
  <si>
    <t>1.00</t>
  </si>
  <si>
    <t>0.85</t>
  </si>
  <si>
    <t>0.76</t>
  </si>
  <si>
    <t>0.83</t>
  </si>
  <si>
    <t>0.94</t>
  </si>
  <si>
    <t>0.90</t>
  </si>
  <si>
    <t>Auto &amp; Truck</t>
  </si>
  <si>
    <t>1.13</t>
  </si>
  <si>
    <t>3.38%</t>
  </si>
  <si>
    <t>1.02</t>
  </si>
  <si>
    <t>0.59</t>
  </si>
  <si>
    <t>0.34</t>
  </si>
  <si>
    <t>0.53</t>
  </si>
  <si>
    <t>0.71</t>
  </si>
  <si>
    <t>Auto Parts</t>
  </si>
  <si>
    <t>1.40</t>
  </si>
  <si>
    <t>13.62%</t>
  </si>
  <si>
    <t>1.14</t>
  </si>
  <si>
    <t>1.21</t>
  </si>
  <si>
    <t>0.92</t>
  </si>
  <si>
    <t>0.95</t>
  </si>
  <si>
    <t>1.03</t>
  </si>
  <si>
    <t>Bank (Money Center)</t>
  </si>
  <si>
    <t>1.12</t>
  </si>
  <si>
    <t>0.50</t>
  </si>
  <si>
    <t>NA</t>
  </si>
  <si>
    <t>0.32</t>
  </si>
  <si>
    <t>0.43</t>
  </si>
  <si>
    <t>0.56</t>
  </si>
  <si>
    <t>Banks (Regional)</t>
  </si>
  <si>
    <t>0.70</t>
  </si>
  <si>
    <t>0.39</t>
  </si>
  <si>
    <t>0.40</t>
  </si>
  <si>
    <t>0.6</t>
  </si>
  <si>
    <t>Beverage (Alcoholic)</t>
  </si>
  <si>
    <t>0.82</t>
  </si>
  <si>
    <t>0.72</t>
  </si>
  <si>
    <t>Beverage (Soft)</t>
  </si>
  <si>
    <t>1.22</t>
  </si>
  <si>
    <t>Broadcasting</t>
  </si>
  <si>
    <t>1.35</t>
  </si>
  <si>
    <t>0.73</t>
  </si>
  <si>
    <t>0.81</t>
  </si>
  <si>
    <t>0.65</t>
  </si>
  <si>
    <t>0.51</t>
  </si>
  <si>
    <t>Brokerage &amp; Investment Banking</t>
  </si>
  <si>
    <t>1.17</t>
  </si>
  <si>
    <t>0.54</t>
  </si>
  <si>
    <t>0.46</t>
  </si>
  <si>
    <t>0.57</t>
  </si>
  <si>
    <t>Building Materials</t>
  </si>
  <si>
    <t>1.19</t>
  </si>
  <si>
    <t>Business &amp; Consumer Services</t>
  </si>
  <si>
    <t>41.17%</t>
  </si>
  <si>
    <t>13.75%</t>
  </si>
  <si>
    <t>1.01</t>
  </si>
  <si>
    <t>Cable TV</t>
  </si>
  <si>
    <t>2.25%</t>
  </si>
  <si>
    <t>0.66</t>
  </si>
  <si>
    <t>0.7</t>
  </si>
  <si>
    <t>Chemical (Basic)</t>
  </si>
  <si>
    <t>1.16</t>
  </si>
  <si>
    <t>0.88</t>
  </si>
  <si>
    <t>0.96</t>
  </si>
  <si>
    <t>Chemical (Diversified)</t>
  </si>
  <si>
    <t>1.50</t>
  </si>
  <si>
    <t>7.57%</t>
  </si>
  <si>
    <t>1.79</t>
  </si>
  <si>
    <t>1.49</t>
  </si>
  <si>
    <t>Chemical (Specialty)</t>
  </si>
  <si>
    <t>Coal &amp; Related Energy</t>
  </si>
  <si>
    <t>Computer Services</t>
  </si>
  <si>
    <t>1.20</t>
  </si>
  <si>
    <t>1.06</t>
  </si>
  <si>
    <t>Computers/Peripherals</t>
  </si>
  <si>
    <t>1.29</t>
  </si>
  <si>
    <t>1.25</t>
  </si>
  <si>
    <t>1.64</t>
  </si>
  <si>
    <t>Construction Supplies</t>
  </si>
  <si>
    <t>0.98</t>
  </si>
  <si>
    <t>1.15</t>
  </si>
  <si>
    <t>Diversified</t>
  </si>
  <si>
    <t>Drugs (Biotechnology)</t>
  </si>
  <si>
    <t>1.36</t>
  </si>
  <si>
    <t>1.43</t>
  </si>
  <si>
    <t>1.39</t>
  </si>
  <si>
    <t>Drugs (Pharmaceutical)</t>
  </si>
  <si>
    <t>0.6577</t>
  </si>
  <si>
    <t>1.38</t>
  </si>
  <si>
    <t>Education</t>
  </si>
  <si>
    <t>0.5554</t>
  </si>
  <si>
    <t>1.07</t>
  </si>
  <si>
    <t>Electrical Equipment</t>
  </si>
  <si>
    <t>1.18</t>
  </si>
  <si>
    <t>1.31</t>
  </si>
  <si>
    <t>Electronics (Consumer &amp; Office)</t>
  </si>
  <si>
    <t>Electronics (General)</t>
  </si>
  <si>
    <t>6.66%</t>
  </si>
  <si>
    <t>43.45%</t>
  </si>
  <si>
    <t>0.86</t>
  </si>
  <si>
    <t>Engineering/Construction</t>
  </si>
  <si>
    <t>13.31%</t>
  </si>
  <si>
    <t>1.33</t>
  </si>
  <si>
    <t>Entertainment</t>
  </si>
  <si>
    <t>2.64%</t>
  </si>
  <si>
    <t>Environmental &amp; Waste Services</t>
  </si>
  <si>
    <t>1.24</t>
  </si>
  <si>
    <t>10.52%</t>
  </si>
  <si>
    <t>Farming/Agriculture</t>
  </si>
  <si>
    <t>0.68</t>
  </si>
  <si>
    <t>0.64</t>
  </si>
  <si>
    <t>Financial Svcs. (Non-bank &amp; Insuran</t>
  </si>
  <si>
    <t>0.15</t>
  </si>
  <si>
    <t>0.08</t>
  </si>
  <si>
    <t>0.10</t>
  </si>
  <si>
    <t>0.11</t>
  </si>
  <si>
    <t>Food Processing</t>
  </si>
  <si>
    <t>0.61</t>
  </si>
  <si>
    <t>Food Wholesalers</t>
  </si>
  <si>
    <t>8.60%</t>
  </si>
  <si>
    <t>1.41</t>
  </si>
  <si>
    <t>0.8</t>
  </si>
  <si>
    <t>Furn/Home Furnishings</t>
  </si>
  <si>
    <t>0.79</t>
  </si>
  <si>
    <t>Green &amp; Renewable Energy</t>
  </si>
  <si>
    <t>1.59</t>
  </si>
  <si>
    <t>Healthcare Products</t>
  </si>
  <si>
    <t>4.15%</t>
  </si>
  <si>
    <t>Healthcare Support Services</t>
  </si>
  <si>
    <t>0.74</t>
  </si>
  <si>
    <t>Heathcare Information and Technol</t>
  </si>
  <si>
    <t>Homebuilding</t>
  </si>
  <si>
    <t>1.69</t>
  </si>
  <si>
    <t>1.45</t>
  </si>
  <si>
    <t>Hospitals/Healthcare Facilities</t>
  </si>
  <si>
    <t>3.37%</t>
  </si>
  <si>
    <t>0.55</t>
  </si>
  <si>
    <t>0.69</t>
  </si>
  <si>
    <t>Hotel/Gaming</t>
  </si>
  <si>
    <t>6.02%</t>
  </si>
  <si>
    <t>1.44</t>
  </si>
  <si>
    <t>43.87%</t>
  </si>
  <si>
    <t>Household Products</t>
  </si>
  <si>
    <t>Information Services</t>
  </si>
  <si>
    <t>10.37%</t>
  </si>
  <si>
    <t>Insurance (General)</t>
  </si>
  <si>
    <t>4.80%</t>
  </si>
  <si>
    <t>Insurance (Life)</t>
  </si>
  <si>
    <t>Insurance (Prop/Cas.)</t>
  </si>
  <si>
    <t>6.29%</t>
  </si>
  <si>
    <t>0.58</t>
  </si>
  <si>
    <t>Investments &amp; Asset Management</t>
  </si>
  <si>
    <t>Machinery</t>
  </si>
  <si>
    <t>15.20%</t>
  </si>
  <si>
    <t>Metals &amp; Mining</t>
  </si>
  <si>
    <t>Office Equipment &amp; Services</t>
  </si>
  <si>
    <t>Oil/Gas (Integrated)</t>
  </si>
  <si>
    <t>1.47</t>
  </si>
  <si>
    <t>Oil/Gas (Production and Exploratio</t>
  </si>
  <si>
    <t>1.32</t>
  </si>
  <si>
    <t>Oil/Gas Distribution</t>
  </si>
  <si>
    <t>38.51%</t>
  </si>
  <si>
    <t>0.62</t>
  </si>
  <si>
    <t>Oilfield Svcs/Equip.</t>
  </si>
  <si>
    <t>Packaging &amp; Container</t>
  </si>
  <si>
    <t>Paper/Forest Products</t>
  </si>
  <si>
    <t>30.61%</t>
  </si>
  <si>
    <t>Power</t>
  </si>
  <si>
    <t>1.83%</t>
  </si>
  <si>
    <t>0.35</t>
  </si>
  <si>
    <t>0.38</t>
  </si>
  <si>
    <t>0.41</t>
  </si>
  <si>
    <t>Precious Metals</t>
  </si>
  <si>
    <t>Publishing &amp; Newspapers</t>
  </si>
  <si>
    <t>1.46</t>
  </si>
  <si>
    <t>1.1</t>
  </si>
  <si>
    <t>R.E.I.T.</t>
  </si>
  <si>
    <t>0.42</t>
  </si>
  <si>
    <t>Real Estate (Development)</t>
  </si>
  <si>
    <t>Real Estate (General/Diversified)</t>
  </si>
  <si>
    <t>9.94%</t>
  </si>
  <si>
    <t>Real Estate (Operations &amp; Services)</t>
  </si>
  <si>
    <t>6.54%</t>
  </si>
  <si>
    <t>Recreation</t>
  </si>
  <si>
    <t>Reinsurance</t>
  </si>
  <si>
    <t>1.37</t>
  </si>
  <si>
    <t>1.30</t>
  </si>
  <si>
    <t>0.47</t>
  </si>
  <si>
    <t>Restaurant/Dining</t>
  </si>
  <si>
    <t>Retail (Automotive)</t>
  </si>
  <si>
    <t>Retail (Building Supply)</t>
  </si>
  <si>
    <t>1.52</t>
  </si>
  <si>
    <t>1.42</t>
  </si>
  <si>
    <t>Retail (Distributors)</t>
  </si>
  <si>
    <t>2.66%</t>
  </si>
  <si>
    <t>Retail (General)</t>
  </si>
  <si>
    <t>3.83%</t>
  </si>
  <si>
    <t>Retail (Grocery and Food)</t>
  </si>
  <si>
    <t>0.21</t>
  </si>
  <si>
    <t>0.44</t>
  </si>
  <si>
    <t>0.28</t>
  </si>
  <si>
    <t>0.29</t>
  </si>
  <si>
    <t>Retail (Online)</t>
  </si>
  <si>
    <t>Retail (Special Lines)</t>
  </si>
  <si>
    <t>Rubber&amp; Tires</t>
  </si>
  <si>
    <t>0.24</t>
  </si>
  <si>
    <t>0.45</t>
  </si>
  <si>
    <t>Semiconductor</t>
  </si>
  <si>
    <t>1.26</t>
  </si>
  <si>
    <t>Semiconductor Equip</t>
  </si>
  <si>
    <t>Shipbuilding &amp; Marine</t>
  </si>
  <si>
    <t>1.57</t>
  </si>
  <si>
    <t>Shoe</t>
  </si>
  <si>
    <t>Software (Entertainment)</t>
  </si>
  <si>
    <t>2.21%</t>
  </si>
  <si>
    <t>1.27</t>
  </si>
  <si>
    <t>Software (Internet)</t>
  </si>
  <si>
    <t>Software (System &amp; Application)</t>
  </si>
  <si>
    <t>Steel</t>
  </si>
  <si>
    <t>13.30%</t>
  </si>
  <si>
    <t>1.53</t>
  </si>
  <si>
    <t>Telecom (Wireless)</t>
  </si>
  <si>
    <t>0.60</t>
  </si>
  <si>
    <t>Telecom. Equipment</t>
  </si>
  <si>
    <t>0.5502</t>
  </si>
  <si>
    <t>Telecom. Services</t>
  </si>
  <si>
    <t>Tobacco</t>
  </si>
  <si>
    <t>Transportation</t>
  </si>
  <si>
    <t>14.40%</t>
  </si>
  <si>
    <t>Transportation (Railroads)</t>
  </si>
  <si>
    <t>16.39%</t>
  </si>
  <si>
    <t>2.08</t>
  </si>
  <si>
    <t>1.89</t>
  </si>
  <si>
    <t>Trucking</t>
  </si>
  <si>
    <t>Utility (General)</t>
  </si>
  <si>
    <t>0.17</t>
  </si>
  <si>
    <t>0.19</t>
  </si>
  <si>
    <t>0.48</t>
  </si>
  <si>
    <t>Utility (Water)</t>
  </si>
  <si>
    <t>0.27</t>
  </si>
  <si>
    <t>Total Market</t>
  </si>
  <si>
    <t>Total Market (without financials)</t>
  </si>
  <si>
    <t>44.99%</t>
  </si>
  <si>
    <t>FUNDAMENTAL VALUE OF A SHARE</t>
  </si>
  <si>
    <t>Average (2019-23)</t>
  </si>
  <si>
    <t>1.63</t>
  </si>
  <si>
    <t>6.39%</t>
  </si>
  <si>
    <t>9.35%</t>
  </si>
  <si>
    <t>0.6867</t>
  </si>
  <si>
    <t>52.72%</t>
  </si>
  <si>
    <t>26.06%</t>
  </si>
  <si>
    <t>3.77%</t>
  </si>
  <si>
    <t>0.4721</t>
  </si>
  <si>
    <t>37.56%</t>
  </si>
  <si>
    <t>19.19%</t>
  </si>
  <si>
    <t>186.33%</t>
  </si>
  <si>
    <t>10.47%</t>
  </si>
  <si>
    <t>14.90%</t>
  </si>
  <si>
    <t>0.4403</t>
  </si>
  <si>
    <t>37.73%</t>
  </si>
  <si>
    <t>221.20%</t>
  </si>
  <si>
    <t>51.57%</t>
  </si>
  <si>
    <t>12.04%</t>
  </si>
  <si>
    <t>0.5220</t>
  </si>
  <si>
    <t>23.02%</t>
  </si>
  <si>
    <t>1.54</t>
  </si>
  <si>
    <t>50.19%</t>
  </si>
  <si>
    <t>3.00%</t>
  </si>
  <si>
    <t>8.67%</t>
  </si>
  <si>
    <t>0.6906</t>
  </si>
  <si>
    <t>52.61%</t>
  </si>
  <si>
    <t>46.10%</t>
  </si>
  <si>
    <t>42.66%</t>
  </si>
  <si>
    <t>9.30%</t>
  </si>
  <si>
    <t>7.13%</t>
  </si>
  <si>
    <t>0.5099</t>
  </si>
  <si>
    <t>39.52%</t>
  </si>
  <si>
    <t>25.42%</t>
  </si>
  <si>
    <t>216.38%</t>
  </si>
  <si>
    <t>16.25%</t>
  </si>
  <si>
    <t>44.30%</t>
  </si>
  <si>
    <t>0.2235</t>
  </si>
  <si>
    <t>19.59%</t>
  </si>
  <si>
    <t>64.62%</t>
  </si>
  <si>
    <t>18.84%</t>
  </si>
  <si>
    <t>17.66%</t>
  </si>
  <si>
    <t>0.1757</t>
  </si>
  <si>
    <t>16.76%</t>
  </si>
  <si>
    <t>95.49%</t>
  </si>
  <si>
    <t>22.91%</t>
  </si>
  <si>
    <t>9.39%</t>
  </si>
  <si>
    <t>1.86%</t>
  </si>
  <si>
    <t>0.5871</t>
  </si>
  <si>
    <t>49.87%</t>
  </si>
  <si>
    <t>33.80%</t>
  </si>
  <si>
    <t>15.27%</t>
  </si>
  <si>
    <t>6.42%</t>
  </si>
  <si>
    <t>0.6105</t>
  </si>
  <si>
    <t>41.72%</t>
  </si>
  <si>
    <t>9.36%</t>
  </si>
  <si>
    <t>146.83%</t>
  </si>
  <si>
    <t>15.76%</t>
  </si>
  <si>
    <t>10.39%</t>
  </si>
  <si>
    <t>0.5584</t>
  </si>
  <si>
    <t>46.90%</t>
  </si>
  <si>
    <t>31.66%</t>
  </si>
  <si>
    <t>201.09%</t>
  </si>
  <si>
    <t>15.32%</t>
  </si>
  <si>
    <t>30.76%</t>
  </si>
  <si>
    <t>0.3545</t>
  </si>
  <si>
    <t>28.00%</t>
  </si>
  <si>
    <t>37.88%</t>
  </si>
  <si>
    <t>28.93%</t>
  </si>
  <si>
    <t>16.71%</t>
  </si>
  <si>
    <t>4.44%</t>
  </si>
  <si>
    <t>0.4208</t>
  </si>
  <si>
    <t>29.19%</t>
  </si>
  <si>
    <t>51.37%</t>
  </si>
  <si>
    <t>27.47%</t>
  </si>
  <si>
    <t>9.43%</t>
  </si>
  <si>
    <t>0.5384</t>
  </si>
  <si>
    <t>45.78%</t>
  </si>
  <si>
    <t>18.89%</t>
  </si>
  <si>
    <t>107.27%</t>
  </si>
  <si>
    <t>21.95%</t>
  </si>
  <si>
    <t>1.47%</t>
  </si>
  <si>
    <t>0.4068</t>
  </si>
  <si>
    <t>25.41%</t>
  </si>
  <si>
    <t>28.73%</t>
  </si>
  <si>
    <t>48.30%</t>
  </si>
  <si>
    <t>9.83%</t>
  </si>
  <si>
    <t>4.54%</t>
  </si>
  <si>
    <t>0.5270</t>
  </si>
  <si>
    <t>46.58%</t>
  </si>
  <si>
    <t>58.24%</t>
  </si>
  <si>
    <t>12.02%</t>
  </si>
  <si>
    <t>9.82%</t>
  </si>
  <si>
    <t>0.4489</t>
  </si>
  <si>
    <t>39.49%</t>
  </si>
  <si>
    <t>41.46%</t>
  </si>
  <si>
    <t>27.40%</t>
  </si>
  <si>
    <t>10.75%</t>
  </si>
  <si>
    <t>5.00%</t>
  </si>
  <si>
    <t>0.4882</t>
  </si>
  <si>
    <t>42.32%</t>
  </si>
  <si>
    <t>11.59%</t>
  </si>
  <si>
    <t>21.71%</t>
  </si>
  <si>
    <t>2.28%</t>
  </si>
  <si>
    <t>12.60%</t>
  </si>
  <si>
    <t>61.96%</t>
  </si>
  <si>
    <t>32.56%</t>
  </si>
  <si>
    <t>6.47%</t>
  </si>
  <si>
    <t>5.21%</t>
  </si>
  <si>
    <t>0.6053</t>
  </si>
  <si>
    <t>47.78%</t>
  </si>
  <si>
    <t>26.37%</t>
  </si>
  <si>
    <t>9.52%</t>
  </si>
  <si>
    <t>9.13%</t>
  </si>
  <si>
    <t>1.79%</t>
  </si>
  <si>
    <t>0.4600</t>
  </si>
  <si>
    <t>48.73%</t>
  </si>
  <si>
    <t>25.02%</t>
  </si>
  <si>
    <t>30.13%</t>
  </si>
  <si>
    <t>0.4573</t>
  </si>
  <si>
    <t>35.11%</t>
  </si>
  <si>
    <t>19.31%</t>
  </si>
  <si>
    <t>21.24%</t>
  </si>
  <si>
    <t>2.98%</t>
  </si>
  <si>
    <t>4.67%</t>
  </si>
  <si>
    <t>0.5643</t>
  </si>
  <si>
    <t>57.84%</t>
  </si>
  <si>
    <t>48.72%</t>
  </si>
  <si>
    <t>0.94%</t>
  </si>
  <si>
    <t>7.14%</t>
  </si>
  <si>
    <t>0.6540</t>
  </si>
  <si>
    <t>58.41%</t>
  </si>
  <si>
    <t>29.81%</t>
  </si>
  <si>
    <t>2.37%</t>
  </si>
  <si>
    <t>2.56%</t>
  </si>
  <si>
    <t>0.6919</t>
  </si>
  <si>
    <t>64.88%</t>
  </si>
  <si>
    <t>18.55%</t>
  </si>
  <si>
    <t>7.10%</t>
  </si>
  <si>
    <t>9.90%</t>
  </si>
  <si>
    <t>0.5483</t>
  </si>
  <si>
    <t>41.81%</t>
  </si>
  <si>
    <t>17.47%</t>
  </si>
  <si>
    <t>22.52%</t>
  </si>
  <si>
    <t>4.47%</t>
  </si>
  <si>
    <t>5.07%</t>
  </si>
  <si>
    <t>0.5944</t>
  </si>
  <si>
    <t>58.55%</t>
  </si>
  <si>
    <t>13.95%</t>
  </si>
  <si>
    <t>16.45%</t>
  </si>
  <si>
    <t>3.98%</t>
  </si>
  <si>
    <t>15.08%</t>
  </si>
  <si>
    <t>1.61</t>
  </si>
  <si>
    <t>0.5962</t>
  </si>
  <si>
    <t>39.56%</t>
  </si>
  <si>
    <t>328.17%</t>
  </si>
  <si>
    <t>18.82%</t>
  </si>
  <si>
    <t>5.69%</t>
  </si>
  <si>
    <t>0.5031</t>
  </si>
  <si>
    <t>44.94%</t>
  </si>
  <si>
    <t>25.37%</t>
  </si>
  <si>
    <t>31.59%</t>
  </si>
  <si>
    <t>4.92%</t>
  </si>
  <si>
    <t>0.4219</t>
  </si>
  <si>
    <t>35.17%</t>
  </si>
  <si>
    <t>33.28%</t>
  </si>
  <si>
    <t>3.45%</t>
  </si>
  <si>
    <t>6.90%</t>
  </si>
  <si>
    <t>0.6883</t>
  </si>
  <si>
    <t>57.81%</t>
  </si>
  <si>
    <t>25.73%</t>
  </si>
  <si>
    <t>25.54%</t>
  </si>
  <si>
    <t>5.42%</t>
  </si>
  <si>
    <t>0.81%</t>
  </si>
  <si>
    <t>0.6157</t>
  </si>
  <si>
    <t>48.09%</t>
  </si>
  <si>
    <t>33.87%</t>
  </si>
  <si>
    <t>6.64%</t>
  </si>
  <si>
    <t>2.33%</t>
  </si>
  <si>
    <t>0.5890</t>
  </si>
  <si>
    <t>54.43%</t>
  </si>
  <si>
    <t>26.09%</t>
  </si>
  <si>
    <t>1004.40%</t>
  </si>
  <si>
    <t>14.61%</t>
  </si>
  <si>
    <t>2.24%</t>
  </si>
  <si>
    <t>0.3378</t>
  </si>
  <si>
    <t>27.15%</t>
  </si>
  <si>
    <t>61.67%</t>
  </si>
  <si>
    <t>28.86%</t>
  </si>
  <si>
    <t>7.74%</t>
  </si>
  <si>
    <t>1.87%</t>
  </si>
  <si>
    <t>0.4866</t>
  </si>
  <si>
    <t>34.23%</t>
  </si>
  <si>
    <t>16.97%</t>
  </si>
  <si>
    <t>46.16%</t>
  </si>
  <si>
    <t>11.94%</t>
  </si>
  <si>
    <t>1.30%</t>
  </si>
  <si>
    <t>0.4793</t>
  </si>
  <si>
    <t>32.42%</t>
  </si>
  <si>
    <t>25.63%</t>
  </si>
  <si>
    <t>55.94%</t>
  </si>
  <si>
    <t>12.67%</t>
  </si>
  <si>
    <t>5.95%</t>
  </si>
  <si>
    <t>0.5484</t>
  </si>
  <si>
    <t>41.91%</t>
  </si>
  <si>
    <t>24.91%</t>
  </si>
  <si>
    <t>1.60</t>
  </si>
  <si>
    <t>121.12%</t>
  </si>
  <si>
    <t>6.73%</t>
  </si>
  <si>
    <t>4.38%</t>
  </si>
  <si>
    <t>0.6771</t>
  </si>
  <si>
    <t>67.60%</t>
  </si>
  <si>
    <t>62.82%</t>
  </si>
  <si>
    <t>3.70%</t>
  </si>
  <si>
    <t>3.20%</t>
  </si>
  <si>
    <t>0.5939</t>
  </si>
  <si>
    <t>50.94%</t>
  </si>
  <si>
    <t>30.10%</t>
  </si>
  <si>
    <t>23.61%</t>
  </si>
  <si>
    <t>6.74%</t>
  </si>
  <si>
    <t>8.08%</t>
  </si>
  <si>
    <t>0.5636</t>
  </si>
  <si>
    <t>47.79%</t>
  </si>
  <si>
    <t>27.59%</t>
  </si>
  <si>
    <t>14.21%</t>
  </si>
  <si>
    <t>4.30%</t>
  </si>
  <si>
    <t>2.99%</t>
  </si>
  <si>
    <t>0.6173</t>
  </si>
  <si>
    <t>53.87%</t>
  </si>
  <si>
    <t>48.97%</t>
  </si>
  <si>
    <t>32.34%</t>
  </si>
  <si>
    <t>17.81%</t>
  </si>
  <si>
    <t>9.31%</t>
  </si>
  <si>
    <t>0.4127</t>
  </si>
  <si>
    <t>33.33%</t>
  </si>
  <si>
    <t>70.58%</t>
  </si>
  <si>
    <t>87.24%</t>
  </si>
  <si>
    <t>9.56%</t>
  </si>
  <si>
    <t>1.85%</t>
  </si>
  <si>
    <t>0.6028</t>
  </si>
  <si>
    <t>51.19%</t>
  </si>
  <si>
    <t>18.61%</t>
  </si>
  <si>
    <t>66.58%</t>
  </si>
  <si>
    <t>8.14%</t>
  </si>
  <si>
    <t>8.22%</t>
  </si>
  <si>
    <t>0.4850</t>
  </si>
  <si>
    <t>38.05%</t>
  </si>
  <si>
    <t>100.24%</t>
  </si>
  <si>
    <t>15.52%</t>
  </si>
  <si>
    <t>56.83%</t>
  </si>
  <si>
    <t>6.92%</t>
  </si>
  <si>
    <t>13.06%</t>
  </si>
  <si>
    <t>12.45%</t>
  </si>
  <si>
    <t>4.05%</t>
  </si>
  <si>
    <t>0.4768</t>
  </si>
  <si>
    <t>45.11%</t>
  </si>
  <si>
    <t>28.35%</t>
  </si>
  <si>
    <t>30.49%</t>
  </si>
  <si>
    <t>10.26%</t>
  </si>
  <si>
    <t>2.69%</t>
  </si>
  <si>
    <t>0.4521</t>
  </si>
  <si>
    <t>43.76%</t>
  </si>
  <si>
    <t>37.99%</t>
  </si>
  <si>
    <t>92.40%</t>
  </si>
  <si>
    <t>11.41%</t>
  </si>
  <si>
    <t>16.87%</t>
  </si>
  <si>
    <t>0.3774</t>
  </si>
  <si>
    <t>28.89%</t>
  </si>
  <si>
    <t>19.53%</t>
  </si>
  <si>
    <t>21.47%</t>
  </si>
  <si>
    <t>10.92%</t>
  </si>
  <si>
    <t>5.16%</t>
  </si>
  <si>
    <t>0.3527</t>
  </si>
  <si>
    <t>27.67%</t>
  </si>
  <si>
    <t>25.43%</t>
  </si>
  <si>
    <t>38.35%</t>
  </si>
  <si>
    <t>4.01%</t>
  </si>
  <si>
    <t>0.1499</t>
  </si>
  <si>
    <t>9.91%</t>
  </si>
  <si>
    <t>26.12%</t>
  </si>
  <si>
    <t>20.84%</t>
  </si>
  <si>
    <t>3.16%</t>
  </si>
  <si>
    <t>0.4224</t>
  </si>
  <si>
    <t>32.36%</t>
  </si>
  <si>
    <t>16.91%</t>
  </si>
  <si>
    <t>21.54%</t>
  </si>
  <si>
    <t>8.91%</t>
  </si>
  <si>
    <t>0.6658</t>
  </si>
  <si>
    <t>70.06%</t>
  </si>
  <si>
    <t>52.71%</t>
  </si>
  <si>
    <t>66.80%</t>
  </si>
  <si>
    <t>7.18%</t>
  </si>
  <si>
    <t>0.4442</t>
  </si>
  <si>
    <t>35.22%</t>
  </si>
  <si>
    <t>18.33%</t>
  </si>
  <si>
    <t>11.50%</t>
  </si>
  <si>
    <t>14.22%</t>
  </si>
  <si>
    <t>4.91%</t>
  </si>
  <si>
    <t>0.3441</t>
  </si>
  <si>
    <t>30.55%</t>
  </si>
  <si>
    <t>97.63%</t>
  </si>
  <si>
    <t>20.08%</t>
  </si>
  <si>
    <t>4.60%</t>
  </si>
  <si>
    <t>3.81%</t>
  </si>
  <si>
    <t>0.5790</t>
  </si>
  <si>
    <t>56.98%</t>
  </si>
  <si>
    <t>231.78%</t>
  </si>
  <si>
    <t>71.41%</t>
  </si>
  <si>
    <t>1.67%</t>
  </si>
  <si>
    <t>0.4236</t>
  </si>
  <si>
    <t>33.55%</t>
  </si>
  <si>
    <t>33.56%</t>
  </si>
  <si>
    <t>32.60%</t>
  </si>
  <si>
    <t>7.07%</t>
  </si>
  <si>
    <t>6.91%</t>
  </si>
  <si>
    <t>0.5323</t>
  </si>
  <si>
    <t>67.57%</t>
  </si>
  <si>
    <t>61.97%</t>
  </si>
  <si>
    <t>14.66%</t>
  </si>
  <si>
    <t>3.02%</t>
  </si>
  <si>
    <t>0.3689</t>
  </si>
  <si>
    <t>24.43%</t>
  </si>
  <si>
    <t>8.17%</t>
  </si>
  <si>
    <t>12.76%</t>
  </si>
  <si>
    <t>0.6012</t>
  </si>
  <si>
    <t>42.84%</t>
  </si>
  <si>
    <t>92.83%</t>
  </si>
  <si>
    <t>77.16%</t>
  </si>
  <si>
    <t>12.30%</t>
  </si>
  <si>
    <t>1.03%</t>
  </si>
  <si>
    <t>0.2556</t>
  </si>
  <si>
    <t>17.18%</t>
  </si>
  <si>
    <t>8.06%</t>
  </si>
  <si>
    <t>16.33%</t>
  </si>
  <si>
    <t>2.87%</t>
  </si>
  <si>
    <t>7.43%</t>
  </si>
  <si>
    <t>0.6947</t>
  </si>
  <si>
    <t>72.54%</t>
  </si>
  <si>
    <t>70.82%</t>
  </si>
  <si>
    <t>42.18%</t>
  </si>
  <si>
    <t>9.67%</t>
  </si>
  <si>
    <t>7.35%</t>
  </si>
  <si>
    <t>0.4607</t>
  </si>
  <si>
    <t>30.92%</t>
  </si>
  <si>
    <t>12.03%</t>
  </si>
  <si>
    <t>77.33%</t>
  </si>
  <si>
    <t>0.3083</t>
  </si>
  <si>
    <t>20.59%</t>
  </si>
  <si>
    <t>112.56%</t>
  </si>
  <si>
    <t>6.95%</t>
  </si>
  <si>
    <t>0.5936</t>
  </si>
  <si>
    <t>51.25%</t>
  </si>
  <si>
    <t>69.87%</t>
  </si>
  <si>
    <t>39.82%</t>
  </si>
  <si>
    <t>9.37%</t>
  </si>
  <si>
    <t>8.54%</t>
  </si>
  <si>
    <t>0.5265</t>
  </si>
  <si>
    <t>28.66%</t>
  </si>
  <si>
    <t>111.89%</t>
  </si>
  <si>
    <t>109.26%</t>
  </si>
  <si>
    <t>5.47%</t>
  </si>
  <si>
    <t>0.5369</t>
  </si>
  <si>
    <t>44.43%</t>
  </si>
  <si>
    <t>121.82%</t>
  </si>
  <si>
    <t>52.06%</t>
  </si>
  <si>
    <t>9.49%</t>
  </si>
  <si>
    <t>5.18%</t>
  </si>
  <si>
    <t>42.13%</t>
  </si>
  <si>
    <t>45.10%</t>
  </si>
  <si>
    <t>6.48%</t>
  </si>
  <si>
    <t>25.49%</t>
  </si>
  <si>
    <t>0.2076</t>
  </si>
  <si>
    <t>19.37%</t>
  </si>
  <si>
    <t>21.77%</t>
  </si>
  <si>
    <t>30.78%</t>
  </si>
  <si>
    <t>1.72%</t>
  </si>
  <si>
    <t>0.4749</t>
  </si>
  <si>
    <t>41.15%</t>
  </si>
  <si>
    <t>16.31%</t>
  </si>
  <si>
    <t>57.49%</t>
  </si>
  <si>
    <t>15.84%</t>
  </si>
  <si>
    <t>1.89%</t>
  </si>
  <si>
    <t>0.4958</t>
  </si>
  <si>
    <t>35.71%</t>
  </si>
  <si>
    <t>31.38%</t>
  </si>
  <si>
    <t>21.21%</t>
  </si>
  <si>
    <t>13.39%</t>
  </si>
  <si>
    <t>1.50%</t>
  </si>
  <si>
    <t>0.4708</t>
  </si>
  <si>
    <t>37.55%</t>
  </si>
  <si>
    <t>33.82%</t>
  </si>
  <si>
    <t>39.57%</t>
  </si>
  <si>
    <t>13.59%</t>
  </si>
  <si>
    <t>0.4619</t>
  </si>
  <si>
    <t>37.08%</t>
  </si>
  <si>
    <t>25.35%</t>
  </si>
  <si>
    <t>19.97%</t>
  </si>
  <si>
    <t>21.26%</t>
  </si>
  <si>
    <t>2.82%</t>
  </si>
  <si>
    <t>0.3460</t>
  </si>
  <si>
    <t>31.53%</t>
  </si>
  <si>
    <t>11.08%</t>
  </si>
  <si>
    <t>65.82%</t>
  </si>
  <si>
    <t>5.54%</t>
  </si>
  <si>
    <t>0.4443</t>
  </si>
  <si>
    <t>28.26%</t>
  </si>
  <si>
    <t>28.50%</t>
  </si>
  <si>
    <t>19.17%</t>
  </si>
  <si>
    <t>4.09%</t>
  </si>
  <si>
    <t>4.12%</t>
  </si>
  <si>
    <t>0.7025</t>
  </si>
  <si>
    <t>59.41%</t>
  </si>
  <si>
    <t>77.43%</t>
  </si>
  <si>
    <t>1.48</t>
  </si>
  <si>
    <t>39.16%</t>
  </si>
  <si>
    <t>15.02%</t>
  </si>
  <si>
    <t>4.00%</t>
  </si>
  <si>
    <t>0.5088</t>
  </si>
  <si>
    <t>38.59%</t>
  </si>
  <si>
    <t>22.32%</t>
  </si>
  <si>
    <t>330.33%</t>
  </si>
  <si>
    <t>0.00%</t>
  </si>
  <si>
    <t>9.97%</t>
  </si>
  <si>
    <t>0.4503</t>
  </si>
  <si>
    <t>39.79%</t>
  </si>
  <si>
    <t>50.67%</t>
  </si>
  <si>
    <t>11.27%</t>
  </si>
  <si>
    <t>8.18%</t>
  </si>
  <si>
    <t>0.4893</t>
  </si>
  <si>
    <t>38.40%</t>
  </si>
  <si>
    <t>38.44%</t>
  </si>
  <si>
    <t>1.76</t>
  </si>
  <si>
    <t>11.79%</t>
  </si>
  <si>
    <t>10.94%</t>
  </si>
  <si>
    <t>4.43%</t>
  </si>
  <si>
    <t>0.4351</t>
  </si>
  <si>
    <t>41.57%</t>
  </si>
  <si>
    <t>68.49%</t>
  </si>
  <si>
    <t>39.02%</t>
  </si>
  <si>
    <t>6.23%</t>
  </si>
  <si>
    <t>6.44%</t>
  </si>
  <si>
    <t>41.16%</t>
  </si>
  <si>
    <t>83.00%</t>
  </si>
  <si>
    <t>9.01%</t>
  </si>
  <si>
    <t>10.70%</t>
  </si>
  <si>
    <t>3.50%</t>
  </si>
  <si>
    <t>0.5085</t>
  </si>
  <si>
    <t>39.37%</t>
  </si>
  <si>
    <t>28.27%</t>
  </si>
  <si>
    <t>3.82%</t>
  </si>
  <si>
    <t>3.07%</t>
  </si>
  <si>
    <t>0.6872</t>
  </si>
  <si>
    <t>58.71%</t>
  </si>
  <si>
    <t>69.14%</t>
  </si>
  <si>
    <t>1.55</t>
  </si>
  <si>
    <t>3.29%</t>
  </si>
  <si>
    <t>0.6605</t>
  </si>
  <si>
    <t>55.24%</t>
  </si>
  <si>
    <t>91.09%</t>
  </si>
  <si>
    <t>3.40%</t>
  </si>
  <si>
    <t>2.81%</t>
  </si>
  <si>
    <t>0.6164</t>
  </si>
  <si>
    <t>52.11%</t>
  </si>
  <si>
    <t>32.24%</t>
  </si>
  <si>
    <t>28.60%</t>
  </si>
  <si>
    <t>14.95%</t>
  </si>
  <si>
    <t>8.84%</t>
  </si>
  <si>
    <t>0.3941</t>
  </si>
  <si>
    <t>38.30%</t>
  </si>
  <si>
    <t>104.59%</t>
  </si>
  <si>
    <t>65.15%</t>
  </si>
  <si>
    <t>0.5725</t>
  </si>
  <si>
    <t>51.92%</t>
  </si>
  <si>
    <t>69.46%</t>
  </si>
  <si>
    <t>11.68%</t>
  </si>
  <si>
    <t>4.06%</t>
  </si>
  <si>
    <t>3.79%</t>
  </si>
  <si>
    <t>0.5273</t>
  </si>
  <si>
    <t>41.35%</t>
  </si>
  <si>
    <t>13.61%</t>
  </si>
  <si>
    <t>117.72%</t>
  </si>
  <si>
    <t>1.13%</t>
  </si>
  <si>
    <t>55.37%</t>
  </si>
  <si>
    <t>22.22%</t>
  </si>
  <si>
    <t>2.00</t>
  </si>
  <si>
    <t>24.06%</t>
  </si>
  <si>
    <t>2.84%</t>
  </si>
  <si>
    <t>1.74</t>
  </si>
  <si>
    <t>0.6063</t>
  </si>
  <si>
    <t>44.06%</t>
  </si>
  <si>
    <t>7.70%</t>
  </si>
  <si>
    <t>29.51%</t>
  </si>
  <si>
    <t>6.28%</t>
  </si>
  <si>
    <t>0.4789</t>
  </si>
  <si>
    <t>28.05%</t>
  </si>
  <si>
    <t>26.96%</t>
  </si>
  <si>
    <t>27.45%</t>
  </si>
  <si>
    <t>16.57%</t>
  </si>
  <si>
    <t>0.2272</t>
  </si>
  <si>
    <t>16.34%</t>
  </si>
  <si>
    <t>11.81%</t>
  </si>
  <si>
    <t>43.91%</t>
  </si>
  <si>
    <t>14.79%</t>
  </si>
  <si>
    <t>5.72%</t>
  </si>
  <si>
    <t>0.4458</t>
  </si>
  <si>
    <t>150.04%</t>
  </si>
  <si>
    <t>74.18%</t>
  </si>
  <si>
    <t>13.20%</t>
  </si>
  <si>
    <t>0.33%</t>
  </si>
  <si>
    <t>0.1561</t>
  </si>
  <si>
    <t>14.97%</t>
  </si>
  <si>
    <t>0.37</t>
  </si>
  <si>
    <t>43.40%</t>
  </si>
  <si>
    <t>8.45%</t>
  </si>
  <si>
    <t>0.35%</t>
  </si>
  <si>
    <t>0.3655</t>
  </si>
  <si>
    <t>41.37%</t>
  </si>
  <si>
    <t>53.52%</t>
  </si>
  <si>
    <t>7.52%</t>
  </si>
  <si>
    <t>0.4832</t>
  </si>
  <si>
    <t>19.01%</t>
  </si>
  <si>
    <t>26.40%</t>
  </si>
  <si>
    <t>6.38%</t>
  </si>
  <si>
    <t>3.75%</t>
  </si>
  <si>
    <t>0.5575</t>
  </si>
  <si>
    <t>47.98%</t>
  </si>
  <si>
    <t>18.50%</t>
  </si>
  <si>
    <t>https://pages.stern.nyu.edu/~adamodar/New_Home_Page/datafile/Betas.html</t>
  </si>
  <si>
    <t>Rank (YoY Change)</t>
  </si>
  <si>
    <t>Rank Change (Pre-Covid)</t>
  </si>
  <si>
    <t>Valuation Change (Pre-Covid) (US$bn)</t>
  </si>
  <si>
    <t>Country</t>
  </si>
  <si>
    <t>Sector</t>
  </si>
  <si>
    <t>1 (same)</t>
  </si>
  <si>
    <t>China</t>
  </si>
  <si>
    <t>Social Media</t>
  </si>
  <si>
    <t>2 (+1)</t>
  </si>
  <si>
    <t>USA</t>
  </si>
  <si>
    <t>Aerospace</t>
  </si>
  <si>
    <t>3 (-1)</t>
  </si>
  <si>
    <t>FinTech</t>
  </si>
  <si>
    <t>4 (+12)</t>
  </si>
  <si>
    <t>63.5</t>
  </si>
  <si>
    <t>E-commerce</t>
  </si>
  <si>
    <t>5 (-1)</t>
  </si>
  <si>
    <t>6 (+5)</t>
  </si>
  <si>
    <t>7 (+1)</t>
  </si>
  <si>
    <t>Big Data</t>
  </si>
  <si>
    <t>8* (New)</t>
  </si>
  <si>
    <t>New</t>
  </si>
  <si>
    <t>UAE</t>
  </si>
  <si>
    <t>9 (+1)</t>
  </si>
  <si>
    <t>UK</t>
  </si>
  <si>
    <t>Valuation (US$bn)</t>
  </si>
  <si>
    <t>Unicorn</t>
  </si>
  <si>
    <t>Bytedance</t>
  </si>
  <si>
    <t>SpaceX</t>
  </si>
  <si>
    <t>Ant Group</t>
  </si>
  <si>
    <t>Shein</t>
  </si>
  <si>
    <t>Stripe</t>
  </si>
  <si>
    <t>Webank</t>
  </si>
  <si>
    <t>Databricks</t>
  </si>
  <si>
    <t>Telegram</t>
  </si>
  <si>
    <t>Revolut</t>
  </si>
  <si>
    <t>BYTEDANCE (US$ BILLION)</t>
  </si>
  <si>
    <t>REVENUE</t>
  </si>
  <si>
    <t>Assets</t>
  </si>
  <si>
    <t>Liabilities</t>
  </si>
  <si>
    <t>≠</t>
  </si>
  <si>
    <t>RISK FREE (T-BOND 10YEAR)</t>
  </si>
  <si>
    <t>VALUE STOCK 2</t>
  </si>
  <si>
    <t>VALUE STOCK 1</t>
  </si>
  <si>
    <t>UPSIDE or DOWNSIDE 1</t>
  </si>
  <si>
    <t>UPSIDE or DOWNSIDE 2</t>
  </si>
  <si>
    <t>Welcome to the Valuation of Bytedance 
[Explore the Sections]</t>
  </si>
  <si>
    <t>Note: All assumptions and their percentages were calculated using a simple arithmetic mean. In other words, each growth rate assumption is derived from the simple average from one year to the next. Supported by market experts.</t>
  </si>
  <si>
    <t>Valuations most well-regarded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</si>
</sst>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#,##0.00;[Red]\-&quot;R$&quot;#,##0.00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0.0%"/>
    <numFmt numFmtId="166" formatCode="&quot;R$&quot;#,##0.00000;[Red]\-&quot;R$&quot;#,##0.00000"/>
    <numFmt numFmtId="167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0"/>
      <name val="Verdana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Times New Roman"/>
      <family val="1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1" xfId="0" applyFont="1" applyBorder="1"/>
    <xf numFmtId="0" fontId="7" fillId="0" borderId="1" xfId="0" applyFont="1" applyBorder="1"/>
    <xf numFmtId="43" fontId="7" fillId="0" borderId="1" xfId="4" applyFont="1" applyBorder="1"/>
    <xf numFmtId="0" fontId="8" fillId="5" borderId="1" xfId="0" applyFont="1" applyFill="1" applyBorder="1"/>
    <xf numFmtId="0" fontId="9" fillId="5" borderId="1" xfId="0" applyFont="1" applyFill="1" applyBorder="1"/>
    <xf numFmtId="0" fontId="7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indent="1"/>
    </xf>
    <xf numFmtId="43" fontId="9" fillId="5" borderId="1" xfId="4" applyFont="1" applyFill="1" applyBorder="1"/>
    <xf numFmtId="43" fontId="7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43" fontId="7" fillId="0" borderId="1" xfId="0" applyNumberFormat="1" applyFont="1" applyBorder="1" applyAlignment="1">
      <alignment horizontal="left"/>
    </xf>
    <xf numFmtId="43" fontId="7" fillId="0" borderId="1" xfId="1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43" fontId="12" fillId="0" borderId="1" xfId="0" applyNumberFormat="1" applyFont="1" applyBorder="1" applyAlignment="1">
      <alignment horizontal="left"/>
    </xf>
    <xf numFmtId="10" fontId="7" fillId="0" borderId="1" xfId="0" applyNumberFormat="1" applyFont="1" applyBorder="1" applyAlignment="1">
      <alignment horizontal="center"/>
    </xf>
    <xf numFmtId="10" fontId="7" fillId="0" borderId="0" xfId="0" applyNumberFormat="1" applyFont="1"/>
    <xf numFmtId="10" fontId="7" fillId="0" borderId="1" xfId="2" applyNumberFormat="1" applyFont="1" applyBorder="1" applyAlignment="1">
      <alignment horizontal="center"/>
    </xf>
    <xf numFmtId="10" fontId="7" fillId="0" borderId="0" xfId="2" applyNumberFormat="1" applyFont="1"/>
    <xf numFmtId="10" fontId="9" fillId="5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3" fontId="7" fillId="0" borderId="0" xfId="0" applyNumberFormat="1" applyFont="1"/>
    <xf numFmtId="0" fontId="7" fillId="0" borderId="6" xfId="0" applyFont="1" applyBorder="1"/>
    <xf numFmtId="8" fontId="9" fillId="0" borderId="6" xfId="4" applyNumberFormat="1" applyFont="1" applyBorder="1"/>
    <xf numFmtId="43" fontId="9" fillId="0" borderId="6" xfId="4" applyFont="1" applyBorder="1"/>
    <xf numFmtId="0" fontId="9" fillId="0" borderId="6" xfId="0" applyFont="1" applyBorder="1"/>
    <xf numFmtId="2" fontId="7" fillId="0" borderId="6" xfId="0" applyNumberFormat="1" applyFont="1" applyBorder="1"/>
    <xf numFmtId="43" fontId="9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12" fillId="0" borderId="1" xfId="0" applyFont="1" applyBorder="1"/>
    <xf numFmtId="2" fontId="7" fillId="0" borderId="1" xfId="0" applyNumberFormat="1" applyFont="1" applyBorder="1" applyAlignment="1">
      <alignment vertical="center"/>
    </xf>
    <xf numFmtId="9" fontId="7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165" fontId="7" fillId="0" borderId="1" xfId="2" applyNumberFormat="1" applyFont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8" fontId="9" fillId="0" borderId="6" xfId="0" applyNumberFormat="1" applyFont="1" applyBorder="1"/>
    <xf numFmtId="166" fontId="7" fillId="0" borderId="0" xfId="0" applyNumberFormat="1" applyFont="1"/>
    <xf numFmtId="167" fontId="7" fillId="0" borderId="0" xfId="0" applyNumberFormat="1" applyFont="1"/>
    <xf numFmtId="43" fontId="7" fillId="0" borderId="1" xfId="4" applyFont="1" applyBorder="1" applyAlignment="1">
      <alignment vertical="top"/>
    </xf>
    <xf numFmtId="9" fontId="12" fillId="0" borderId="1" xfId="2" applyFont="1" applyBorder="1" applyAlignment="1">
      <alignment horizontal="right"/>
    </xf>
    <xf numFmtId="0" fontId="14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</cellXfs>
  <cellStyles count="5">
    <cellStyle name="Hyperlink" xfId="3" xr:uid="{00000000-000B-0000-0000-000008000000}"/>
    <cellStyle name="Moeda" xfId="1" builtinId="4"/>
    <cellStyle name="Normal" xfId="0" builtinId="0"/>
    <cellStyle name="Porcentagem" xfId="2" builtinId="5"/>
    <cellStyle name="Vírgula" xfId="4" builtinId="3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E919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ERCADOS!A1"/><Relationship Id="rId3" Type="http://schemas.openxmlformats.org/officeDocument/2006/relationships/hyperlink" Target="#'BALANCE SHEET'!A1"/><Relationship Id="rId7" Type="http://schemas.openxmlformats.org/officeDocument/2006/relationships/hyperlink" Target="#'FUNDAMENTAL VALUE'!A1"/><Relationship Id="rId2" Type="http://schemas.openxmlformats.org/officeDocument/2006/relationships/hyperlink" Target="#'INCOME STATEMENT'!A1"/><Relationship Id="rId1" Type="http://schemas.openxmlformats.org/officeDocument/2006/relationships/hyperlink" Target="#ASSUMPTIONS!A1"/><Relationship Id="rId6" Type="http://schemas.openxmlformats.org/officeDocument/2006/relationships/hyperlink" Target="#CAPM!A1"/><Relationship Id="rId5" Type="http://schemas.openxmlformats.org/officeDocument/2006/relationships/hyperlink" Target="#BETA!A1"/><Relationship Id="rId4" Type="http://schemas.openxmlformats.org/officeDocument/2006/relationships/hyperlink" Target="#'CASH FLOW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ASTER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AST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AST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AST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AST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AST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AST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AST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76200</xdr:rowOff>
    </xdr:from>
    <xdr:to>
      <xdr:col>10</xdr:col>
      <xdr:colOff>104775</xdr:colOff>
      <xdr:row>5</xdr:row>
      <xdr:rowOff>66675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24C042-4BA7-D0C2-4EF9-86DA27303C4F}"/>
            </a:ext>
          </a:extLst>
        </xdr:cNvPr>
        <xdr:cNvSpPr/>
      </xdr:nvSpPr>
      <xdr:spPr>
        <a:xfrm>
          <a:off x="5800725" y="47625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Assumptions</a:t>
          </a:r>
        </a:p>
      </xdr:txBody>
    </xdr:sp>
    <xdr:clientData/>
  </xdr:twoCellAnchor>
  <xdr:twoCellAnchor>
    <xdr:from>
      <xdr:col>10</xdr:col>
      <xdr:colOff>495300</xdr:colOff>
      <xdr:row>2</xdr:row>
      <xdr:rowOff>95250</xdr:rowOff>
    </xdr:from>
    <xdr:to>
      <xdr:col>12</xdr:col>
      <xdr:colOff>285750</xdr:colOff>
      <xdr:row>5</xdr:row>
      <xdr:rowOff>85725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FF0AFC-3083-40EF-8F18-07A9EBF25B7D}"/>
            </a:ext>
          </a:extLst>
        </xdr:cNvPr>
        <xdr:cNvSpPr/>
      </xdr:nvSpPr>
      <xdr:spPr>
        <a:xfrm>
          <a:off x="7353300" y="49530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Income Statement</a:t>
          </a:r>
        </a:p>
      </xdr:txBody>
    </xdr:sp>
    <xdr:clientData/>
  </xdr:twoCellAnchor>
  <xdr:twoCellAnchor>
    <xdr:from>
      <xdr:col>8</xdr:col>
      <xdr:colOff>314325</xdr:colOff>
      <xdr:row>6</xdr:row>
      <xdr:rowOff>57150</xdr:rowOff>
    </xdr:from>
    <xdr:to>
      <xdr:col>10</xdr:col>
      <xdr:colOff>104775</xdr:colOff>
      <xdr:row>9</xdr:row>
      <xdr:rowOff>47625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83ABAE-6358-4661-935E-53AEB05943BD}"/>
            </a:ext>
          </a:extLst>
        </xdr:cNvPr>
        <xdr:cNvSpPr/>
      </xdr:nvSpPr>
      <xdr:spPr>
        <a:xfrm>
          <a:off x="5800725" y="125730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Balance Sheet</a:t>
          </a:r>
        </a:p>
      </xdr:txBody>
    </xdr:sp>
    <xdr:clientData/>
  </xdr:twoCellAnchor>
  <xdr:twoCellAnchor>
    <xdr:from>
      <xdr:col>10</xdr:col>
      <xdr:colOff>514350</xdr:colOff>
      <xdr:row>6</xdr:row>
      <xdr:rowOff>66675</xdr:rowOff>
    </xdr:from>
    <xdr:to>
      <xdr:col>12</xdr:col>
      <xdr:colOff>304800</xdr:colOff>
      <xdr:row>9</xdr:row>
      <xdr:rowOff>57150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23EC4D-0F4B-46F0-A3E6-12E9217DD515}"/>
            </a:ext>
          </a:extLst>
        </xdr:cNvPr>
        <xdr:cNvSpPr/>
      </xdr:nvSpPr>
      <xdr:spPr>
        <a:xfrm>
          <a:off x="7372350" y="1266825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Cash Flow</a:t>
          </a:r>
        </a:p>
      </xdr:txBody>
    </xdr:sp>
    <xdr:clientData/>
  </xdr:twoCellAnchor>
  <xdr:twoCellAnchor>
    <xdr:from>
      <xdr:col>8</xdr:col>
      <xdr:colOff>304800</xdr:colOff>
      <xdr:row>10</xdr:row>
      <xdr:rowOff>28575</xdr:rowOff>
    </xdr:from>
    <xdr:to>
      <xdr:col>10</xdr:col>
      <xdr:colOff>95250</xdr:colOff>
      <xdr:row>13</xdr:row>
      <xdr:rowOff>19050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DCBFEE4-86BE-43FE-A2BA-AB4F6C5EA323}"/>
            </a:ext>
          </a:extLst>
        </xdr:cNvPr>
        <xdr:cNvSpPr/>
      </xdr:nvSpPr>
      <xdr:spPr>
        <a:xfrm>
          <a:off x="5791200" y="2028825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Beta</a:t>
          </a:r>
        </a:p>
      </xdr:txBody>
    </xdr:sp>
    <xdr:clientData/>
  </xdr:twoCellAnchor>
  <xdr:twoCellAnchor>
    <xdr:from>
      <xdr:col>10</xdr:col>
      <xdr:colOff>504825</xdr:colOff>
      <xdr:row>10</xdr:row>
      <xdr:rowOff>28575</xdr:rowOff>
    </xdr:from>
    <xdr:to>
      <xdr:col>12</xdr:col>
      <xdr:colOff>295275</xdr:colOff>
      <xdr:row>13</xdr:row>
      <xdr:rowOff>19050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0184427-7F43-4493-A3C3-22DBB023275E}"/>
            </a:ext>
          </a:extLst>
        </xdr:cNvPr>
        <xdr:cNvSpPr/>
      </xdr:nvSpPr>
      <xdr:spPr>
        <a:xfrm>
          <a:off x="7362825" y="2028825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CAPM</a:t>
          </a:r>
        </a:p>
      </xdr:txBody>
    </xdr:sp>
    <xdr:clientData/>
  </xdr:twoCellAnchor>
  <xdr:twoCellAnchor>
    <xdr:from>
      <xdr:col>8</xdr:col>
      <xdr:colOff>285750</xdr:colOff>
      <xdr:row>13</xdr:row>
      <xdr:rowOff>152400</xdr:rowOff>
    </xdr:from>
    <xdr:to>
      <xdr:col>10</xdr:col>
      <xdr:colOff>76200</xdr:colOff>
      <xdr:row>16</xdr:row>
      <xdr:rowOff>142875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161FEF9-6E9F-4977-BEB9-E6B8BC25A05B}"/>
            </a:ext>
          </a:extLst>
        </xdr:cNvPr>
        <xdr:cNvSpPr/>
      </xdr:nvSpPr>
      <xdr:spPr>
        <a:xfrm>
          <a:off x="5772150" y="2752725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Fundamental Value</a:t>
          </a:r>
        </a:p>
      </xdr:txBody>
    </xdr:sp>
    <xdr:clientData/>
  </xdr:twoCellAnchor>
  <xdr:twoCellAnchor>
    <xdr:from>
      <xdr:col>10</xdr:col>
      <xdr:colOff>495300</xdr:colOff>
      <xdr:row>13</xdr:row>
      <xdr:rowOff>180975</xdr:rowOff>
    </xdr:from>
    <xdr:to>
      <xdr:col>12</xdr:col>
      <xdr:colOff>285750</xdr:colOff>
      <xdr:row>16</xdr:row>
      <xdr:rowOff>171450</xdr:rowOff>
    </xdr:to>
    <xdr:sp macro="" textlink="">
      <xdr:nvSpPr>
        <xdr:cNvPr id="10" name="Retângul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F97FC70-CA78-47D5-A0D3-3F7BD71C45AF}"/>
            </a:ext>
          </a:extLst>
        </xdr:cNvPr>
        <xdr:cNvSpPr/>
      </xdr:nvSpPr>
      <xdr:spPr>
        <a:xfrm>
          <a:off x="7353300" y="278130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Mercados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10</xdr:col>
      <xdr:colOff>476250</xdr:colOff>
      <xdr:row>4</xdr:row>
      <xdr:rowOff>19050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94609A-E1B9-442B-960A-5A6D4E965EA6}"/>
            </a:ext>
          </a:extLst>
        </xdr:cNvPr>
        <xdr:cNvSpPr/>
      </xdr:nvSpPr>
      <xdr:spPr>
        <a:xfrm>
          <a:off x="9001125" y="19050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Master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76200</xdr:rowOff>
    </xdr:from>
    <xdr:to>
      <xdr:col>10</xdr:col>
      <xdr:colOff>390525</xdr:colOff>
      <xdr:row>3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B1AE2-0992-4C45-B0C9-F7DB8D9663FC}"/>
            </a:ext>
          </a:extLst>
        </xdr:cNvPr>
        <xdr:cNvSpPr/>
      </xdr:nvSpPr>
      <xdr:spPr>
        <a:xfrm>
          <a:off x="6877050" y="7620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Master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</xdr:row>
      <xdr:rowOff>161925</xdr:rowOff>
    </xdr:from>
    <xdr:to>
      <xdr:col>11</xdr:col>
      <xdr:colOff>85725</xdr:colOff>
      <xdr:row>5</xdr:row>
      <xdr:rowOff>171450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3D86F-D507-440E-A1E4-A3713940C6D7}"/>
            </a:ext>
          </a:extLst>
        </xdr:cNvPr>
        <xdr:cNvSpPr/>
      </xdr:nvSpPr>
      <xdr:spPr>
        <a:xfrm>
          <a:off x="8439150" y="55245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Master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10</xdr:col>
      <xdr:colOff>476250</xdr:colOff>
      <xdr:row>6</xdr:row>
      <xdr:rowOff>9525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BDC41-FFD3-432A-BC8E-782BE69F0992}"/>
            </a:ext>
          </a:extLst>
        </xdr:cNvPr>
        <xdr:cNvSpPr/>
      </xdr:nvSpPr>
      <xdr:spPr>
        <a:xfrm>
          <a:off x="9105900" y="57150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Master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0</xdr:row>
      <xdr:rowOff>438150</xdr:rowOff>
    </xdr:from>
    <xdr:to>
      <xdr:col>17</xdr:col>
      <xdr:colOff>600075</xdr:colOff>
      <xdr:row>2</xdr:row>
      <xdr:rowOff>9525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2D80C4-ED6A-4B0D-A93F-8A2092B62F9C}"/>
            </a:ext>
          </a:extLst>
        </xdr:cNvPr>
        <xdr:cNvSpPr/>
      </xdr:nvSpPr>
      <xdr:spPr>
        <a:xfrm>
          <a:off x="14030325" y="43815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Master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95250</xdr:rowOff>
    </xdr:from>
    <xdr:to>
      <xdr:col>4</xdr:col>
      <xdr:colOff>400050</xdr:colOff>
      <xdr:row>4</xdr:row>
      <xdr:rowOff>114300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9803E5-58DF-48AD-AFC7-AF2CC4C794C3}"/>
            </a:ext>
          </a:extLst>
        </xdr:cNvPr>
        <xdr:cNvSpPr/>
      </xdr:nvSpPr>
      <xdr:spPr>
        <a:xfrm>
          <a:off x="3781425" y="28575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Master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</xdr:row>
      <xdr:rowOff>76200</xdr:rowOff>
    </xdr:from>
    <xdr:to>
      <xdr:col>5</xdr:col>
      <xdr:colOff>123825</xdr:colOff>
      <xdr:row>4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BFF63-B0F5-418D-9B7B-FE49B953287E}"/>
            </a:ext>
          </a:extLst>
        </xdr:cNvPr>
        <xdr:cNvSpPr/>
      </xdr:nvSpPr>
      <xdr:spPr>
        <a:xfrm>
          <a:off x="4876800" y="26670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Master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57150</xdr:rowOff>
    </xdr:from>
    <xdr:to>
      <xdr:col>9</xdr:col>
      <xdr:colOff>485775</xdr:colOff>
      <xdr:row>4</xdr:row>
      <xdr:rowOff>76200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929D9A-AA0C-47ED-B2E9-DED367D5B5DD}"/>
            </a:ext>
          </a:extLst>
        </xdr:cNvPr>
        <xdr:cNvSpPr/>
      </xdr:nvSpPr>
      <xdr:spPr>
        <a:xfrm>
          <a:off x="10963275" y="247650"/>
          <a:ext cx="1162050" cy="5905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Master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A3F5-06D1-4C37-A72D-5D9AF1674250}">
  <dimension ref="A3:H6"/>
  <sheetViews>
    <sheetView showGridLines="0" tabSelected="1" workbookViewId="0">
      <selection activeCell="F22" sqref="F22"/>
    </sheetView>
  </sheetViews>
  <sheetFormatPr defaultRowHeight="15.75" x14ac:dyDescent="0.25"/>
  <sheetData>
    <row r="3" spans="1:8" x14ac:dyDescent="0.25">
      <c r="A3" s="72" t="s">
        <v>908</v>
      </c>
      <c r="B3" s="72"/>
      <c r="C3" s="72"/>
      <c r="D3" s="72"/>
      <c r="E3" s="72"/>
      <c r="F3" s="72"/>
      <c r="G3" s="72"/>
      <c r="H3" s="72"/>
    </row>
    <row r="4" spans="1:8" x14ac:dyDescent="0.25">
      <c r="A4" s="72"/>
      <c r="B4" s="72"/>
      <c r="C4" s="72"/>
      <c r="D4" s="72"/>
      <c r="E4" s="72"/>
      <c r="F4" s="72"/>
      <c r="G4" s="72"/>
      <c r="H4" s="72"/>
    </row>
    <row r="5" spans="1:8" x14ac:dyDescent="0.25">
      <c r="A5" s="72"/>
      <c r="B5" s="72"/>
      <c r="C5" s="72"/>
      <c r="D5" s="72"/>
      <c r="E5" s="72"/>
      <c r="F5" s="72"/>
      <c r="G5" s="72"/>
      <c r="H5" s="72"/>
    </row>
    <row r="6" spans="1:8" x14ac:dyDescent="0.25">
      <c r="A6" s="72"/>
      <c r="B6" s="72"/>
      <c r="C6" s="72"/>
      <c r="D6" s="72"/>
      <c r="E6" s="72"/>
      <c r="F6" s="72"/>
      <c r="G6" s="72"/>
      <c r="H6" s="72"/>
    </row>
  </sheetData>
  <mergeCells count="1">
    <mergeCell ref="A3:H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1025-FA66-40F3-B70B-FEFDFE5B7EC2}">
  <dimension ref="A1:H23"/>
  <sheetViews>
    <sheetView showGridLines="0" workbookViewId="0">
      <selection activeCell="D31" sqref="D31"/>
    </sheetView>
  </sheetViews>
  <sheetFormatPr defaultRowHeight="15" x14ac:dyDescent="0.2"/>
  <cols>
    <col min="1" max="1" width="18.75" style="19" customWidth="1"/>
    <col min="2" max="2" width="16.125" style="19" customWidth="1"/>
    <col min="3" max="8" width="12.375" style="19" bestFit="1" customWidth="1"/>
    <col min="9" max="16384" width="9" style="19"/>
  </cols>
  <sheetData>
    <row r="1" spans="1:8" x14ac:dyDescent="0.2">
      <c r="A1" s="73" t="s">
        <v>898</v>
      </c>
      <c r="B1" s="73"/>
      <c r="C1" s="73"/>
      <c r="D1" s="73"/>
      <c r="E1" s="73"/>
      <c r="F1" s="73"/>
      <c r="G1" s="73"/>
      <c r="H1" s="73"/>
    </row>
    <row r="2" spans="1:8" x14ac:dyDescent="0.2">
      <c r="A2" s="73"/>
      <c r="B2" s="73"/>
      <c r="C2" s="73"/>
      <c r="D2" s="73"/>
      <c r="E2" s="73"/>
      <c r="F2" s="73"/>
      <c r="G2" s="73"/>
      <c r="H2" s="73"/>
    </row>
    <row r="3" spans="1:8" x14ac:dyDescent="0.2">
      <c r="A3" s="73"/>
      <c r="B3" s="73"/>
      <c r="C3" s="73"/>
      <c r="D3" s="73"/>
      <c r="E3" s="73"/>
      <c r="F3" s="73"/>
      <c r="G3" s="73"/>
      <c r="H3" s="73"/>
    </row>
    <row r="4" spans="1:8" x14ac:dyDescent="0.2">
      <c r="A4" s="73"/>
      <c r="B4" s="73"/>
      <c r="C4" s="73"/>
      <c r="D4" s="73"/>
      <c r="E4" s="73"/>
      <c r="F4" s="73"/>
      <c r="G4" s="73"/>
      <c r="H4" s="73"/>
    </row>
    <row r="5" spans="1:8" ht="15.75" x14ac:dyDescent="0.2">
      <c r="A5" s="27" t="s">
        <v>0</v>
      </c>
      <c r="B5" s="63">
        <v>2021</v>
      </c>
      <c r="C5" s="65">
        <v>2022</v>
      </c>
      <c r="D5" s="65">
        <f>C5+1</f>
        <v>2023</v>
      </c>
      <c r="E5" s="65">
        <f>D5+1</f>
        <v>2024</v>
      </c>
      <c r="F5" s="65">
        <f>E5+1</f>
        <v>2025</v>
      </c>
      <c r="G5" s="65">
        <f>F5+1</f>
        <v>2026</v>
      </c>
      <c r="H5" s="65">
        <f>G5+1</f>
        <v>2027</v>
      </c>
    </row>
    <row r="6" spans="1:8" x14ac:dyDescent="0.2">
      <c r="A6" s="29" t="s">
        <v>9</v>
      </c>
      <c r="B6" s="60">
        <v>58</v>
      </c>
      <c r="C6" s="61">
        <v>0.3</v>
      </c>
      <c r="D6" s="61">
        <f>C6</f>
        <v>0.3</v>
      </c>
      <c r="E6" s="61">
        <f t="shared" ref="E6:H9" si="0">D6</f>
        <v>0.3</v>
      </c>
      <c r="F6" s="61">
        <f t="shared" si="0"/>
        <v>0.3</v>
      </c>
      <c r="G6" s="61">
        <f t="shared" si="0"/>
        <v>0.3</v>
      </c>
      <c r="H6" s="61">
        <f t="shared" si="0"/>
        <v>0.3</v>
      </c>
    </row>
    <row r="7" spans="1:8" x14ac:dyDescent="0.2">
      <c r="A7" s="29" t="s">
        <v>10</v>
      </c>
      <c r="B7" s="60">
        <v>27.4</v>
      </c>
      <c r="C7" s="61">
        <v>0.28999999999999998</v>
      </c>
      <c r="D7" s="61">
        <f>C7</f>
        <v>0.28999999999999998</v>
      </c>
      <c r="E7" s="61">
        <f t="shared" si="0"/>
        <v>0.28999999999999998</v>
      </c>
      <c r="F7" s="61">
        <f t="shared" si="0"/>
        <v>0.28999999999999998</v>
      </c>
      <c r="G7" s="61">
        <f t="shared" si="0"/>
        <v>0.28999999999999998</v>
      </c>
      <c r="H7" s="61">
        <f t="shared" si="0"/>
        <v>0.28999999999999998</v>
      </c>
    </row>
    <row r="8" spans="1:8" x14ac:dyDescent="0.2">
      <c r="A8" s="29" t="s">
        <v>12</v>
      </c>
      <c r="B8" s="60">
        <v>19.2</v>
      </c>
      <c r="C8" s="61">
        <v>0.21</v>
      </c>
      <c r="D8" s="61">
        <f>C8</f>
        <v>0.21</v>
      </c>
      <c r="E8" s="61">
        <f t="shared" si="0"/>
        <v>0.21</v>
      </c>
      <c r="F8" s="61">
        <f t="shared" si="0"/>
        <v>0.21</v>
      </c>
      <c r="G8" s="61">
        <f t="shared" si="0"/>
        <v>0.21</v>
      </c>
      <c r="H8" s="61">
        <f t="shared" si="0"/>
        <v>0.21</v>
      </c>
    </row>
    <row r="9" spans="1:8" x14ac:dyDescent="0.2">
      <c r="A9" s="29" t="s">
        <v>1</v>
      </c>
      <c r="B9" s="61">
        <f>5/B6</f>
        <v>8.6206896551724144E-2</v>
      </c>
      <c r="C9" s="61">
        <f>B9</f>
        <v>8.6206896551724144E-2</v>
      </c>
      <c r="D9" s="61">
        <f>C9</f>
        <v>8.6206896551724144E-2</v>
      </c>
      <c r="E9" s="61">
        <f t="shared" si="0"/>
        <v>8.6206896551724144E-2</v>
      </c>
      <c r="F9" s="61">
        <f t="shared" si="0"/>
        <v>8.6206896551724144E-2</v>
      </c>
      <c r="G9" s="61">
        <f t="shared" si="0"/>
        <v>8.6206896551724144E-2</v>
      </c>
      <c r="H9" s="61">
        <f t="shared" si="0"/>
        <v>8.6206896551724144E-2</v>
      </c>
    </row>
    <row r="10" spans="1:8" x14ac:dyDescent="0.2">
      <c r="A10" s="29"/>
      <c r="B10" s="62"/>
      <c r="C10" s="62"/>
      <c r="D10" s="62"/>
      <c r="E10" s="62"/>
      <c r="F10" s="62"/>
      <c r="G10" s="62"/>
      <c r="H10" s="62"/>
    </row>
    <row r="11" spans="1:8" x14ac:dyDescent="0.2">
      <c r="A11" s="27" t="s">
        <v>2</v>
      </c>
      <c r="B11" s="63">
        <f>B5</f>
        <v>2021</v>
      </c>
      <c r="C11" s="63">
        <f t="shared" ref="C11:H11" si="1">C5</f>
        <v>2022</v>
      </c>
      <c r="D11" s="63">
        <f t="shared" si="1"/>
        <v>2023</v>
      </c>
      <c r="E11" s="63">
        <f t="shared" si="1"/>
        <v>2024</v>
      </c>
      <c r="F11" s="63">
        <f t="shared" si="1"/>
        <v>2025</v>
      </c>
      <c r="G11" s="63">
        <f t="shared" si="1"/>
        <v>2026</v>
      </c>
      <c r="H11" s="63">
        <f t="shared" si="1"/>
        <v>2027</v>
      </c>
    </row>
    <row r="12" spans="1:8" x14ac:dyDescent="0.2">
      <c r="A12" s="29" t="s">
        <v>3</v>
      </c>
      <c r="B12" s="60">
        <f>(2+2.5)/(B6/360)</f>
        <v>27.931034482758619</v>
      </c>
      <c r="C12" s="60">
        <f t="shared" ref="C12:H14" si="2">B12</f>
        <v>27.931034482758619</v>
      </c>
      <c r="D12" s="60">
        <f t="shared" si="2"/>
        <v>27.931034482758619</v>
      </c>
      <c r="E12" s="60">
        <f t="shared" si="2"/>
        <v>27.931034482758619</v>
      </c>
      <c r="F12" s="60">
        <f t="shared" si="2"/>
        <v>27.931034482758619</v>
      </c>
      <c r="G12" s="60">
        <f t="shared" si="2"/>
        <v>27.931034482758619</v>
      </c>
      <c r="H12" s="60">
        <f t="shared" si="2"/>
        <v>27.931034482758619</v>
      </c>
    </row>
    <row r="13" spans="1:8" x14ac:dyDescent="0.2">
      <c r="A13" s="29" t="s">
        <v>4</v>
      </c>
      <c r="B13" s="60">
        <f>(1.4)/(B7/360)</f>
        <v>18.394160583941606</v>
      </c>
      <c r="C13" s="60">
        <f t="shared" si="2"/>
        <v>18.394160583941606</v>
      </c>
      <c r="D13" s="60">
        <f t="shared" si="2"/>
        <v>18.394160583941606</v>
      </c>
      <c r="E13" s="60">
        <f t="shared" si="2"/>
        <v>18.394160583941606</v>
      </c>
      <c r="F13" s="60">
        <f t="shared" si="2"/>
        <v>18.394160583941606</v>
      </c>
      <c r="G13" s="60">
        <f t="shared" si="2"/>
        <v>18.394160583941606</v>
      </c>
      <c r="H13" s="60">
        <f t="shared" si="2"/>
        <v>18.394160583941606</v>
      </c>
    </row>
    <row r="14" spans="1:8" x14ac:dyDescent="0.2">
      <c r="A14" s="29" t="s">
        <v>5</v>
      </c>
      <c r="B14" s="60">
        <f>(1+1)/(B7/360)</f>
        <v>26.277372262773724</v>
      </c>
      <c r="C14" s="60">
        <f t="shared" si="2"/>
        <v>26.277372262773724</v>
      </c>
      <c r="D14" s="60">
        <f t="shared" si="2"/>
        <v>26.277372262773724</v>
      </c>
      <c r="E14" s="60">
        <f t="shared" si="2"/>
        <v>26.277372262773724</v>
      </c>
      <c r="F14" s="60">
        <f t="shared" si="2"/>
        <v>26.277372262773724</v>
      </c>
      <c r="G14" s="60">
        <f t="shared" si="2"/>
        <v>26.277372262773724</v>
      </c>
      <c r="H14" s="60">
        <f t="shared" si="2"/>
        <v>26.277372262773724</v>
      </c>
    </row>
    <row r="15" spans="1:8" x14ac:dyDescent="0.2">
      <c r="A15" s="29"/>
      <c r="B15" s="62"/>
      <c r="C15" s="62"/>
      <c r="D15" s="62"/>
      <c r="E15" s="62"/>
      <c r="F15" s="62"/>
      <c r="G15" s="62"/>
      <c r="H15" s="62"/>
    </row>
    <row r="16" spans="1:8" x14ac:dyDescent="0.2">
      <c r="A16" s="27" t="s">
        <v>6</v>
      </c>
      <c r="B16" s="63">
        <f>B5</f>
        <v>2021</v>
      </c>
      <c r="C16" s="63">
        <f t="shared" ref="C16:H16" si="3">C5</f>
        <v>2022</v>
      </c>
      <c r="D16" s="63">
        <f t="shared" si="3"/>
        <v>2023</v>
      </c>
      <c r="E16" s="63">
        <f t="shared" si="3"/>
        <v>2024</v>
      </c>
      <c r="F16" s="63">
        <f t="shared" si="3"/>
        <v>2025</v>
      </c>
      <c r="G16" s="63">
        <f t="shared" si="3"/>
        <v>2026</v>
      </c>
      <c r="H16" s="63">
        <f t="shared" si="3"/>
        <v>2027</v>
      </c>
    </row>
    <row r="17" spans="1:8" x14ac:dyDescent="0.2">
      <c r="A17" s="29" t="s">
        <v>7</v>
      </c>
      <c r="B17" s="64">
        <f>4.69/4-1</f>
        <v>0.1725000000000001</v>
      </c>
      <c r="C17" s="66">
        <f t="shared" ref="C17:H17" si="4">B17</f>
        <v>0.1725000000000001</v>
      </c>
      <c r="D17" s="66">
        <f t="shared" si="4"/>
        <v>0.1725000000000001</v>
      </c>
      <c r="E17" s="66">
        <f t="shared" si="4"/>
        <v>0.1725000000000001</v>
      </c>
      <c r="F17" s="66">
        <f t="shared" si="4"/>
        <v>0.1725000000000001</v>
      </c>
      <c r="G17" s="66">
        <f t="shared" si="4"/>
        <v>0.1725000000000001</v>
      </c>
      <c r="H17" s="66">
        <f t="shared" si="4"/>
        <v>0.1725000000000001</v>
      </c>
    </row>
    <row r="18" spans="1:8" x14ac:dyDescent="0.2">
      <c r="A18" s="29" t="s">
        <v>8</v>
      </c>
      <c r="B18" s="70">
        <f>4+25</f>
        <v>29</v>
      </c>
      <c r="C18" s="61">
        <v>0.25</v>
      </c>
      <c r="D18" s="61">
        <f>C18</f>
        <v>0.25</v>
      </c>
      <c r="E18" s="61">
        <f>D18</f>
        <v>0.25</v>
      </c>
      <c r="F18" s="61">
        <f>E18</f>
        <v>0.25</v>
      </c>
      <c r="G18" s="61">
        <f>F18</f>
        <v>0.25</v>
      </c>
      <c r="H18" s="61">
        <f>G18</f>
        <v>0.25</v>
      </c>
    </row>
    <row r="20" spans="1:8" ht="15" customHeight="1" x14ac:dyDescent="0.2">
      <c r="A20" s="74" t="s">
        <v>909</v>
      </c>
      <c r="B20" s="74"/>
      <c r="C20" s="74"/>
      <c r="D20" s="74"/>
      <c r="E20" s="74"/>
      <c r="F20" s="74"/>
      <c r="G20" s="74"/>
      <c r="H20" s="74"/>
    </row>
    <row r="21" spans="1:8" ht="15" customHeight="1" x14ac:dyDescent="0.2">
      <c r="A21" s="74"/>
      <c r="B21" s="74"/>
      <c r="C21" s="74"/>
      <c r="D21" s="74"/>
      <c r="E21" s="74"/>
      <c r="F21" s="74"/>
      <c r="G21" s="74"/>
      <c r="H21" s="74"/>
    </row>
    <row r="22" spans="1:8" ht="15" customHeight="1" x14ac:dyDescent="0.2">
      <c r="A22" s="74"/>
      <c r="B22" s="74"/>
      <c r="C22" s="74"/>
      <c r="D22" s="74"/>
      <c r="E22" s="74"/>
      <c r="F22" s="74"/>
      <c r="G22" s="74"/>
      <c r="H22" s="74"/>
    </row>
    <row r="23" spans="1:8" ht="15" customHeight="1" x14ac:dyDescent="0.2">
      <c r="A23" s="74"/>
      <c r="B23" s="74"/>
      <c r="C23" s="74"/>
      <c r="D23" s="74"/>
      <c r="E23" s="74"/>
      <c r="F23" s="74"/>
      <c r="G23" s="74"/>
      <c r="H23" s="74"/>
    </row>
  </sheetData>
  <mergeCells count="2">
    <mergeCell ref="A1:H4"/>
    <mergeCell ref="A20:H2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C0F0-77A6-4A7E-9A42-DD7318711C8A}">
  <dimension ref="A1:H11"/>
  <sheetViews>
    <sheetView showGridLines="0" workbookViewId="0">
      <selection sqref="A1:H3"/>
    </sheetView>
  </sheetViews>
  <sheetFormatPr defaultRowHeight="15" x14ac:dyDescent="0.2"/>
  <cols>
    <col min="1" max="1" width="19.375" style="19" bestFit="1" customWidth="1"/>
    <col min="2" max="16384" width="9" style="19"/>
  </cols>
  <sheetData>
    <row r="1" spans="1:8" x14ac:dyDescent="0.2">
      <c r="A1" s="73" t="s">
        <v>898</v>
      </c>
      <c r="B1" s="73"/>
      <c r="C1" s="73"/>
      <c r="D1" s="73"/>
      <c r="E1" s="73"/>
      <c r="F1" s="73"/>
      <c r="G1" s="73"/>
      <c r="H1" s="73"/>
    </row>
    <row r="2" spans="1:8" x14ac:dyDescent="0.2">
      <c r="A2" s="73"/>
      <c r="B2" s="73"/>
      <c r="C2" s="73"/>
      <c r="D2" s="73"/>
      <c r="E2" s="73"/>
      <c r="F2" s="73"/>
      <c r="G2" s="73"/>
      <c r="H2" s="73"/>
    </row>
    <row r="3" spans="1:8" x14ac:dyDescent="0.2">
      <c r="A3" s="73"/>
      <c r="B3" s="73"/>
      <c r="C3" s="73"/>
      <c r="D3" s="73"/>
      <c r="E3" s="73"/>
      <c r="F3" s="73"/>
      <c r="G3" s="73"/>
      <c r="H3" s="73"/>
    </row>
    <row r="4" spans="1:8" ht="15.75" x14ac:dyDescent="0.2">
      <c r="A4" s="28" t="s">
        <v>0</v>
      </c>
      <c r="B4" s="28">
        <v>2021</v>
      </c>
      <c r="C4" s="28">
        <f t="shared" ref="C4:H4" si="0">B4+1</f>
        <v>2022</v>
      </c>
      <c r="D4" s="28">
        <f t="shared" si="0"/>
        <v>2023</v>
      </c>
      <c r="E4" s="28">
        <f t="shared" si="0"/>
        <v>2024</v>
      </c>
      <c r="F4" s="28">
        <f t="shared" si="0"/>
        <v>2025</v>
      </c>
      <c r="G4" s="28">
        <f t="shared" si="0"/>
        <v>2026</v>
      </c>
      <c r="H4" s="28">
        <f t="shared" si="0"/>
        <v>2027</v>
      </c>
    </row>
    <row r="5" spans="1:8" ht="15.75" x14ac:dyDescent="0.2">
      <c r="A5" s="33" t="s">
        <v>899</v>
      </c>
      <c r="B5" s="30">
        <f>ASSUMPTIONS!B6</f>
        <v>58</v>
      </c>
      <c r="C5" s="30">
        <f>B5*(1+ASSUMPTIONS!C6)</f>
        <v>75.400000000000006</v>
      </c>
      <c r="D5" s="30">
        <f>C5*(ASSUMPTIONS!D6 +1)</f>
        <v>98.02000000000001</v>
      </c>
      <c r="E5" s="30">
        <f>D5*(ASSUMPTIONS!E6 +1)</f>
        <v>127.42600000000002</v>
      </c>
      <c r="F5" s="30">
        <f>E5*(ASSUMPTIONS!F6 +1)</f>
        <v>165.65380000000002</v>
      </c>
      <c r="G5" s="30">
        <f>F5*(ASSUMPTIONS!G6 +1)</f>
        <v>215.34994000000003</v>
      </c>
      <c r="H5" s="30">
        <f>G5*(ASSUMPTIONS!H6 +1)</f>
        <v>279.95492200000007</v>
      </c>
    </row>
    <row r="6" spans="1:8" ht="15.75" x14ac:dyDescent="0.2">
      <c r="A6" s="33" t="s">
        <v>10</v>
      </c>
      <c r="B6" s="30">
        <f>ASSUMPTIONS!B7</f>
        <v>27.4</v>
      </c>
      <c r="C6" s="30">
        <f>B6*(1+ASSUMPTIONS!C7)</f>
        <v>35.345999999999997</v>
      </c>
      <c r="D6" s="30">
        <f>C6*(1+ASSUMPTIONS!D7)</f>
        <v>45.596339999999998</v>
      </c>
      <c r="E6" s="30">
        <f>D6*(1+ASSUMPTIONS!E7)</f>
        <v>58.819278599999997</v>
      </c>
      <c r="F6" s="30">
        <f>E6*(1+ASSUMPTIONS!F7)</f>
        <v>75.876869393999996</v>
      </c>
      <c r="G6" s="30">
        <f>F6*(1+ASSUMPTIONS!G7)</f>
        <v>97.881161518260001</v>
      </c>
      <c r="H6" s="30">
        <f>G6*(1+ASSUMPTIONS!H7)</f>
        <v>126.2666983585554</v>
      </c>
    </row>
    <row r="7" spans="1:8" ht="15.75" x14ac:dyDescent="0.2">
      <c r="A7" s="34" t="s">
        <v>11</v>
      </c>
      <c r="B7" s="30">
        <f t="shared" ref="B7:H7" si="1">B5-B6</f>
        <v>30.6</v>
      </c>
      <c r="C7" s="30">
        <f t="shared" si="1"/>
        <v>40.054000000000009</v>
      </c>
      <c r="D7" s="30">
        <f t="shared" si="1"/>
        <v>52.423660000000012</v>
      </c>
      <c r="E7" s="30">
        <f t="shared" si="1"/>
        <v>68.606721400000026</v>
      </c>
      <c r="F7" s="30">
        <f t="shared" si="1"/>
        <v>89.776930606000022</v>
      </c>
      <c r="G7" s="30">
        <f t="shared" si="1"/>
        <v>117.46877848174003</v>
      </c>
      <c r="H7" s="30">
        <f t="shared" si="1"/>
        <v>153.68822364144467</v>
      </c>
    </row>
    <row r="8" spans="1:8" ht="15.75" x14ac:dyDescent="0.2">
      <c r="A8" s="33" t="s">
        <v>12</v>
      </c>
      <c r="B8" s="30">
        <v>19.2</v>
      </c>
      <c r="C8" s="30">
        <f>B8*(1+ASSUMPTIONS!C8)</f>
        <v>23.231999999999999</v>
      </c>
      <c r="D8" s="30">
        <f>C8*(1+ASSUMPTIONS!D8)</f>
        <v>28.110719999999997</v>
      </c>
      <c r="E8" s="30">
        <f>D8*(1+ASSUMPTIONS!E8)</f>
        <v>34.013971199999993</v>
      </c>
      <c r="F8" s="30">
        <f>E8*(1+ASSUMPTIONS!F8)</f>
        <v>41.156905151999993</v>
      </c>
      <c r="G8" s="30">
        <f>F8*(1+ASSUMPTIONS!G8)</f>
        <v>49.799855233919992</v>
      </c>
      <c r="H8" s="30">
        <f>G8*(1+ASSUMPTIONS!H8)</f>
        <v>60.257824833043188</v>
      </c>
    </row>
    <row r="9" spans="1:8" ht="15.75" x14ac:dyDescent="0.2">
      <c r="A9" s="34" t="s">
        <v>13</v>
      </c>
      <c r="B9" s="30">
        <f>B7-B8</f>
        <v>11.400000000000002</v>
      </c>
      <c r="C9" s="30">
        <f t="shared" ref="C9:H9" si="2">C7-C8</f>
        <v>16.82200000000001</v>
      </c>
      <c r="D9" s="30">
        <f t="shared" si="2"/>
        <v>24.312940000000015</v>
      </c>
      <c r="E9" s="30">
        <f t="shared" si="2"/>
        <v>34.592750200000033</v>
      </c>
      <c r="F9" s="30">
        <f t="shared" si="2"/>
        <v>48.620025454000029</v>
      </c>
      <c r="G9" s="30">
        <f t="shared" si="2"/>
        <v>67.668923247820032</v>
      </c>
      <c r="H9" s="30">
        <f t="shared" si="2"/>
        <v>93.430398808401478</v>
      </c>
    </row>
    <row r="10" spans="1:8" ht="15.75" x14ac:dyDescent="0.2">
      <c r="A10" s="33" t="s">
        <v>1</v>
      </c>
      <c r="B10" s="30">
        <f>B9*ASSUMPTIONS!B9</f>
        <v>0.98275862068965547</v>
      </c>
      <c r="C10" s="30">
        <f>C9*ASSUMPTIONS!C9</f>
        <v>1.4501724137931045</v>
      </c>
      <c r="D10" s="30">
        <f>D9*ASSUMPTIONS!D9</f>
        <v>2.0959431034482772</v>
      </c>
      <c r="E10" s="30">
        <f>E9*ASSUMPTIONS!E9</f>
        <v>2.9821336379310375</v>
      </c>
      <c r="F10" s="30">
        <f>F9*ASSUMPTIONS!F9</f>
        <v>4.1913815046551752</v>
      </c>
      <c r="G10" s="30">
        <f>G9*ASSUMPTIONS!G9</f>
        <v>5.8335278661913827</v>
      </c>
      <c r="H10" s="30">
        <f>H9*ASSUMPTIONS!H9</f>
        <v>8.0543447248621973</v>
      </c>
    </row>
    <row r="11" spans="1:8" ht="15.75" x14ac:dyDescent="0.2">
      <c r="A11" s="34" t="s">
        <v>14</v>
      </c>
      <c r="B11" s="30">
        <f>B9-B10</f>
        <v>10.417241379310347</v>
      </c>
      <c r="C11" s="30">
        <f t="shared" ref="C11:H11" si="3">C9-C10</f>
        <v>15.371827586206905</v>
      </c>
      <c r="D11" s="30">
        <f t="shared" si="3"/>
        <v>22.216996896551738</v>
      </c>
      <c r="E11" s="30">
        <f t="shared" si="3"/>
        <v>31.610616562068994</v>
      </c>
      <c r="F11" s="30">
        <f t="shared" si="3"/>
        <v>44.428643949344853</v>
      </c>
      <c r="G11" s="30">
        <f t="shared" si="3"/>
        <v>61.835395381628651</v>
      </c>
      <c r="H11" s="30">
        <f t="shared" si="3"/>
        <v>85.376054083539287</v>
      </c>
    </row>
  </sheetData>
  <mergeCells count="1">
    <mergeCell ref="A1:H3"/>
  </mergeCells>
  <pageMargins left="0.511811024" right="0.511811024" top="0.78740157499999996" bottom="0.78740157499999996" header="0.31496062000000002" footer="0.31496062000000002"/>
  <ignoredErrors>
    <ignoredError sqref="H10 F10:G10 D10:E10 B10:C10 C8 D8:E8 F8:H8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888F-7E79-4CFC-9B03-404E9BBFBC4D}">
  <dimension ref="A1:H28"/>
  <sheetViews>
    <sheetView showGridLines="0" workbookViewId="0">
      <selection sqref="A1:H4"/>
    </sheetView>
  </sheetViews>
  <sheetFormatPr defaultRowHeight="15" x14ac:dyDescent="0.2"/>
  <cols>
    <col min="1" max="1" width="34.875" style="19" bestFit="1" customWidth="1"/>
    <col min="2" max="16384" width="9" style="19"/>
  </cols>
  <sheetData>
    <row r="1" spans="1:8" ht="15.75" customHeight="1" x14ac:dyDescent="0.2">
      <c r="A1" s="73" t="s">
        <v>898</v>
      </c>
      <c r="B1" s="73"/>
      <c r="C1" s="73"/>
      <c r="D1" s="73"/>
      <c r="E1" s="73"/>
      <c r="F1" s="73"/>
      <c r="G1" s="73"/>
      <c r="H1" s="73"/>
    </row>
    <row r="2" spans="1:8" x14ac:dyDescent="0.2">
      <c r="A2" s="73"/>
      <c r="B2" s="73"/>
      <c r="C2" s="73"/>
      <c r="D2" s="73"/>
      <c r="E2" s="73"/>
      <c r="F2" s="73"/>
      <c r="G2" s="73"/>
      <c r="H2" s="73"/>
    </row>
    <row r="3" spans="1:8" x14ac:dyDescent="0.2">
      <c r="A3" s="73"/>
      <c r="B3" s="73"/>
      <c r="C3" s="73"/>
      <c r="D3" s="73"/>
      <c r="E3" s="73"/>
      <c r="F3" s="73"/>
      <c r="G3" s="73"/>
      <c r="H3" s="73"/>
    </row>
    <row r="4" spans="1:8" x14ac:dyDescent="0.2">
      <c r="A4" s="75"/>
      <c r="B4" s="75"/>
      <c r="C4" s="75"/>
      <c r="D4" s="75"/>
      <c r="E4" s="75"/>
      <c r="F4" s="75"/>
      <c r="G4" s="75"/>
      <c r="H4" s="75"/>
    </row>
    <row r="5" spans="1:8" ht="15.75" x14ac:dyDescent="0.25">
      <c r="A5" s="24" t="s">
        <v>15</v>
      </c>
      <c r="B5" s="25">
        <v>2021</v>
      </c>
      <c r="C5" s="25">
        <f t="shared" ref="C5:H5" si="0">B5+1</f>
        <v>2022</v>
      </c>
      <c r="D5" s="25">
        <f t="shared" si="0"/>
        <v>2023</v>
      </c>
      <c r="E5" s="25">
        <f t="shared" si="0"/>
        <v>2024</v>
      </c>
      <c r="F5" s="25">
        <f t="shared" si="0"/>
        <v>2025</v>
      </c>
      <c r="G5" s="25">
        <f t="shared" si="0"/>
        <v>2026</v>
      </c>
      <c r="H5" s="25">
        <f t="shared" si="0"/>
        <v>2027</v>
      </c>
    </row>
    <row r="6" spans="1:8" ht="15.75" x14ac:dyDescent="0.25">
      <c r="A6" s="35" t="s">
        <v>37</v>
      </c>
      <c r="B6" s="23"/>
      <c r="C6" s="23"/>
      <c r="D6" s="23"/>
      <c r="E6" s="23"/>
      <c r="F6" s="23"/>
      <c r="G6" s="23"/>
      <c r="H6" s="23"/>
    </row>
    <row r="7" spans="1:8" x14ac:dyDescent="0.2">
      <c r="A7" s="22" t="s">
        <v>38</v>
      </c>
      <c r="B7" s="23">
        <f>IF(B28&gt;B27,B28-B27,0)</f>
        <v>31.599137931034484</v>
      </c>
      <c r="C7" s="23">
        <f t="shared" ref="C7:H7" si="1">IF(C28&gt;C27,C28-C27,0)</f>
        <v>41.976675287356329</v>
      </c>
      <c r="D7" s="23">
        <f t="shared" si="1"/>
        <v>55.598593821839096</v>
      </c>
      <c r="E7" s="23">
        <f t="shared" si="1"/>
        <v>73.453659286063242</v>
      </c>
      <c r="F7" s="23">
        <f t="shared" si="1"/>
        <v>96.827975289743208</v>
      </c>
      <c r="G7" s="23">
        <f t="shared" si="1"/>
        <v>127.39380960222431</v>
      </c>
      <c r="H7" s="23">
        <f t="shared" si="1"/>
        <v>167.3248854758863</v>
      </c>
    </row>
    <row r="8" spans="1:8" x14ac:dyDescent="0.2">
      <c r="A8" s="22" t="s">
        <v>39</v>
      </c>
      <c r="B8" s="23">
        <f>'INCOME STATEMENT'!B5/360*ASSUMPTIONS!B12</f>
        <v>4.5</v>
      </c>
      <c r="C8" s="23">
        <f>'INCOME STATEMENT'!C5/360*ASSUMPTIONS!C12</f>
        <v>5.8500000000000005</v>
      </c>
      <c r="D8" s="23">
        <f>'INCOME STATEMENT'!D5/360*ASSUMPTIONS!D12</f>
        <v>7.6049999999999995</v>
      </c>
      <c r="E8" s="23">
        <f>'INCOME STATEMENT'!E5/360*ASSUMPTIONS!E12</f>
        <v>9.8865000000000016</v>
      </c>
      <c r="F8" s="23">
        <f>'INCOME STATEMENT'!F5/360*ASSUMPTIONS!F12</f>
        <v>12.852450000000001</v>
      </c>
      <c r="G8" s="23">
        <f>'INCOME STATEMENT'!G5/360*ASSUMPTIONS!G12</f>
        <v>16.708185000000004</v>
      </c>
      <c r="H8" s="23">
        <f>'INCOME STATEMENT'!H5/360*ASSUMPTIONS!H12</f>
        <v>21.720640500000002</v>
      </c>
    </row>
    <row r="9" spans="1:8" x14ac:dyDescent="0.2">
      <c r="A9" s="22" t="s">
        <v>40</v>
      </c>
      <c r="B9" s="23">
        <f>'INCOME STATEMENT'!B6/360*ASSUMPTIONS!B13</f>
        <v>1.4</v>
      </c>
      <c r="C9" s="23">
        <f>'INCOME STATEMENT'!C6/360*ASSUMPTIONS!C13</f>
        <v>1.8059999999999996</v>
      </c>
      <c r="D9" s="23">
        <f>'INCOME STATEMENT'!D6/360*ASSUMPTIONS!D13</f>
        <v>2.3297400000000001</v>
      </c>
      <c r="E9" s="23">
        <f>'INCOME STATEMENT'!E6/360*ASSUMPTIONS!E13</f>
        <v>3.0053645999999996</v>
      </c>
      <c r="F9" s="23">
        <f>'INCOME STATEMENT'!F6/360*ASSUMPTIONS!F13</f>
        <v>3.8769203339999998</v>
      </c>
      <c r="G9" s="23">
        <f>'INCOME STATEMENT'!G6/360*ASSUMPTIONS!G13</f>
        <v>5.0012272308599997</v>
      </c>
      <c r="H9" s="23">
        <f>'INCOME STATEMENT'!H6/360*ASSUMPTIONS!H13</f>
        <v>6.4515831278093998</v>
      </c>
    </row>
    <row r="10" spans="1:8" x14ac:dyDescent="0.2">
      <c r="A10" s="22" t="s">
        <v>41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</row>
    <row r="11" spans="1:8" ht="15.75" x14ac:dyDescent="0.25">
      <c r="A11" s="35" t="s">
        <v>42</v>
      </c>
      <c r="B11" s="23"/>
      <c r="C11" s="23"/>
      <c r="D11" s="23"/>
      <c r="E11" s="23"/>
      <c r="F11" s="23"/>
      <c r="G11" s="23"/>
      <c r="H11" s="23"/>
    </row>
    <row r="12" spans="1:8" x14ac:dyDescent="0.2">
      <c r="A12" s="22" t="s">
        <v>43</v>
      </c>
      <c r="B12" s="23">
        <f>4</f>
        <v>4</v>
      </c>
      <c r="C12" s="23">
        <f>B12*(1+ASSUMPTIONS!C17)</f>
        <v>4.6900000000000004</v>
      </c>
      <c r="D12" s="23">
        <f>C12*(1+ASSUMPTIONS!D17)</f>
        <v>5.4990250000000005</v>
      </c>
      <c r="E12" s="23">
        <f>D12*(1+ASSUMPTIONS!E17)</f>
        <v>6.447606812500001</v>
      </c>
      <c r="F12" s="23">
        <f>E12*(1+ASSUMPTIONS!F17)</f>
        <v>7.5598189876562518</v>
      </c>
      <c r="G12" s="23">
        <f>F12*(1+ASSUMPTIONS!G17)</f>
        <v>8.8638877630269555</v>
      </c>
      <c r="H12" s="23">
        <f>G12*(1+ASSUMPTIONS!H17)</f>
        <v>10.392908402149105</v>
      </c>
    </row>
    <row r="13" spans="1:8" x14ac:dyDescent="0.2">
      <c r="A13" s="22" t="s">
        <v>44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</row>
    <row r="14" spans="1:8" ht="15.75" x14ac:dyDescent="0.25">
      <c r="A14" s="24" t="s">
        <v>35</v>
      </c>
      <c r="B14" s="36">
        <f>SUM(B7:B13)</f>
        <v>41.499137931034483</v>
      </c>
      <c r="C14" s="36">
        <f t="shared" ref="C14:H14" si="2">SUM(C7:C13)</f>
        <v>54.322675287356326</v>
      </c>
      <c r="D14" s="36">
        <f t="shared" si="2"/>
        <v>71.032358821839097</v>
      </c>
      <c r="E14" s="36">
        <f t="shared" si="2"/>
        <v>92.793130698563232</v>
      </c>
      <c r="F14" s="36">
        <f t="shared" si="2"/>
        <v>121.11716461139947</v>
      </c>
      <c r="G14" s="36">
        <f t="shared" si="2"/>
        <v>157.96710959611127</v>
      </c>
      <c r="H14" s="36">
        <f t="shared" si="2"/>
        <v>205.89001750584484</v>
      </c>
    </row>
    <row r="15" spans="1:8" ht="15.75" x14ac:dyDescent="0.25">
      <c r="A15" s="21"/>
      <c r="B15" s="23"/>
      <c r="C15" s="23"/>
      <c r="D15" s="23"/>
      <c r="E15" s="23"/>
      <c r="F15" s="23"/>
      <c r="G15" s="23"/>
      <c r="H15" s="23"/>
    </row>
    <row r="16" spans="1:8" ht="15.75" x14ac:dyDescent="0.25">
      <c r="A16" s="24" t="s">
        <v>16</v>
      </c>
      <c r="B16" s="25">
        <v>2021</v>
      </c>
      <c r="C16" s="25">
        <f t="shared" ref="C16:H16" si="3">B16+1</f>
        <v>2022</v>
      </c>
      <c r="D16" s="25">
        <f t="shared" si="3"/>
        <v>2023</v>
      </c>
      <c r="E16" s="25">
        <f t="shared" si="3"/>
        <v>2024</v>
      </c>
      <c r="F16" s="25">
        <f t="shared" si="3"/>
        <v>2025</v>
      </c>
      <c r="G16" s="25">
        <f t="shared" si="3"/>
        <v>2026</v>
      </c>
      <c r="H16" s="25">
        <f t="shared" si="3"/>
        <v>2027</v>
      </c>
    </row>
    <row r="17" spans="1:8" ht="15.75" x14ac:dyDescent="0.25">
      <c r="A17" s="35" t="s">
        <v>45</v>
      </c>
      <c r="B17" s="23"/>
      <c r="C17" s="23"/>
      <c r="D17" s="23"/>
      <c r="E17" s="23"/>
      <c r="F17" s="23"/>
      <c r="G17" s="23"/>
      <c r="H17" s="23"/>
    </row>
    <row r="18" spans="1:8" x14ac:dyDescent="0.2">
      <c r="A18" s="22" t="s">
        <v>46</v>
      </c>
      <c r="B18" s="23">
        <f>IF(B28&gt;B27,0,B27-B28)</f>
        <v>0</v>
      </c>
      <c r="C18" s="23">
        <f t="shared" ref="C18:H18" si="4">IF(C28&gt;C27,0,C27-C28)</f>
        <v>0</v>
      </c>
      <c r="D18" s="23">
        <f t="shared" si="4"/>
        <v>0</v>
      </c>
      <c r="E18" s="23">
        <f t="shared" si="4"/>
        <v>0</v>
      </c>
      <c r="F18" s="23">
        <f t="shared" si="4"/>
        <v>0</v>
      </c>
      <c r="G18" s="23">
        <f t="shared" si="4"/>
        <v>0</v>
      </c>
      <c r="H18" s="23">
        <f t="shared" si="4"/>
        <v>0</v>
      </c>
    </row>
    <row r="19" spans="1:8" x14ac:dyDescent="0.2">
      <c r="A19" s="22" t="s">
        <v>47</v>
      </c>
      <c r="B19" s="23">
        <f>'INCOME STATEMENT'!B6/360*ASSUMPTIONS!B14</f>
        <v>1.9999999999999998</v>
      </c>
      <c r="C19" s="23">
        <f>'INCOME STATEMENT'!C6/360*ASSUMPTIONS!C14</f>
        <v>2.5799999999999996</v>
      </c>
      <c r="D19" s="23">
        <f>'INCOME STATEMENT'!D6/360*ASSUMPTIONS!D14</f>
        <v>3.3282000000000003</v>
      </c>
      <c r="E19" s="23">
        <f>'INCOME STATEMENT'!E6/360*ASSUMPTIONS!E14</f>
        <v>4.2933779999999997</v>
      </c>
      <c r="F19" s="23">
        <f>'INCOME STATEMENT'!F6/360*ASSUMPTIONS!F14</f>
        <v>5.53845762</v>
      </c>
      <c r="G19" s="23">
        <f>'INCOME STATEMENT'!G6/360*ASSUMPTIONS!G14</f>
        <v>7.1446103297999999</v>
      </c>
      <c r="H19" s="23">
        <f>'INCOME STATEMENT'!H6/360*ASSUMPTIONS!H14</f>
        <v>9.2165473254420007</v>
      </c>
    </row>
    <row r="20" spans="1:8" x14ac:dyDescent="0.2">
      <c r="A20" s="22" t="s">
        <v>48</v>
      </c>
      <c r="B20" s="23">
        <f>'INCOME STATEMENT'!B10/12</f>
        <v>8.1896551724137956E-2</v>
      </c>
      <c r="C20" s="23">
        <f>'INCOME STATEMENT'!C10/12</f>
        <v>0.12084770114942538</v>
      </c>
      <c r="D20" s="23">
        <f>'INCOME STATEMENT'!D10/12</f>
        <v>0.17466192528735644</v>
      </c>
      <c r="E20" s="23">
        <f>'INCOME STATEMENT'!E10/12</f>
        <v>0.24851113649425313</v>
      </c>
      <c r="F20" s="23">
        <f>'INCOME STATEMENT'!F10/12</f>
        <v>0.34928179205459792</v>
      </c>
      <c r="G20" s="23">
        <f>'INCOME STATEMENT'!G10/12</f>
        <v>0.48612732218261523</v>
      </c>
      <c r="H20" s="23">
        <f>'INCOME STATEMENT'!H10/12</f>
        <v>0.67119539373851644</v>
      </c>
    </row>
    <row r="21" spans="1:8" x14ac:dyDescent="0.2">
      <c r="A21" s="22" t="s">
        <v>41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</row>
    <row r="22" spans="1:8" ht="15.75" x14ac:dyDescent="0.25">
      <c r="A22" s="35" t="s">
        <v>49</v>
      </c>
      <c r="B22" s="23"/>
      <c r="C22" s="23"/>
      <c r="D22" s="23"/>
      <c r="E22" s="23"/>
      <c r="F22" s="23"/>
      <c r="G22" s="23"/>
      <c r="H22" s="23"/>
    </row>
    <row r="23" spans="1:8" x14ac:dyDescent="0.2">
      <c r="A23" s="22" t="s">
        <v>50</v>
      </c>
      <c r="B23" s="23">
        <f>ASSUMPTIONS!B18</f>
        <v>29</v>
      </c>
      <c r="C23" s="23">
        <f>B23*(1+ASSUMPTIONS!C18)</f>
        <v>36.25</v>
      </c>
      <c r="D23" s="23">
        <f>C23*(1+ASSUMPTIONS!D18)</f>
        <v>45.3125</v>
      </c>
      <c r="E23" s="23">
        <f>D23*(1+ASSUMPTIONS!E18)</f>
        <v>56.640625</v>
      </c>
      <c r="F23" s="23">
        <f>E23*(1+ASSUMPTIONS!F18)</f>
        <v>70.80078125</v>
      </c>
      <c r="G23" s="23">
        <f>F23*(1+ASSUMPTIONS!G18)</f>
        <v>88.5009765625</v>
      </c>
      <c r="H23" s="23">
        <f>G23*(1+ASSUMPTIONS!H18)</f>
        <v>110.626220703125</v>
      </c>
    </row>
    <row r="24" spans="1:8" x14ac:dyDescent="0.2">
      <c r="A24" s="22" t="s">
        <v>51</v>
      </c>
      <c r="B24" s="23">
        <f>'INCOME STATEMENT'!B11</f>
        <v>10.417241379310347</v>
      </c>
      <c r="C24" s="23">
        <f>'INCOME STATEMENT'!C11</f>
        <v>15.371827586206905</v>
      </c>
      <c r="D24" s="23">
        <f>'INCOME STATEMENT'!D11</f>
        <v>22.216996896551738</v>
      </c>
      <c r="E24" s="23">
        <f>'INCOME STATEMENT'!E11</f>
        <v>31.610616562068994</v>
      </c>
      <c r="F24" s="23">
        <f>'INCOME STATEMENT'!F11</f>
        <v>44.428643949344853</v>
      </c>
      <c r="G24" s="23">
        <f>'INCOME STATEMENT'!G11</f>
        <v>61.835395381628651</v>
      </c>
      <c r="H24" s="23">
        <f>'INCOME STATEMENT'!H11</f>
        <v>85.376054083539287</v>
      </c>
    </row>
    <row r="25" spans="1:8" ht="15.75" x14ac:dyDescent="0.25">
      <c r="A25" s="24" t="s">
        <v>35</v>
      </c>
      <c r="B25" s="36">
        <f>SUM(B17:B24)</f>
        <v>41.499137931034483</v>
      </c>
      <c r="C25" s="36">
        <f t="shared" ref="C25:H25" si="5">SUM(C17:C24)</f>
        <v>54.322675287356333</v>
      </c>
      <c r="D25" s="36">
        <f t="shared" si="5"/>
        <v>71.032358821839097</v>
      </c>
      <c r="E25" s="36">
        <f t="shared" si="5"/>
        <v>92.793130698563246</v>
      </c>
      <c r="F25" s="36">
        <f t="shared" si="5"/>
        <v>121.11716461139946</v>
      </c>
      <c r="G25" s="36">
        <f t="shared" si="5"/>
        <v>157.96710959611127</v>
      </c>
      <c r="H25" s="36">
        <f t="shared" si="5"/>
        <v>205.89001750584481</v>
      </c>
    </row>
    <row r="26" spans="1:8" x14ac:dyDescent="0.2">
      <c r="A26" s="22"/>
      <c r="B26" s="23"/>
      <c r="C26" s="23"/>
      <c r="D26" s="23"/>
      <c r="E26" s="23"/>
      <c r="F26" s="23"/>
      <c r="G26" s="23"/>
      <c r="H26" s="23"/>
    </row>
    <row r="27" spans="1:8" x14ac:dyDescent="0.2">
      <c r="A27" s="22" t="s">
        <v>900</v>
      </c>
      <c r="B27" s="23">
        <f t="shared" ref="B27:H27" si="6">SUM(B8:B13)</f>
        <v>9.9</v>
      </c>
      <c r="C27" s="23">
        <f t="shared" si="6"/>
        <v>12.346</v>
      </c>
      <c r="D27" s="23">
        <f t="shared" si="6"/>
        <v>15.433765000000001</v>
      </c>
      <c r="E27" s="23">
        <f t="shared" si="6"/>
        <v>19.339471412500004</v>
      </c>
      <c r="F27" s="23">
        <f t="shared" si="6"/>
        <v>24.289189321656252</v>
      </c>
      <c r="G27" s="23">
        <f t="shared" si="6"/>
        <v>30.573299993886959</v>
      </c>
      <c r="H27" s="23">
        <f t="shared" si="6"/>
        <v>38.565132029958505</v>
      </c>
    </row>
    <row r="28" spans="1:8" x14ac:dyDescent="0.2">
      <c r="A28" s="22" t="s">
        <v>901</v>
      </c>
      <c r="B28" s="23">
        <f>SUM(B19:B24)</f>
        <v>41.499137931034483</v>
      </c>
      <c r="C28" s="23">
        <f t="shared" ref="C28:H28" si="7">SUM(C19:C24)</f>
        <v>54.322675287356333</v>
      </c>
      <c r="D28" s="23">
        <f t="shared" si="7"/>
        <v>71.032358821839097</v>
      </c>
      <c r="E28" s="23">
        <f t="shared" si="7"/>
        <v>92.793130698563246</v>
      </c>
      <c r="F28" s="23">
        <f t="shared" si="7"/>
        <v>121.11716461139946</v>
      </c>
      <c r="G28" s="23">
        <f t="shared" si="7"/>
        <v>157.96710959611127</v>
      </c>
      <c r="H28" s="23">
        <f t="shared" si="7"/>
        <v>205.89001750584481</v>
      </c>
    </row>
  </sheetData>
  <mergeCells count="1">
    <mergeCell ref="A1:H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8890-0B75-4F09-903E-38B1781B2F34}">
  <dimension ref="A1:H14"/>
  <sheetViews>
    <sheetView showGridLines="0" workbookViewId="0">
      <selection sqref="A1:H4"/>
    </sheetView>
  </sheetViews>
  <sheetFormatPr defaultRowHeight="15" x14ac:dyDescent="0.2"/>
  <cols>
    <col min="1" max="1" width="39.25" style="19" bestFit="1" customWidth="1"/>
    <col min="2" max="5" width="10.125" style="19" bestFit="1" customWidth="1"/>
    <col min="6" max="6" width="11.125" style="19" bestFit="1" customWidth="1"/>
    <col min="7" max="7" width="10.625" style="19" customWidth="1"/>
    <col min="8" max="16384" width="9" style="19"/>
  </cols>
  <sheetData>
    <row r="1" spans="1:8" x14ac:dyDescent="0.2">
      <c r="A1" s="73" t="s">
        <v>898</v>
      </c>
      <c r="B1" s="73"/>
      <c r="C1" s="73"/>
      <c r="D1" s="73"/>
      <c r="E1" s="73"/>
      <c r="F1" s="73"/>
      <c r="G1" s="73"/>
      <c r="H1" s="73"/>
    </row>
    <row r="2" spans="1:8" x14ac:dyDescent="0.2">
      <c r="A2" s="73"/>
      <c r="B2" s="73"/>
      <c r="C2" s="73"/>
      <c r="D2" s="73"/>
      <c r="E2" s="73"/>
      <c r="F2" s="73"/>
      <c r="G2" s="73"/>
      <c r="H2" s="73"/>
    </row>
    <row r="3" spans="1:8" x14ac:dyDescent="0.2">
      <c r="A3" s="73"/>
      <c r="B3" s="73"/>
      <c r="C3" s="73"/>
      <c r="D3" s="73"/>
      <c r="E3" s="73"/>
      <c r="F3" s="73"/>
      <c r="G3" s="73"/>
      <c r="H3" s="73"/>
    </row>
    <row r="4" spans="1:8" x14ac:dyDescent="0.2">
      <c r="A4" s="75"/>
      <c r="B4" s="75"/>
      <c r="C4" s="75"/>
      <c r="D4" s="75"/>
      <c r="E4" s="75"/>
      <c r="F4" s="75"/>
      <c r="G4" s="75"/>
      <c r="H4" s="75"/>
    </row>
    <row r="5" spans="1:8" ht="15.75" x14ac:dyDescent="0.25">
      <c r="A5" s="38" t="s">
        <v>0</v>
      </c>
      <c r="B5" s="38">
        <v>2021</v>
      </c>
      <c r="C5" s="38">
        <f t="shared" ref="C5:H5" si="0">B5+1</f>
        <v>2022</v>
      </c>
      <c r="D5" s="38">
        <f t="shared" si="0"/>
        <v>2023</v>
      </c>
      <c r="E5" s="38">
        <f t="shared" si="0"/>
        <v>2024</v>
      </c>
      <c r="F5" s="38">
        <f t="shared" si="0"/>
        <v>2025</v>
      </c>
      <c r="G5" s="38">
        <f t="shared" si="0"/>
        <v>2026</v>
      </c>
      <c r="H5" s="38">
        <f t="shared" si="0"/>
        <v>2027</v>
      </c>
    </row>
    <row r="6" spans="1:8" x14ac:dyDescent="0.2">
      <c r="A6" s="39" t="s">
        <v>14</v>
      </c>
      <c r="B6" s="40">
        <f>'INCOME STATEMENT'!B11</f>
        <v>10.417241379310347</v>
      </c>
      <c r="C6" s="40">
        <f>'INCOME STATEMENT'!C11</f>
        <v>15.371827586206905</v>
      </c>
      <c r="D6" s="40">
        <f>'INCOME STATEMENT'!D11</f>
        <v>22.216996896551738</v>
      </c>
      <c r="E6" s="40">
        <f>'INCOME STATEMENT'!E11</f>
        <v>31.610616562068994</v>
      </c>
      <c r="F6" s="40">
        <f>'INCOME STATEMENT'!F11</f>
        <v>44.428643949344853</v>
      </c>
      <c r="G6" s="40">
        <f>'INCOME STATEMENT'!G11</f>
        <v>61.835395381628651</v>
      </c>
      <c r="H6" s="40">
        <f>'INCOME STATEMENT'!H11</f>
        <v>85.376054083539287</v>
      </c>
    </row>
    <row r="7" spans="1:8" x14ac:dyDescent="0.2">
      <c r="A7" s="39" t="s">
        <v>17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</row>
    <row r="8" spans="1:8" x14ac:dyDescent="0.2">
      <c r="A8" s="39" t="s">
        <v>18</v>
      </c>
      <c r="B8" s="39"/>
      <c r="C8" s="40">
        <f>('BALANCE SHEET'!B8+'BALANCE SHEET'!B9+'BALANCE SHEET'!B10)-('BALANCE SHEET'!C8+'BALANCE SHEET'!C9+'BALANCE SHEET'!C10)</f>
        <v>-1.7560000000000002</v>
      </c>
      <c r="D8" s="40">
        <f>('BALANCE SHEET'!C8+'BALANCE SHEET'!C9+'BALANCE SHEET'!C10)-('BALANCE SHEET'!D8+'BALANCE SHEET'!D9+'BALANCE SHEET'!D10)</f>
        <v>-2.2787399999999991</v>
      </c>
      <c r="E8" s="40">
        <f>('BALANCE SHEET'!D8+'BALANCE SHEET'!D9+'BALANCE SHEET'!D10)-('BALANCE SHEET'!E8+'BALANCE SHEET'!E9+'BALANCE SHEET'!E10)</f>
        <v>-2.957124600000002</v>
      </c>
      <c r="F8" s="40">
        <f>('BALANCE SHEET'!E8+'BALANCE SHEET'!E9+'BALANCE SHEET'!E10)-('BALANCE SHEET'!F8+'BALANCE SHEET'!F9+'BALANCE SHEET'!F10)</f>
        <v>-3.8375057340000005</v>
      </c>
      <c r="G8" s="40">
        <f>('BALANCE SHEET'!F8+'BALANCE SHEET'!F9+'BALANCE SHEET'!F10)-('BALANCE SHEET'!G8+'BALANCE SHEET'!G9+'BALANCE SHEET'!G10)</f>
        <v>-4.9800418968600013</v>
      </c>
      <c r="H8" s="40">
        <f>('BALANCE SHEET'!G8+'BALANCE SHEET'!G9+'BALANCE SHEET'!G10)-('BALANCE SHEET'!H8+'BALANCE SHEET'!H9+'BALANCE SHEET'!H10)</f>
        <v>-6.4628113969493981</v>
      </c>
    </row>
    <row r="9" spans="1:8" x14ac:dyDescent="0.2">
      <c r="A9" s="39" t="s">
        <v>19</v>
      </c>
      <c r="B9" s="39"/>
      <c r="C9" s="40">
        <f>('BALANCE SHEET'!B19+'BALANCE SHEET'!B20+'BALANCE SHEET'!B21)-('BALANCE SHEET'!C19+'BALANCE SHEET'!C20+'BALANCE SHEET'!C21)</f>
        <v>-0.61895114942528728</v>
      </c>
      <c r="D9" s="40">
        <f>('BALANCE SHEET'!C19+'BALANCE SHEET'!C20+'BALANCE SHEET'!C21)-('BALANCE SHEET'!D19+'BALANCE SHEET'!D20+'BALANCE SHEET'!D21)</f>
        <v>-0.80201422413793155</v>
      </c>
      <c r="E9" s="40">
        <f>('BALANCE SHEET'!D19+'BALANCE SHEET'!D20+'BALANCE SHEET'!D21)-('BALANCE SHEET'!E19+'BALANCE SHEET'!E20+'BALANCE SHEET'!E21)</f>
        <v>-1.0390272112068959</v>
      </c>
      <c r="F9" s="40">
        <f>('BALANCE SHEET'!E19+'BALANCE SHEET'!E20+'BALANCE SHEET'!E21)-('BALANCE SHEET'!F19+'BALANCE SHEET'!F20+'BALANCE SHEET'!F21)</f>
        <v>-1.3458502755603456</v>
      </c>
      <c r="G9" s="40">
        <f>('BALANCE SHEET'!F19+'BALANCE SHEET'!F20+'BALANCE SHEET'!F21)-('BALANCE SHEET'!G19+'BALANCE SHEET'!G20+'BALANCE SHEET'!G21)</f>
        <v>-1.7429982399280171</v>
      </c>
      <c r="H9" s="40">
        <f>('BALANCE SHEET'!G19+'BALANCE SHEET'!G20+'BALANCE SHEET'!G21)-('BALANCE SHEET'!H19+'BALANCE SHEET'!H20+'BALANCE SHEET'!H21)</f>
        <v>-2.2570050671979018</v>
      </c>
    </row>
    <row r="10" spans="1:8" ht="15.75" x14ac:dyDescent="0.25">
      <c r="A10" s="42" t="s">
        <v>20</v>
      </c>
      <c r="B10" s="43"/>
      <c r="C10" s="44">
        <f t="shared" ref="C10:H10" si="1">SUM(C6:C9)</f>
        <v>12.996876436781617</v>
      </c>
      <c r="D10" s="44">
        <f t="shared" si="1"/>
        <v>19.136242672413807</v>
      </c>
      <c r="E10" s="44">
        <f t="shared" si="1"/>
        <v>27.614464750862094</v>
      </c>
      <c r="F10" s="44">
        <f t="shared" si="1"/>
        <v>39.245287939784511</v>
      </c>
      <c r="G10" s="44">
        <f t="shared" si="1"/>
        <v>55.112355244840629</v>
      </c>
      <c r="H10" s="44">
        <f t="shared" si="1"/>
        <v>76.656237619391987</v>
      </c>
    </row>
    <row r="11" spans="1:8" x14ac:dyDescent="0.2">
      <c r="A11" s="39" t="s">
        <v>21</v>
      </c>
      <c r="B11" s="39"/>
      <c r="C11" s="40">
        <f>('BALANCE SHEET'!B12+'BALANCE SHEET'!B13)-('BALANCE SHEET'!C12+'BALANCE SHEET'!C13)</f>
        <v>-0.69000000000000039</v>
      </c>
      <c r="D11" s="40">
        <f>('BALANCE SHEET'!C12+'BALANCE SHEET'!C13)-('BALANCE SHEET'!D12+'BALANCE SHEET'!D13)</f>
        <v>-0.80902500000000011</v>
      </c>
      <c r="E11" s="40">
        <f>('BALANCE SHEET'!D12+'BALANCE SHEET'!D13)-('BALANCE SHEET'!E12+'BALANCE SHEET'!E13)</f>
        <v>-0.94858181250000051</v>
      </c>
      <c r="F11" s="40">
        <f>('BALANCE SHEET'!E12+'BALANCE SHEET'!E13)-('BALANCE SHEET'!F12+'BALANCE SHEET'!F13)</f>
        <v>-1.1122121751562508</v>
      </c>
      <c r="G11" s="40">
        <f>('BALANCE SHEET'!F12+'BALANCE SHEET'!F13)-('BALANCE SHEET'!G12+'BALANCE SHEET'!G13)</f>
        <v>-1.3040687753707036</v>
      </c>
      <c r="H11" s="40">
        <f>('BALANCE SHEET'!G12+'BALANCE SHEET'!G13)-('BALANCE SHEET'!H12+'BALANCE SHEET'!H13)</f>
        <v>-1.5290206391221499</v>
      </c>
    </row>
    <row r="12" spans="1:8" ht="15.75" x14ac:dyDescent="0.25">
      <c r="A12" s="42" t="s">
        <v>22</v>
      </c>
      <c r="B12" s="42"/>
      <c r="C12" s="44">
        <f t="shared" ref="C12:H12" si="2">SUM(C10+C11)</f>
        <v>12.306876436781618</v>
      </c>
      <c r="D12" s="44">
        <f t="shared" si="2"/>
        <v>18.327217672413809</v>
      </c>
      <c r="E12" s="44">
        <f t="shared" si="2"/>
        <v>26.665882938362095</v>
      </c>
      <c r="F12" s="44">
        <f t="shared" si="2"/>
        <v>38.133075764628259</v>
      </c>
      <c r="G12" s="44">
        <f t="shared" si="2"/>
        <v>53.808286469469927</v>
      </c>
      <c r="H12" s="44">
        <f t="shared" si="2"/>
        <v>75.127216980269836</v>
      </c>
    </row>
    <row r="13" spans="1:8" x14ac:dyDescent="0.2">
      <c r="A13" s="39" t="s">
        <v>23</v>
      </c>
      <c r="B13" s="39"/>
      <c r="C13" s="40">
        <f>'BALANCE SHEET'!C23-'BALANCE SHEET'!B23</f>
        <v>7.25</v>
      </c>
      <c r="D13" s="40">
        <f>'BALANCE SHEET'!D23-'BALANCE SHEET'!C23</f>
        <v>9.0625</v>
      </c>
      <c r="E13" s="40">
        <f>'BALANCE SHEET'!E23-'BALANCE SHEET'!D23</f>
        <v>11.328125</v>
      </c>
      <c r="F13" s="40">
        <f>'BALANCE SHEET'!F23-'BALANCE SHEET'!E23</f>
        <v>14.16015625</v>
      </c>
      <c r="G13" s="40">
        <f>'BALANCE SHEET'!G23-'BALANCE SHEET'!F23</f>
        <v>17.7001953125</v>
      </c>
      <c r="H13" s="40">
        <f>'BALANCE SHEET'!H23-'BALANCE SHEET'!G23</f>
        <v>22.125244140625</v>
      </c>
    </row>
    <row r="14" spans="1:8" ht="15.75" x14ac:dyDescent="0.25">
      <c r="A14" s="42" t="s">
        <v>24</v>
      </c>
      <c r="B14" s="42"/>
      <c r="C14" s="44">
        <f t="shared" ref="C14:H14" si="3">SUM(C12+C13)</f>
        <v>19.556876436781618</v>
      </c>
      <c r="D14" s="44">
        <f t="shared" si="3"/>
        <v>27.389717672413809</v>
      </c>
      <c r="E14" s="44">
        <f t="shared" si="3"/>
        <v>37.994007938362095</v>
      </c>
      <c r="F14" s="44">
        <f t="shared" si="3"/>
        <v>52.293232014628259</v>
      </c>
      <c r="G14" s="44">
        <f t="shared" si="3"/>
        <v>71.50848178196992</v>
      </c>
      <c r="H14" s="44">
        <f t="shared" si="3"/>
        <v>97.252461120894836</v>
      </c>
    </row>
  </sheetData>
  <mergeCells count="1">
    <mergeCell ref="A1:H4"/>
  </mergeCells>
  <conditionalFormatting sqref="B10:H10">
    <cfRule type="cellIs" dxfId="8" priority="7" operator="equal">
      <formula>#REF!</formula>
    </cfRule>
    <cfRule type="cellIs" dxfId="7" priority="8" operator="lessThan">
      <formula>#REF!</formula>
    </cfRule>
    <cfRule type="cellIs" dxfId="6" priority="9" operator="greaterThan">
      <formula>#REF!</formula>
    </cfRule>
  </conditionalFormatting>
  <conditionalFormatting sqref="B12:H12">
    <cfRule type="cellIs" dxfId="5" priority="4" operator="equal">
      <formula>#REF!</formula>
    </cfRule>
    <cfRule type="cellIs" dxfId="4" priority="5" operator="lessThan">
      <formula>#REF!</formula>
    </cfRule>
    <cfRule type="cellIs" dxfId="3" priority="6" operator="greaterThan">
      <formula>#REF!</formula>
    </cfRule>
  </conditionalFormatting>
  <conditionalFormatting sqref="B14:H14">
    <cfRule type="cellIs" dxfId="2" priority="1" operator="equal">
      <formula>#REF!</formula>
    </cfRule>
    <cfRule type="cellIs" dxfId="1" priority="2" operator="lessThan">
      <formula>#REF!</formula>
    </cfRule>
    <cfRule type="cellIs" dxfId="0" priority="3" operator="greaterThan">
      <formula>#REF!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9BD2-BA28-471D-86E1-7BA5C778E53D}">
  <dimension ref="A1:P99"/>
  <sheetViews>
    <sheetView showGridLines="0" workbookViewId="0"/>
  </sheetViews>
  <sheetFormatPr defaultColWidth="14.125" defaultRowHeight="15.75" x14ac:dyDescent="0.25"/>
  <cols>
    <col min="1" max="1" width="30.5" bestFit="1" customWidth="1"/>
    <col min="2" max="2" width="11" bestFit="1" customWidth="1"/>
    <col min="3" max="3" width="6.375" bestFit="1" customWidth="1"/>
    <col min="4" max="4" width="10.5" bestFit="1" customWidth="1"/>
    <col min="5" max="5" width="13.125" bestFit="1" customWidth="1"/>
    <col min="6" max="6" width="10.875" bestFit="1" customWidth="1"/>
    <col min="7" max="7" width="11.25" bestFit="1" customWidth="1"/>
    <col min="8" max="8" width="13.125" bestFit="1" customWidth="1"/>
    <col min="9" max="9" width="9.875" bestFit="1" customWidth="1"/>
    <col min="10" max="10" width="12.375" bestFit="1" customWidth="1"/>
    <col min="11" max="11" width="12.875" bestFit="1" customWidth="1"/>
    <col min="12" max="15" width="6.125" bestFit="1" customWidth="1"/>
    <col min="16" max="16" width="11" bestFit="1" customWidth="1"/>
  </cols>
  <sheetData>
    <row r="1" spans="1:16" ht="64.5" x14ac:dyDescent="0.25">
      <c r="A1" s="18" t="s">
        <v>52</v>
      </c>
      <c r="B1" s="1" t="s">
        <v>53</v>
      </c>
      <c r="C1" s="13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>
        <v>2019</v>
      </c>
      <c r="M1" s="1">
        <v>2020</v>
      </c>
      <c r="N1" s="1">
        <v>2021</v>
      </c>
      <c r="O1" s="1">
        <v>2022</v>
      </c>
      <c r="P1" s="1" t="s">
        <v>334</v>
      </c>
    </row>
    <row r="2" spans="1:16" x14ac:dyDescent="0.25">
      <c r="A2" s="2" t="s">
        <v>63</v>
      </c>
      <c r="B2" s="3">
        <v>58</v>
      </c>
      <c r="C2" s="3" t="s">
        <v>335</v>
      </c>
      <c r="D2" s="3" t="s">
        <v>332</v>
      </c>
      <c r="E2" s="3" t="s">
        <v>336</v>
      </c>
      <c r="F2" s="3" t="s">
        <v>128</v>
      </c>
      <c r="G2" s="3" t="s">
        <v>337</v>
      </c>
      <c r="H2" s="3" t="s">
        <v>130</v>
      </c>
      <c r="I2" s="3" t="s">
        <v>338</v>
      </c>
      <c r="J2" s="3" t="s">
        <v>339</v>
      </c>
      <c r="K2" s="3" t="s">
        <v>318</v>
      </c>
      <c r="L2" s="3" t="s">
        <v>68</v>
      </c>
      <c r="M2" s="3" t="s">
        <v>69</v>
      </c>
      <c r="N2" s="4" t="s">
        <v>70</v>
      </c>
      <c r="O2" s="3" t="s">
        <v>66</v>
      </c>
      <c r="P2" s="5" t="s">
        <v>90</v>
      </c>
    </row>
    <row r="3" spans="1:16" x14ac:dyDescent="0.25">
      <c r="A3" s="6" t="s">
        <v>72</v>
      </c>
      <c r="B3" s="7">
        <v>77</v>
      </c>
      <c r="C3" s="7" t="s">
        <v>210</v>
      </c>
      <c r="D3" s="7" t="s">
        <v>340</v>
      </c>
      <c r="E3" s="7" t="s">
        <v>209</v>
      </c>
      <c r="F3" s="7" t="s">
        <v>183</v>
      </c>
      <c r="G3" s="7" t="s">
        <v>341</v>
      </c>
      <c r="H3" s="7" t="s">
        <v>89</v>
      </c>
      <c r="I3" s="7" t="s">
        <v>342</v>
      </c>
      <c r="J3" s="7" t="s">
        <v>343</v>
      </c>
      <c r="K3" s="7" t="s">
        <v>344</v>
      </c>
      <c r="L3" s="7" t="s">
        <v>77</v>
      </c>
      <c r="M3" s="7" t="s">
        <v>78</v>
      </c>
      <c r="N3" s="8" t="s">
        <v>79</v>
      </c>
      <c r="O3" s="7" t="s">
        <v>75</v>
      </c>
      <c r="P3" s="9" t="s">
        <v>78</v>
      </c>
    </row>
    <row r="4" spans="1:16" x14ac:dyDescent="0.25">
      <c r="A4" s="2" t="s">
        <v>81</v>
      </c>
      <c r="B4" s="3">
        <v>21</v>
      </c>
      <c r="C4" s="3" t="s">
        <v>282</v>
      </c>
      <c r="D4" s="3" t="s">
        <v>345</v>
      </c>
      <c r="E4" s="3" t="s">
        <v>346</v>
      </c>
      <c r="F4" s="3" t="s">
        <v>100</v>
      </c>
      <c r="G4" s="3" t="s">
        <v>347</v>
      </c>
      <c r="H4" s="3" t="s">
        <v>227</v>
      </c>
      <c r="I4" s="3" t="s">
        <v>348</v>
      </c>
      <c r="J4" s="3" t="s">
        <v>349</v>
      </c>
      <c r="K4" s="3" t="s">
        <v>350</v>
      </c>
      <c r="L4" s="3" t="s">
        <v>85</v>
      </c>
      <c r="M4" s="3" t="s">
        <v>86</v>
      </c>
      <c r="N4" s="4" t="s">
        <v>79</v>
      </c>
      <c r="O4" s="3" t="s">
        <v>79</v>
      </c>
      <c r="P4" s="5" t="s">
        <v>87</v>
      </c>
    </row>
    <row r="5" spans="1:16" x14ac:dyDescent="0.25">
      <c r="A5" s="6" t="s">
        <v>88</v>
      </c>
      <c r="B5" s="7">
        <v>39</v>
      </c>
      <c r="C5" s="7" t="s">
        <v>249</v>
      </c>
      <c r="D5" s="7" t="s">
        <v>351</v>
      </c>
      <c r="E5" s="7" t="s">
        <v>352</v>
      </c>
      <c r="F5" s="7" t="s">
        <v>153</v>
      </c>
      <c r="G5" s="7" t="s">
        <v>229</v>
      </c>
      <c r="H5" s="7" t="s">
        <v>99</v>
      </c>
      <c r="I5" s="7" t="s">
        <v>353</v>
      </c>
      <c r="J5" s="7" t="s">
        <v>251</v>
      </c>
      <c r="K5" s="7" t="s">
        <v>354</v>
      </c>
      <c r="L5" s="7" t="s">
        <v>92</v>
      </c>
      <c r="M5" s="7" t="s">
        <v>93</v>
      </c>
      <c r="N5" s="8" t="s">
        <v>94</v>
      </c>
      <c r="O5" s="7" t="s">
        <v>66</v>
      </c>
      <c r="P5" s="9" t="s">
        <v>69</v>
      </c>
    </row>
    <row r="6" spans="1:16" x14ac:dyDescent="0.25">
      <c r="A6" s="2" t="s">
        <v>96</v>
      </c>
      <c r="B6" s="3">
        <v>31</v>
      </c>
      <c r="C6" s="3" t="s">
        <v>355</v>
      </c>
      <c r="D6" s="3" t="s">
        <v>356</v>
      </c>
      <c r="E6" s="3" t="s">
        <v>357</v>
      </c>
      <c r="F6" s="3" t="s">
        <v>113</v>
      </c>
      <c r="G6" s="3" t="s">
        <v>358</v>
      </c>
      <c r="H6" s="3" t="s">
        <v>89</v>
      </c>
      <c r="I6" s="3" t="s">
        <v>359</v>
      </c>
      <c r="J6" s="3" t="s">
        <v>360</v>
      </c>
      <c r="K6" s="3" t="s">
        <v>361</v>
      </c>
      <c r="L6" s="3" t="s">
        <v>101</v>
      </c>
      <c r="M6" s="3" t="s">
        <v>102</v>
      </c>
      <c r="N6" s="4" t="s">
        <v>74</v>
      </c>
      <c r="O6" s="3" t="s">
        <v>99</v>
      </c>
      <c r="P6" s="5" t="s">
        <v>93</v>
      </c>
    </row>
    <row r="7" spans="1:16" x14ac:dyDescent="0.25">
      <c r="A7" s="6" t="s">
        <v>104</v>
      </c>
      <c r="B7" s="7">
        <v>37</v>
      </c>
      <c r="C7" s="7" t="s">
        <v>247</v>
      </c>
      <c r="D7" s="7" t="s">
        <v>362</v>
      </c>
      <c r="E7" s="7" t="s">
        <v>363</v>
      </c>
      <c r="F7" s="7" t="s">
        <v>113</v>
      </c>
      <c r="G7" s="7" t="s">
        <v>364</v>
      </c>
      <c r="H7" s="7" t="s">
        <v>162</v>
      </c>
      <c r="I7" s="7" t="s">
        <v>365</v>
      </c>
      <c r="J7" s="7" t="s">
        <v>366</v>
      </c>
      <c r="K7" s="7" t="s">
        <v>367</v>
      </c>
      <c r="L7" s="7" t="s">
        <v>65</v>
      </c>
      <c r="M7" s="7" t="s">
        <v>110</v>
      </c>
      <c r="N7" s="8" t="s">
        <v>77</v>
      </c>
      <c r="O7" s="7" t="s">
        <v>108</v>
      </c>
      <c r="P7" s="9" t="s">
        <v>78</v>
      </c>
    </row>
    <row r="8" spans="1:16" x14ac:dyDescent="0.25">
      <c r="A8" s="2" t="s">
        <v>112</v>
      </c>
      <c r="B8" s="3">
        <v>7</v>
      </c>
      <c r="C8" s="3" t="s">
        <v>78</v>
      </c>
      <c r="D8" s="3" t="s">
        <v>368</v>
      </c>
      <c r="E8" s="3" t="s">
        <v>369</v>
      </c>
      <c r="F8" s="3" t="s">
        <v>261</v>
      </c>
      <c r="G8" s="3" t="s">
        <v>370</v>
      </c>
      <c r="H8" s="3" t="s">
        <v>219</v>
      </c>
      <c r="I8" s="3" t="s">
        <v>371</v>
      </c>
      <c r="J8" s="3" t="s">
        <v>372</v>
      </c>
      <c r="K8" s="3" t="s">
        <v>115</v>
      </c>
      <c r="L8" s="3" t="s">
        <v>117</v>
      </c>
      <c r="M8" s="3" t="s">
        <v>118</v>
      </c>
      <c r="N8" s="4" t="s">
        <v>100</v>
      </c>
      <c r="O8" s="3" t="s">
        <v>111</v>
      </c>
      <c r="P8" s="5" t="s">
        <v>84</v>
      </c>
    </row>
    <row r="9" spans="1:16" x14ac:dyDescent="0.25">
      <c r="A9" s="6" t="s">
        <v>119</v>
      </c>
      <c r="B9" s="7">
        <v>557</v>
      </c>
      <c r="C9" s="7" t="s">
        <v>114</v>
      </c>
      <c r="D9" s="7" t="s">
        <v>373</v>
      </c>
      <c r="E9" s="7" t="s">
        <v>374</v>
      </c>
      <c r="F9" s="7" t="s">
        <v>101</v>
      </c>
      <c r="G9" s="7" t="s">
        <v>375</v>
      </c>
      <c r="H9" s="7" t="s">
        <v>261</v>
      </c>
      <c r="I9" s="7" t="s">
        <v>376</v>
      </c>
      <c r="J9" s="7" t="s">
        <v>377</v>
      </c>
      <c r="K9" s="7" t="s">
        <v>378</v>
      </c>
      <c r="L9" s="7" t="s">
        <v>122</v>
      </c>
      <c r="M9" s="7" t="s">
        <v>117</v>
      </c>
      <c r="N9" s="8" t="s">
        <v>123</v>
      </c>
      <c r="O9" s="7" t="s">
        <v>86</v>
      </c>
      <c r="P9" s="9" t="s">
        <v>137</v>
      </c>
    </row>
    <row r="10" spans="1:16" x14ac:dyDescent="0.25">
      <c r="A10" s="2" t="s">
        <v>124</v>
      </c>
      <c r="B10" s="3">
        <v>23</v>
      </c>
      <c r="C10" s="3" t="s">
        <v>145</v>
      </c>
      <c r="D10" s="3" t="s">
        <v>379</v>
      </c>
      <c r="E10" s="3" t="s">
        <v>380</v>
      </c>
      <c r="F10" s="3" t="s">
        <v>189</v>
      </c>
      <c r="G10" s="3" t="s">
        <v>381</v>
      </c>
      <c r="H10" s="3" t="s">
        <v>152</v>
      </c>
      <c r="I10" s="3" t="s">
        <v>382</v>
      </c>
      <c r="J10" s="3" t="s">
        <v>383</v>
      </c>
      <c r="K10" s="3" t="s">
        <v>384</v>
      </c>
      <c r="L10" s="3" t="s">
        <v>74</v>
      </c>
      <c r="M10" s="3" t="s">
        <v>109</v>
      </c>
      <c r="N10" s="4" t="s">
        <v>84</v>
      </c>
      <c r="O10" s="3" t="s">
        <v>126</v>
      </c>
      <c r="P10" s="5" t="s">
        <v>91</v>
      </c>
    </row>
    <row r="11" spans="1:16" x14ac:dyDescent="0.25">
      <c r="A11" s="6" t="s">
        <v>127</v>
      </c>
      <c r="B11" s="7">
        <v>31</v>
      </c>
      <c r="C11" s="7" t="s">
        <v>276</v>
      </c>
      <c r="D11" s="7" t="s">
        <v>385</v>
      </c>
      <c r="E11" s="7" t="s">
        <v>386</v>
      </c>
      <c r="F11" s="7" t="s">
        <v>136</v>
      </c>
      <c r="G11" s="7" t="s">
        <v>284</v>
      </c>
      <c r="H11" s="7" t="s">
        <v>162</v>
      </c>
      <c r="I11" s="7" t="s">
        <v>387</v>
      </c>
      <c r="J11" s="7" t="s">
        <v>388</v>
      </c>
      <c r="K11" s="7" t="s">
        <v>389</v>
      </c>
      <c r="L11" s="7" t="s">
        <v>80</v>
      </c>
      <c r="M11" s="7" t="s">
        <v>77</v>
      </c>
      <c r="N11" s="8" t="s">
        <v>103</v>
      </c>
      <c r="O11" s="7" t="s">
        <v>113</v>
      </c>
      <c r="P11" s="9" t="s">
        <v>111</v>
      </c>
    </row>
    <row r="12" spans="1:16" x14ac:dyDescent="0.25">
      <c r="A12" s="2" t="s">
        <v>129</v>
      </c>
      <c r="B12" s="3">
        <v>26</v>
      </c>
      <c r="C12" s="3" t="s">
        <v>249</v>
      </c>
      <c r="D12" s="3" t="s">
        <v>390</v>
      </c>
      <c r="E12" s="3" t="s">
        <v>391</v>
      </c>
      <c r="F12" s="3" t="s">
        <v>85</v>
      </c>
      <c r="G12" s="3" t="s">
        <v>392</v>
      </c>
      <c r="H12" s="3" t="s">
        <v>120</v>
      </c>
      <c r="I12" s="3" t="s">
        <v>393</v>
      </c>
      <c r="J12" s="3" t="s">
        <v>394</v>
      </c>
      <c r="K12" s="3" t="s">
        <v>395</v>
      </c>
      <c r="L12" s="3" t="s">
        <v>134</v>
      </c>
      <c r="M12" s="3" t="s">
        <v>131</v>
      </c>
      <c r="N12" s="4" t="s">
        <v>133</v>
      </c>
      <c r="O12" s="3" t="s">
        <v>132</v>
      </c>
      <c r="P12" s="5" t="s">
        <v>199</v>
      </c>
    </row>
    <row r="13" spans="1:16" x14ac:dyDescent="0.25">
      <c r="A13" s="6" t="s">
        <v>135</v>
      </c>
      <c r="B13" s="7">
        <v>30</v>
      </c>
      <c r="C13" s="7" t="s">
        <v>162</v>
      </c>
      <c r="D13" s="7" t="s">
        <v>396</v>
      </c>
      <c r="E13" s="7" t="s">
        <v>397</v>
      </c>
      <c r="F13" s="7" t="s">
        <v>327</v>
      </c>
      <c r="G13" s="7" t="s">
        <v>398</v>
      </c>
      <c r="H13" s="7" t="s">
        <v>227</v>
      </c>
      <c r="I13" s="7" t="s">
        <v>399</v>
      </c>
      <c r="J13" s="7" t="s">
        <v>400</v>
      </c>
      <c r="K13" s="7" t="s">
        <v>401</v>
      </c>
      <c r="L13" s="7" t="s">
        <v>138</v>
      </c>
      <c r="M13" s="7" t="s">
        <v>139</v>
      </c>
      <c r="N13" s="8" t="s">
        <v>139</v>
      </c>
      <c r="O13" s="7" t="s">
        <v>84</v>
      </c>
      <c r="P13" s="9" t="s">
        <v>100</v>
      </c>
    </row>
    <row r="14" spans="1:16" x14ac:dyDescent="0.25">
      <c r="A14" s="2" t="s">
        <v>140</v>
      </c>
      <c r="B14" s="3">
        <v>45</v>
      </c>
      <c r="C14" s="3" t="s">
        <v>73</v>
      </c>
      <c r="D14" s="3" t="s">
        <v>402</v>
      </c>
      <c r="E14" s="3" t="s">
        <v>403</v>
      </c>
      <c r="F14" s="3" t="s">
        <v>74</v>
      </c>
      <c r="G14" s="3" t="s">
        <v>404</v>
      </c>
      <c r="H14" s="3" t="s">
        <v>66</v>
      </c>
      <c r="I14" s="3" t="s">
        <v>405</v>
      </c>
      <c r="J14" s="3" t="s">
        <v>406</v>
      </c>
      <c r="K14" s="3" t="s">
        <v>407</v>
      </c>
      <c r="L14" s="3" t="s">
        <v>79</v>
      </c>
      <c r="M14" s="3" t="s">
        <v>99</v>
      </c>
      <c r="N14" s="4" t="s">
        <v>65</v>
      </c>
      <c r="O14" s="3" t="s">
        <v>77</v>
      </c>
      <c r="P14" s="5" t="s">
        <v>99</v>
      </c>
    </row>
    <row r="15" spans="1:16" x14ac:dyDescent="0.25">
      <c r="A15" s="6" t="s">
        <v>142</v>
      </c>
      <c r="B15" s="7">
        <v>164</v>
      </c>
      <c r="C15" s="7" t="s">
        <v>136</v>
      </c>
      <c r="D15" s="7" t="s">
        <v>408</v>
      </c>
      <c r="E15" s="7" t="s">
        <v>409</v>
      </c>
      <c r="F15" s="7" t="s">
        <v>65</v>
      </c>
      <c r="G15" s="7" t="s">
        <v>236</v>
      </c>
      <c r="H15" s="7" t="s">
        <v>99</v>
      </c>
      <c r="I15" s="7" t="s">
        <v>410</v>
      </c>
      <c r="J15" s="7" t="s">
        <v>411</v>
      </c>
      <c r="K15" s="7" t="s">
        <v>412</v>
      </c>
      <c r="L15" s="7" t="s">
        <v>90</v>
      </c>
      <c r="M15" s="7" t="s">
        <v>71</v>
      </c>
      <c r="N15" s="8" t="s">
        <v>93</v>
      </c>
      <c r="O15" s="7" t="s">
        <v>76</v>
      </c>
      <c r="P15" s="9" t="s">
        <v>110</v>
      </c>
    </row>
    <row r="16" spans="1:16" x14ac:dyDescent="0.25">
      <c r="A16" s="2" t="s">
        <v>146</v>
      </c>
      <c r="B16" s="3">
        <v>10</v>
      </c>
      <c r="C16" s="3" t="s">
        <v>298</v>
      </c>
      <c r="D16" s="3" t="s">
        <v>413</v>
      </c>
      <c r="E16" s="3" t="s">
        <v>414</v>
      </c>
      <c r="F16" s="3" t="s">
        <v>120</v>
      </c>
      <c r="G16" s="3" t="s">
        <v>415</v>
      </c>
      <c r="H16" s="3" t="s">
        <v>103</v>
      </c>
      <c r="I16" s="3" t="s">
        <v>416</v>
      </c>
      <c r="J16" s="3" t="s">
        <v>417</v>
      </c>
      <c r="K16" s="3" t="s">
        <v>418</v>
      </c>
      <c r="L16" s="3" t="s">
        <v>92</v>
      </c>
      <c r="M16" s="3" t="s">
        <v>67</v>
      </c>
      <c r="N16" s="4" t="s">
        <v>149</v>
      </c>
      <c r="O16" s="3" t="s">
        <v>148</v>
      </c>
      <c r="P16" s="5" t="s">
        <v>126</v>
      </c>
    </row>
    <row r="17" spans="1:16" x14ac:dyDescent="0.25">
      <c r="A17" s="6" t="s">
        <v>150</v>
      </c>
      <c r="B17" s="7">
        <v>38</v>
      </c>
      <c r="C17" s="7" t="s">
        <v>166</v>
      </c>
      <c r="D17" s="7" t="s">
        <v>419</v>
      </c>
      <c r="E17" s="7" t="s">
        <v>420</v>
      </c>
      <c r="F17" s="7" t="s">
        <v>109</v>
      </c>
      <c r="G17" s="7" t="s">
        <v>421</v>
      </c>
      <c r="H17" s="7" t="s">
        <v>153</v>
      </c>
      <c r="I17" s="7" t="s">
        <v>422</v>
      </c>
      <c r="J17" s="7" t="s">
        <v>423</v>
      </c>
      <c r="K17" s="7" t="s">
        <v>188</v>
      </c>
      <c r="L17" s="7" t="s">
        <v>113</v>
      </c>
      <c r="M17" s="7" t="s">
        <v>76</v>
      </c>
      <c r="N17" s="8" t="s">
        <v>92</v>
      </c>
      <c r="O17" s="7" t="s">
        <v>94</v>
      </c>
      <c r="P17" s="9" t="s">
        <v>110</v>
      </c>
    </row>
    <row r="18" spans="1:16" x14ac:dyDescent="0.25">
      <c r="A18" s="2" t="s">
        <v>154</v>
      </c>
      <c r="B18" s="3">
        <v>4</v>
      </c>
      <c r="C18" s="3" t="s">
        <v>210</v>
      </c>
      <c r="D18" s="3" t="s">
        <v>424</v>
      </c>
      <c r="E18" s="3" t="s">
        <v>425</v>
      </c>
      <c r="F18" s="3" t="s">
        <v>169</v>
      </c>
      <c r="G18" s="3" t="s">
        <v>426</v>
      </c>
      <c r="H18" s="3" t="s">
        <v>77</v>
      </c>
      <c r="I18" s="3" t="s">
        <v>427</v>
      </c>
      <c r="J18" s="3" t="s">
        <v>428</v>
      </c>
      <c r="K18" s="3" t="s">
        <v>429</v>
      </c>
      <c r="L18" s="3" t="s">
        <v>158</v>
      </c>
      <c r="M18" s="3" t="s">
        <v>108</v>
      </c>
      <c r="N18" s="4" t="s">
        <v>111</v>
      </c>
      <c r="O18" s="3" t="s">
        <v>108</v>
      </c>
      <c r="P18" s="5" t="s">
        <v>108</v>
      </c>
    </row>
    <row r="19" spans="1:16" x14ac:dyDescent="0.25">
      <c r="A19" s="6" t="s">
        <v>159</v>
      </c>
      <c r="B19" s="7">
        <v>76</v>
      </c>
      <c r="C19" s="7" t="s">
        <v>73</v>
      </c>
      <c r="D19" s="7" t="s">
        <v>430</v>
      </c>
      <c r="E19" s="7" t="s">
        <v>431</v>
      </c>
      <c r="F19" s="7" t="s">
        <v>163</v>
      </c>
      <c r="G19" s="7" t="s">
        <v>432</v>
      </c>
      <c r="H19" s="7" t="s">
        <v>113</v>
      </c>
      <c r="I19" s="7" t="s">
        <v>433</v>
      </c>
      <c r="J19" s="7" t="s">
        <v>434</v>
      </c>
      <c r="K19" s="7" t="s">
        <v>435</v>
      </c>
      <c r="L19" s="7" t="s">
        <v>76</v>
      </c>
      <c r="M19" s="7" t="s">
        <v>153</v>
      </c>
      <c r="N19" s="8" t="s">
        <v>125</v>
      </c>
      <c r="O19" s="7" t="s">
        <v>90</v>
      </c>
      <c r="P19" s="9" t="s">
        <v>169</v>
      </c>
    </row>
    <row r="20" spans="1:16" x14ac:dyDescent="0.25">
      <c r="A20" s="2" t="s">
        <v>160</v>
      </c>
      <c r="B20" s="3">
        <v>19</v>
      </c>
      <c r="C20" s="3" t="s">
        <v>223</v>
      </c>
      <c r="D20" s="3" t="s">
        <v>436</v>
      </c>
      <c r="E20" s="3" t="s">
        <v>437</v>
      </c>
      <c r="F20" s="3" t="s">
        <v>166</v>
      </c>
      <c r="G20" s="3" t="s">
        <v>438</v>
      </c>
      <c r="H20" s="3" t="s">
        <v>174</v>
      </c>
      <c r="I20" s="3" t="s">
        <v>314</v>
      </c>
      <c r="J20" s="3" t="s">
        <v>439</v>
      </c>
      <c r="K20" s="3" t="s">
        <v>115</v>
      </c>
      <c r="L20" s="3" t="s">
        <v>65</v>
      </c>
      <c r="M20" s="3" t="s">
        <v>74</v>
      </c>
      <c r="N20" s="4" t="s">
        <v>118</v>
      </c>
      <c r="O20" s="3" t="s">
        <v>125</v>
      </c>
      <c r="P20" s="5" t="s">
        <v>153</v>
      </c>
    </row>
    <row r="21" spans="1:16" x14ac:dyDescent="0.25">
      <c r="A21" s="6" t="s">
        <v>161</v>
      </c>
      <c r="B21" s="7">
        <v>80</v>
      </c>
      <c r="C21" s="7" t="s">
        <v>136</v>
      </c>
      <c r="D21" s="7" t="s">
        <v>440</v>
      </c>
      <c r="E21" s="7" t="s">
        <v>441</v>
      </c>
      <c r="F21" s="7" t="s">
        <v>94</v>
      </c>
      <c r="G21" s="7" t="s">
        <v>442</v>
      </c>
      <c r="H21" s="7" t="s">
        <v>76</v>
      </c>
      <c r="I21" s="7" t="s">
        <v>443</v>
      </c>
      <c r="J21" s="7" t="s">
        <v>444</v>
      </c>
      <c r="K21" s="7" t="s">
        <v>445</v>
      </c>
      <c r="L21" s="7" t="s">
        <v>74</v>
      </c>
      <c r="M21" s="7" t="s">
        <v>110</v>
      </c>
      <c r="N21" s="8" t="s">
        <v>94</v>
      </c>
      <c r="O21" s="7" t="s">
        <v>163</v>
      </c>
      <c r="P21" s="9" t="s">
        <v>90</v>
      </c>
    </row>
    <row r="22" spans="1:16" x14ac:dyDescent="0.25">
      <c r="A22" s="2" t="s">
        <v>164</v>
      </c>
      <c r="B22" s="3">
        <v>42</v>
      </c>
      <c r="C22" s="3" t="s">
        <v>165</v>
      </c>
      <c r="D22" s="3" t="s">
        <v>446</v>
      </c>
      <c r="E22" s="3" t="s">
        <v>447</v>
      </c>
      <c r="F22" s="3" t="s">
        <v>108</v>
      </c>
      <c r="G22" s="3" t="s">
        <v>448</v>
      </c>
      <c r="H22" s="3" t="s">
        <v>89</v>
      </c>
      <c r="I22" s="3" t="s">
        <v>449</v>
      </c>
      <c r="J22" s="3" t="s">
        <v>450</v>
      </c>
      <c r="K22" s="3" t="s">
        <v>451</v>
      </c>
      <c r="L22" s="3" t="s">
        <v>155</v>
      </c>
      <c r="M22" s="3" t="s">
        <v>167</v>
      </c>
      <c r="N22" s="4" t="s">
        <v>107</v>
      </c>
      <c r="O22" s="3" t="s">
        <v>166</v>
      </c>
      <c r="P22" s="5" t="s">
        <v>130</v>
      </c>
    </row>
    <row r="23" spans="1:16" x14ac:dyDescent="0.25">
      <c r="A23" s="6" t="s">
        <v>168</v>
      </c>
      <c r="B23" s="7">
        <v>49</v>
      </c>
      <c r="C23" s="7" t="s">
        <v>298</v>
      </c>
      <c r="D23" s="7" t="s">
        <v>452</v>
      </c>
      <c r="E23" s="7" t="s">
        <v>197</v>
      </c>
      <c r="F23" s="7" t="s">
        <v>111</v>
      </c>
      <c r="G23" s="7" t="s">
        <v>217</v>
      </c>
      <c r="H23" s="7" t="s">
        <v>78</v>
      </c>
      <c r="I23" s="7" t="s">
        <v>453</v>
      </c>
      <c r="J23" s="7" t="s">
        <v>454</v>
      </c>
      <c r="K23" s="7" t="s">
        <v>455</v>
      </c>
      <c r="L23" s="7" t="s">
        <v>170</v>
      </c>
      <c r="M23" s="7" t="s">
        <v>66</v>
      </c>
      <c r="N23" s="8" t="s">
        <v>68</v>
      </c>
      <c r="O23" s="7" t="s">
        <v>169</v>
      </c>
      <c r="P23" s="9" t="s">
        <v>80</v>
      </c>
    </row>
    <row r="24" spans="1:16" x14ac:dyDescent="0.25">
      <c r="A24" s="2" t="s">
        <v>171</v>
      </c>
      <c r="B24" s="3">
        <v>23</v>
      </c>
      <c r="C24" s="3" t="s">
        <v>80</v>
      </c>
      <c r="D24" s="3" t="s">
        <v>456</v>
      </c>
      <c r="E24" s="3" t="s">
        <v>457</v>
      </c>
      <c r="F24" s="3" t="s">
        <v>95</v>
      </c>
      <c r="G24" s="3" t="s">
        <v>458</v>
      </c>
      <c r="H24" s="3" t="s">
        <v>94</v>
      </c>
      <c r="I24" s="3" t="s">
        <v>459</v>
      </c>
      <c r="J24" s="3" t="s">
        <v>460</v>
      </c>
      <c r="K24" s="3" t="s">
        <v>461</v>
      </c>
      <c r="L24" s="3" t="s">
        <v>107</v>
      </c>
      <c r="M24" s="3" t="s">
        <v>166</v>
      </c>
      <c r="N24" s="4" t="s">
        <v>71</v>
      </c>
      <c r="O24" s="3" t="s">
        <v>120</v>
      </c>
      <c r="P24" s="5" t="s">
        <v>169</v>
      </c>
    </row>
    <row r="25" spans="1:16" x14ac:dyDescent="0.25">
      <c r="A25" s="6" t="s">
        <v>172</v>
      </c>
      <c r="B25" s="7">
        <v>598</v>
      </c>
      <c r="C25" s="7" t="s">
        <v>196</v>
      </c>
      <c r="D25" s="7" t="s">
        <v>397</v>
      </c>
      <c r="E25" s="7" t="s">
        <v>462</v>
      </c>
      <c r="F25" s="7" t="s">
        <v>75</v>
      </c>
      <c r="G25" s="7" t="s">
        <v>463</v>
      </c>
      <c r="H25" s="7" t="s">
        <v>162</v>
      </c>
      <c r="I25" s="7" t="s">
        <v>464</v>
      </c>
      <c r="J25" s="7" t="s">
        <v>465</v>
      </c>
      <c r="K25" s="7" t="s">
        <v>466</v>
      </c>
      <c r="L25" s="7" t="s">
        <v>174</v>
      </c>
      <c r="M25" s="7" t="s">
        <v>175</v>
      </c>
      <c r="N25" s="8" t="s">
        <v>91</v>
      </c>
      <c r="O25" s="7" t="s">
        <v>65</v>
      </c>
      <c r="P25" s="9" t="s">
        <v>136</v>
      </c>
    </row>
    <row r="26" spans="1:16" x14ac:dyDescent="0.25">
      <c r="A26" s="2" t="s">
        <v>176</v>
      </c>
      <c r="B26" s="3">
        <v>281</v>
      </c>
      <c r="C26" s="3" t="s">
        <v>305</v>
      </c>
      <c r="D26" s="3" t="s">
        <v>106</v>
      </c>
      <c r="E26" s="3" t="s">
        <v>467</v>
      </c>
      <c r="F26" s="3" t="s">
        <v>170</v>
      </c>
      <c r="G26" s="3" t="s">
        <v>468</v>
      </c>
      <c r="H26" s="3" t="s">
        <v>183</v>
      </c>
      <c r="I26" s="3" t="s">
        <v>469</v>
      </c>
      <c r="J26" s="3" t="s">
        <v>470</v>
      </c>
      <c r="K26" s="3" t="s">
        <v>471</v>
      </c>
      <c r="L26" s="3" t="s">
        <v>178</v>
      </c>
      <c r="M26" s="3" t="s">
        <v>165</v>
      </c>
      <c r="N26" s="4" t="s">
        <v>86</v>
      </c>
      <c r="O26" s="3" t="s">
        <v>145</v>
      </c>
      <c r="P26" s="5" t="s">
        <v>107</v>
      </c>
    </row>
    <row r="27" spans="1:16" x14ac:dyDescent="0.25">
      <c r="A27" s="6" t="s">
        <v>179</v>
      </c>
      <c r="B27" s="7">
        <v>33</v>
      </c>
      <c r="C27" s="7" t="s">
        <v>66</v>
      </c>
      <c r="D27" s="7" t="s">
        <v>256</v>
      </c>
      <c r="E27" s="7" t="s">
        <v>472</v>
      </c>
      <c r="F27" s="7" t="s">
        <v>95</v>
      </c>
      <c r="G27" s="7" t="s">
        <v>473</v>
      </c>
      <c r="H27" s="7" t="s">
        <v>76</v>
      </c>
      <c r="I27" s="7" t="s">
        <v>474</v>
      </c>
      <c r="J27" s="7" t="s">
        <v>475</v>
      </c>
      <c r="K27" s="7" t="s">
        <v>476</v>
      </c>
      <c r="L27" s="7" t="s">
        <v>75</v>
      </c>
      <c r="M27" s="7" t="s">
        <v>173</v>
      </c>
      <c r="N27" s="8" t="s">
        <v>181</v>
      </c>
      <c r="O27" s="7" t="s">
        <v>66</v>
      </c>
      <c r="P27" s="9" t="s">
        <v>97</v>
      </c>
    </row>
    <row r="28" spans="1:16" x14ac:dyDescent="0.25">
      <c r="A28" s="2" t="s">
        <v>182</v>
      </c>
      <c r="B28" s="3">
        <v>110</v>
      </c>
      <c r="C28" s="3" t="s">
        <v>215</v>
      </c>
      <c r="D28" s="3" t="s">
        <v>477</v>
      </c>
      <c r="E28" s="3" t="s">
        <v>478</v>
      </c>
      <c r="F28" s="3" t="s">
        <v>173</v>
      </c>
      <c r="G28" s="3" t="s">
        <v>479</v>
      </c>
      <c r="H28" s="3" t="s">
        <v>174</v>
      </c>
      <c r="I28" s="3" t="s">
        <v>480</v>
      </c>
      <c r="J28" s="3" t="s">
        <v>481</v>
      </c>
      <c r="K28" s="3" t="s">
        <v>482</v>
      </c>
      <c r="L28" s="3" t="s">
        <v>183</v>
      </c>
      <c r="M28" s="3" t="s">
        <v>184</v>
      </c>
      <c r="N28" s="4">
        <v>1</v>
      </c>
      <c r="O28" s="3" t="s">
        <v>141</v>
      </c>
      <c r="P28" s="5" t="s">
        <v>128</v>
      </c>
    </row>
    <row r="29" spans="1:16" x14ac:dyDescent="0.25">
      <c r="A29" s="6" t="s">
        <v>185</v>
      </c>
      <c r="B29" s="7">
        <v>16</v>
      </c>
      <c r="C29" s="7" t="s">
        <v>355</v>
      </c>
      <c r="D29" s="7" t="s">
        <v>483</v>
      </c>
      <c r="E29" s="7" t="s">
        <v>484</v>
      </c>
      <c r="F29" s="7" t="s">
        <v>275</v>
      </c>
      <c r="G29" s="7" t="s">
        <v>485</v>
      </c>
      <c r="H29" s="7" t="s">
        <v>486</v>
      </c>
      <c r="I29" s="7" t="s">
        <v>487</v>
      </c>
      <c r="J29" s="7" t="s">
        <v>488</v>
      </c>
      <c r="K29" s="7" t="s">
        <v>489</v>
      </c>
      <c r="L29" s="7" t="s">
        <v>128</v>
      </c>
      <c r="M29" s="7" t="s">
        <v>166</v>
      </c>
      <c r="N29" s="8" t="s">
        <v>145</v>
      </c>
      <c r="O29" s="7" t="s">
        <v>163</v>
      </c>
      <c r="P29" s="9" t="s">
        <v>89</v>
      </c>
    </row>
    <row r="30" spans="1:16" x14ac:dyDescent="0.25">
      <c r="A30" s="2" t="s">
        <v>186</v>
      </c>
      <c r="B30" s="3">
        <v>138</v>
      </c>
      <c r="C30" s="3" t="s">
        <v>162</v>
      </c>
      <c r="D30" s="3" t="s">
        <v>490</v>
      </c>
      <c r="E30" s="3" t="s">
        <v>239</v>
      </c>
      <c r="F30" s="3" t="s">
        <v>74</v>
      </c>
      <c r="G30" s="3" t="s">
        <v>491</v>
      </c>
      <c r="H30" s="3" t="s">
        <v>113</v>
      </c>
      <c r="I30" s="3" t="s">
        <v>492</v>
      </c>
      <c r="J30" s="3" t="s">
        <v>493</v>
      </c>
      <c r="K30" s="3" t="s">
        <v>494</v>
      </c>
      <c r="L30" s="3" t="s">
        <v>153</v>
      </c>
      <c r="M30" s="3" t="s">
        <v>181</v>
      </c>
      <c r="N30" s="4" t="s">
        <v>189</v>
      </c>
      <c r="O30" s="3" t="s">
        <v>74</v>
      </c>
      <c r="P30" s="5" t="s">
        <v>145</v>
      </c>
    </row>
    <row r="31" spans="1:16" x14ac:dyDescent="0.25">
      <c r="A31" s="6" t="s">
        <v>190</v>
      </c>
      <c r="B31" s="7">
        <v>43</v>
      </c>
      <c r="C31" s="7" t="s">
        <v>162</v>
      </c>
      <c r="D31" s="7" t="s">
        <v>495</v>
      </c>
      <c r="E31" s="7" t="s">
        <v>309</v>
      </c>
      <c r="F31" s="7" t="s">
        <v>65</v>
      </c>
      <c r="G31" s="7" t="s">
        <v>496</v>
      </c>
      <c r="H31" s="7" t="s">
        <v>99</v>
      </c>
      <c r="I31" s="7" t="s">
        <v>497</v>
      </c>
      <c r="J31" s="7" t="s">
        <v>498</v>
      </c>
      <c r="K31" s="7" t="s">
        <v>243</v>
      </c>
      <c r="L31" s="7" t="s">
        <v>132</v>
      </c>
      <c r="M31" s="7" t="s">
        <v>192</v>
      </c>
      <c r="N31" s="8" t="s">
        <v>110</v>
      </c>
      <c r="O31" s="7" t="s">
        <v>65</v>
      </c>
      <c r="P31" s="9" t="s">
        <v>99</v>
      </c>
    </row>
    <row r="32" spans="1:16" x14ac:dyDescent="0.25">
      <c r="A32" s="2" t="s">
        <v>193</v>
      </c>
      <c r="B32" s="3">
        <v>110</v>
      </c>
      <c r="C32" s="3" t="s">
        <v>223</v>
      </c>
      <c r="D32" s="3" t="s">
        <v>499</v>
      </c>
      <c r="E32" s="3" t="s">
        <v>500</v>
      </c>
      <c r="F32" s="3" t="s">
        <v>151</v>
      </c>
      <c r="G32" s="3" t="s">
        <v>501</v>
      </c>
      <c r="H32" s="3" t="s">
        <v>166</v>
      </c>
      <c r="I32" s="3" t="s">
        <v>502</v>
      </c>
      <c r="J32" s="3" t="s">
        <v>503</v>
      </c>
      <c r="K32" s="3" t="s">
        <v>504</v>
      </c>
      <c r="L32" s="3" t="s">
        <v>108</v>
      </c>
      <c r="M32" s="3" t="s">
        <v>162</v>
      </c>
      <c r="N32" s="4" t="s">
        <v>86</v>
      </c>
      <c r="O32" s="3" t="s">
        <v>153</v>
      </c>
      <c r="P32" s="5" t="s">
        <v>77</v>
      </c>
    </row>
    <row r="33" spans="1:16" x14ac:dyDescent="0.25">
      <c r="A33" s="6" t="s">
        <v>195</v>
      </c>
      <c r="B33" s="7">
        <v>62</v>
      </c>
      <c r="C33" s="7" t="s">
        <v>99</v>
      </c>
      <c r="D33" s="7" t="s">
        <v>505</v>
      </c>
      <c r="E33" s="7" t="s">
        <v>506</v>
      </c>
      <c r="F33" s="7" t="s">
        <v>91</v>
      </c>
      <c r="G33" s="7" t="s">
        <v>507</v>
      </c>
      <c r="H33" s="7" t="s">
        <v>189</v>
      </c>
      <c r="I33" s="7" t="s">
        <v>508</v>
      </c>
      <c r="J33" s="7" t="s">
        <v>509</v>
      </c>
      <c r="K33" s="7" t="s">
        <v>191</v>
      </c>
      <c r="L33" s="7" t="s">
        <v>153</v>
      </c>
      <c r="M33" s="7" t="s">
        <v>74</v>
      </c>
      <c r="N33" s="8" t="s">
        <v>125</v>
      </c>
      <c r="O33" s="7" t="s">
        <v>77</v>
      </c>
      <c r="P33" s="9" t="s">
        <v>110</v>
      </c>
    </row>
    <row r="34" spans="1:16" x14ac:dyDescent="0.25">
      <c r="A34" s="2" t="s">
        <v>198</v>
      </c>
      <c r="B34" s="3">
        <v>39</v>
      </c>
      <c r="C34" s="3" t="s">
        <v>107</v>
      </c>
      <c r="D34" s="3" t="s">
        <v>510</v>
      </c>
      <c r="E34" s="3" t="s">
        <v>511</v>
      </c>
      <c r="F34" s="3" t="s">
        <v>79</v>
      </c>
      <c r="G34" s="3" t="s">
        <v>512</v>
      </c>
      <c r="H34" s="3" t="s">
        <v>69</v>
      </c>
      <c r="I34" s="3" t="s">
        <v>513</v>
      </c>
      <c r="J34" s="3" t="s">
        <v>514</v>
      </c>
      <c r="K34" s="3" t="s">
        <v>515</v>
      </c>
      <c r="L34" s="3" t="s">
        <v>114</v>
      </c>
      <c r="M34" s="3" t="s">
        <v>85</v>
      </c>
      <c r="N34" s="4" t="s">
        <v>199</v>
      </c>
      <c r="O34" s="3" t="s">
        <v>91</v>
      </c>
      <c r="P34" s="5" t="s">
        <v>126</v>
      </c>
    </row>
    <row r="35" spans="1:16" x14ac:dyDescent="0.25">
      <c r="A35" s="6" t="s">
        <v>201</v>
      </c>
      <c r="B35" s="7">
        <v>223</v>
      </c>
      <c r="C35" s="7" t="s">
        <v>71</v>
      </c>
      <c r="D35" s="7" t="s">
        <v>516</v>
      </c>
      <c r="E35" s="7" t="s">
        <v>517</v>
      </c>
      <c r="F35" s="7" t="s">
        <v>204</v>
      </c>
      <c r="G35" s="7" t="s">
        <v>518</v>
      </c>
      <c r="H35" s="7" t="s">
        <v>205</v>
      </c>
      <c r="I35" s="7" t="s">
        <v>519</v>
      </c>
      <c r="J35" s="7" t="s">
        <v>520</v>
      </c>
      <c r="K35" s="7" t="s">
        <v>521</v>
      </c>
      <c r="L35" s="7" t="s">
        <v>203</v>
      </c>
      <c r="M35" s="7" t="s">
        <v>204</v>
      </c>
      <c r="N35" s="8" t="s">
        <v>205</v>
      </c>
      <c r="O35" s="7" t="s">
        <v>202</v>
      </c>
      <c r="P35" s="9" t="s">
        <v>205</v>
      </c>
    </row>
    <row r="36" spans="1:16" x14ac:dyDescent="0.25">
      <c r="A36" s="2" t="s">
        <v>206</v>
      </c>
      <c r="B36" s="3">
        <v>92</v>
      </c>
      <c r="C36" s="3" t="s">
        <v>109</v>
      </c>
      <c r="D36" s="3" t="s">
        <v>522</v>
      </c>
      <c r="E36" s="3" t="s">
        <v>523</v>
      </c>
      <c r="F36" s="3" t="s">
        <v>82</v>
      </c>
      <c r="G36" s="3" t="s">
        <v>524</v>
      </c>
      <c r="H36" s="3" t="s">
        <v>70</v>
      </c>
      <c r="I36" s="3" t="s">
        <v>525</v>
      </c>
      <c r="J36" s="3" t="s">
        <v>526</v>
      </c>
      <c r="K36" s="3" t="s">
        <v>527</v>
      </c>
      <c r="L36" s="3" t="s">
        <v>207</v>
      </c>
      <c r="M36" s="3" t="s">
        <v>120</v>
      </c>
      <c r="N36" s="4" t="s">
        <v>102</v>
      </c>
      <c r="O36" s="3" t="s">
        <v>85</v>
      </c>
      <c r="P36" s="5" t="s">
        <v>133</v>
      </c>
    </row>
    <row r="37" spans="1:16" x14ac:dyDescent="0.25">
      <c r="A37" s="6" t="s">
        <v>208</v>
      </c>
      <c r="B37" s="7">
        <v>14</v>
      </c>
      <c r="C37" s="7" t="s">
        <v>113</v>
      </c>
      <c r="D37" s="7" t="s">
        <v>528</v>
      </c>
      <c r="E37" s="7" t="s">
        <v>529</v>
      </c>
      <c r="F37" s="7" t="s">
        <v>93</v>
      </c>
      <c r="G37" s="7" t="s">
        <v>530</v>
      </c>
      <c r="H37" s="7" t="s">
        <v>91</v>
      </c>
      <c r="I37" s="7" t="s">
        <v>531</v>
      </c>
      <c r="J37" s="7" t="s">
        <v>532</v>
      </c>
      <c r="K37" s="7" t="s">
        <v>533</v>
      </c>
      <c r="L37" s="7" t="s">
        <v>89</v>
      </c>
      <c r="M37" s="7" t="s">
        <v>148</v>
      </c>
      <c r="N37" s="8" t="s">
        <v>211</v>
      </c>
      <c r="O37" s="7" t="s">
        <v>78</v>
      </c>
      <c r="P37" s="9" t="s">
        <v>109</v>
      </c>
    </row>
    <row r="38" spans="1:16" x14ac:dyDescent="0.25">
      <c r="A38" s="2" t="s">
        <v>212</v>
      </c>
      <c r="B38" s="3">
        <v>32</v>
      </c>
      <c r="C38" s="3" t="s">
        <v>305</v>
      </c>
      <c r="D38" s="3" t="s">
        <v>534</v>
      </c>
      <c r="E38" s="3" t="s">
        <v>535</v>
      </c>
      <c r="F38" s="3" t="s">
        <v>95</v>
      </c>
      <c r="G38" s="3" t="s">
        <v>536</v>
      </c>
      <c r="H38" s="3" t="s">
        <v>110</v>
      </c>
      <c r="I38" s="3" t="s">
        <v>537</v>
      </c>
      <c r="J38" s="3" t="s">
        <v>538</v>
      </c>
      <c r="K38" s="3" t="s">
        <v>539</v>
      </c>
      <c r="L38" s="3" t="s">
        <v>84</v>
      </c>
      <c r="M38" s="3" t="s">
        <v>125</v>
      </c>
      <c r="N38" s="4" t="s">
        <v>67</v>
      </c>
      <c r="O38" s="3" t="s">
        <v>76</v>
      </c>
      <c r="P38" s="5" t="s">
        <v>86</v>
      </c>
    </row>
    <row r="39" spans="1:16" x14ac:dyDescent="0.25">
      <c r="A39" s="6" t="s">
        <v>214</v>
      </c>
      <c r="B39" s="7">
        <v>19</v>
      </c>
      <c r="C39" s="7" t="s">
        <v>540</v>
      </c>
      <c r="D39" s="7" t="s">
        <v>541</v>
      </c>
      <c r="E39" s="7" t="s">
        <v>542</v>
      </c>
      <c r="F39" s="7" t="s">
        <v>86</v>
      </c>
      <c r="G39" s="7" t="s">
        <v>543</v>
      </c>
      <c r="H39" s="7" t="s">
        <v>152</v>
      </c>
      <c r="I39" s="7" t="s">
        <v>544</v>
      </c>
      <c r="J39" s="7" t="s">
        <v>545</v>
      </c>
      <c r="K39" s="7" t="s">
        <v>546</v>
      </c>
      <c r="L39" s="7" t="s">
        <v>87</v>
      </c>
      <c r="M39" s="7" t="s">
        <v>100</v>
      </c>
      <c r="N39" s="8" t="s">
        <v>199</v>
      </c>
      <c r="O39" s="7" t="s">
        <v>66</v>
      </c>
      <c r="P39" s="9" t="s">
        <v>132</v>
      </c>
    </row>
    <row r="40" spans="1:16" x14ac:dyDescent="0.25">
      <c r="A40" s="2" t="s">
        <v>216</v>
      </c>
      <c r="B40" s="3">
        <v>254</v>
      </c>
      <c r="C40" s="3" t="s">
        <v>151</v>
      </c>
      <c r="D40" s="3" t="s">
        <v>438</v>
      </c>
      <c r="E40" s="3" t="s">
        <v>547</v>
      </c>
      <c r="F40" s="3" t="s">
        <v>163</v>
      </c>
      <c r="G40" s="3" t="s">
        <v>548</v>
      </c>
      <c r="H40" s="3" t="s">
        <v>66</v>
      </c>
      <c r="I40" s="3" t="s">
        <v>549</v>
      </c>
      <c r="J40" s="3" t="s">
        <v>550</v>
      </c>
      <c r="K40" s="3" t="s">
        <v>551</v>
      </c>
      <c r="L40" s="3" t="s">
        <v>80</v>
      </c>
      <c r="M40" s="3" t="s">
        <v>169</v>
      </c>
      <c r="N40" s="4" t="s">
        <v>211</v>
      </c>
      <c r="O40" s="3" t="s">
        <v>79</v>
      </c>
      <c r="P40" s="5" t="s">
        <v>65</v>
      </c>
    </row>
    <row r="41" spans="1:16" x14ac:dyDescent="0.25">
      <c r="A41" s="6" t="s">
        <v>218</v>
      </c>
      <c r="B41" s="7">
        <v>131</v>
      </c>
      <c r="C41" s="7" t="s">
        <v>151</v>
      </c>
      <c r="D41" s="7" t="s">
        <v>552</v>
      </c>
      <c r="E41" s="7" t="s">
        <v>553</v>
      </c>
      <c r="F41" s="7" t="s">
        <v>76</v>
      </c>
      <c r="G41" s="7" t="s">
        <v>554</v>
      </c>
      <c r="H41" s="7" t="s">
        <v>181</v>
      </c>
      <c r="I41" s="7" t="s">
        <v>555</v>
      </c>
      <c r="J41" s="7" t="s">
        <v>556</v>
      </c>
      <c r="K41" s="7" t="s">
        <v>557</v>
      </c>
      <c r="L41" s="7" t="s">
        <v>111</v>
      </c>
      <c r="M41" s="7" t="s">
        <v>110</v>
      </c>
      <c r="N41" s="8" t="s">
        <v>219</v>
      </c>
      <c r="O41" s="7" t="s">
        <v>110</v>
      </c>
      <c r="P41" s="9" t="s">
        <v>110</v>
      </c>
    </row>
    <row r="42" spans="1:16" x14ac:dyDescent="0.25">
      <c r="A42" s="2" t="s">
        <v>220</v>
      </c>
      <c r="B42" s="3">
        <v>138</v>
      </c>
      <c r="C42" s="3" t="s">
        <v>247</v>
      </c>
      <c r="D42" s="3" t="s">
        <v>558</v>
      </c>
      <c r="E42" s="3" t="s">
        <v>559</v>
      </c>
      <c r="F42" s="3" t="s">
        <v>192</v>
      </c>
      <c r="G42" s="3" t="s">
        <v>560</v>
      </c>
      <c r="H42" s="3" t="s">
        <v>275</v>
      </c>
      <c r="I42" s="3" t="s">
        <v>561</v>
      </c>
      <c r="J42" s="3" t="s">
        <v>562</v>
      </c>
      <c r="K42" s="3" t="s">
        <v>563</v>
      </c>
      <c r="L42" s="3" t="s">
        <v>183</v>
      </c>
      <c r="M42" s="3" t="s">
        <v>170</v>
      </c>
      <c r="N42" s="4" t="s">
        <v>82</v>
      </c>
      <c r="O42" s="3" t="s">
        <v>79</v>
      </c>
      <c r="P42" s="5" t="s">
        <v>181</v>
      </c>
    </row>
    <row r="43" spans="1:16" x14ac:dyDescent="0.25">
      <c r="A43" s="6" t="s">
        <v>221</v>
      </c>
      <c r="B43" s="7">
        <v>32</v>
      </c>
      <c r="C43" s="7" t="s">
        <v>155</v>
      </c>
      <c r="D43" s="7" t="s">
        <v>564</v>
      </c>
      <c r="E43" s="7" t="s">
        <v>565</v>
      </c>
      <c r="F43" s="7" t="s">
        <v>108</v>
      </c>
      <c r="G43" s="7" t="s">
        <v>566</v>
      </c>
      <c r="H43" s="7" t="s">
        <v>192</v>
      </c>
      <c r="I43" s="7" t="s">
        <v>567</v>
      </c>
      <c r="J43" s="7" t="s">
        <v>568</v>
      </c>
      <c r="K43" s="7" t="s">
        <v>569</v>
      </c>
      <c r="L43" s="7" t="s">
        <v>126</v>
      </c>
      <c r="M43" s="7" t="s">
        <v>148</v>
      </c>
      <c r="N43" s="8" t="s">
        <v>192</v>
      </c>
      <c r="O43" s="7" t="s">
        <v>215</v>
      </c>
      <c r="P43" s="9" t="s">
        <v>97</v>
      </c>
    </row>
    <row r="44" spans="1:16" x14ac:dyDescent="0.25">
      <c r="A44" s="2" t="s">
        <v>224</v>
      </c>
      <c r="B44" s="3">
        <v>34</v>
      </c>
      <c r="C44" s="3" t="s">
        <v>136</v>
      </c>
      <c r="D44" s="3" t="s">
        <v>570</v>
      </c>
      <c r="E44" s="3" t="s">
        <v>571</v>
      </c>
      <c r="F44" s="3" t="s">
        <v>103</v>
      </c>
      <c r="G44" s="3" t="s">
        <v>572</v>
      </c>
      <c r="H44" s="3" t="s">
        <v>126</v>
      </c>
      <c r="I44" s="3" t="s">
        <v>573</v>
      </c>
      <c r="J44" s="3" t="s">
        <v>574</v>
      </c>
      <c r="K44" s="3" t="s">
        <v>575</v>
      </c>
      <c r="L44" s="3" t="s">
        <v>226</v>
      </c>
      <c r="M44" s="3" t="s">
        <v>85</v>
      </c>
      <c r="N44" s="4" t="s">
        <v>211</v>
      </c>
      <c r="O44" s="3" t="s">
        <v>153</v>
      </c>
      <c r="P44" s="5" t="s">
        <v>131</v>
      </c>
    </row>
    <row r="45" spans="1:16" x14ac:dyDescent="0.25">
      <c r="A45" s="6" t="s">
        <v>228</v>
      </c>
      <c r="B45" s="7">
        <v>69</v>
      </c>
      <c r="C45" s="7" t="s">
        <v>264</v>
      </c>
      <c r="D45" s="7" t="s">
        <v>576</v>
      </c>
      <c r="E45" s="7" t="s">
        <v>577</v>
      </c>
      <c r="F45" s="7" t="s">
        <v>65</v>
      </c>
      <c r="G45" s="7" t="s">
        <v>578</v>
      </c>
      <c r="H45" s="7" t="s">
        <v>163</v>
      </c>
      <c r="I45" s="7" t="s">
        <v>579</v>
      </c>
      <c r="J45" s="7" t="s">
        <v>580</v>
      </c>
      <c r="K45" s="7" t="s">
        <v>581</v>
      </c>
      <c r="L45" s="7" t="s">
        <v>103</v>
      </c>
      <c r="M45" s="7" t="s">
        <v>79</v>
      </c>
      <c r="N45" s="8" t="s">
        <v>141</v>
      </c>
      <c r="O45" s="7" t="s">
        <v>230</v>
      </c>
      <c r="P45" s="9" t="s">
        <v>163</v>
      </c>
    </row>
    <row r="46" spans="1:16" x14ac:dyDescent="0.25">
      <c r="A46" s="2" t="s">
        <v>232</v>
      </c>
      <c r="B46" s="3">
        <v>127</v>
      </c>
      <c r="C46" s="3" t="s">
        <v>151</v>
      </c>
      <c r="D46" s="3" t="s">
        <v>582</v>
      </c>
      <c r="E46" s="3" t="s">
        <v>542</v>
      </c>
      <c r="F46" s="3" t="s">
        <v>111</v>
      </c>
      <c r="G46" s="3" t="s">
        <v>304</v>
      </c>
      <c r="H46" s="3" t="s">
        <v>163</v>
      </c>
      <c r="I46" s="3" t="s">
        <v>177</v>
      </c>
      <c r="J46" s="3" t="s">
        <v>583</v>
      </c>
      <c r="K46" s="3" t="s">
        <v>584</v>
      </c>
      <c r="L46" s="3" t="s">
        <v>90</v>
      </c>
      <c r="M46" s="3" t="s">
        <v>94</v>
      </c>
      <c r="N46" s="4" t="s">
        <v>199</v>
      </c>
      <c r="O46" s="3" t="s">
        <v>109</v>
      </c>
      <c r="P46" s="5" t="s">
        <v>109</v>
      </c>
    </row>
    <row r="47" spans="1:16" x14ac:dyDescent="0.25">
      <c r="A47" s="6" t="s">
        <v>233</v>
      </c>
      <c r="B47" s="7">
        <v>73</v>
      </c>
      <c r="C47" s="7" t="s">
        <v>105</v>
      </c>
      <c r="D47" s="7" t="s">
        <v>585</v>
      </c>
      <c r="E47" s="7" t="s">
        <v>586</v>
      </c>
      <c r="F47" s="7" t="s">
        <v>73</v>
      </c>
      <c r="G47" s="7" t="s">
        <v>587</v>
      </c>
      <c r="H47" s="7" t="s">
        <v>192</v>
      </c>
      <c r="I47" s="7" t="s">
        <v>588</v>
      </c>
      <c r="J47" s="7" t="s">
        <v>589</v>
      </c>
      <c r="K47" s="7" t="s">
        <v>590</v>
      </c>
      <c r="L47" s="7" t="s">
        <v>74</v>
      </c>
      <c r="M47" s="7" t="s">
        <v>111</v>
      </c>
      <c r="N47" s="8" t="s">
        <v>65</v>
      </c>
      <c r="O47" s="7" t="s">
        <v>162</v>
      </c>
      <c r="P47" s="9" t="s">
        <v>113</v>
      </c>
    </row>
    <row r="48" spans="1:16" x14ac:dyDescent="0.25">
      <c r="A48" s="2" t="s">
        <v>235</v>
      </c>
      <c r="B48" s="3">
        <v>21</v>
      </c>
      <c r="C48" s="3" t="s">
        <v>89</v>
      </c>
      <c r="D48" s="3" t="s">
        <v>591</v>
      </c>
      <c r="E48" s="3" t="s">
        <v>592</v>
      </c>
      <c r="F48" s="3" t="s">
        <v>90</v>
      </c>
      <c r="G48" s="3" t="s">
        <v>593</v>
      </c>
      <c r="H48" s="3" t="s">
        <v>111</v>
      </c>
      <c r="I48" s="3" t="s">
        <v>594</v>
      </c>
      <c r="J48" s="3" t="s">
        <v>595</v>
      </c>
      <c r="K48" s="3" t="s">
        <v>596</v>
      </c>
      <c r="L48" s="3" t="s">
        <v>84</v>
      </c>
      <c r="M48" s="3" t="s">
        <v>100</v>
      </c>
      <c r="N48" s="4" t="s">
        <v>118</v>
      </c>
      <c r="O48" s="3" t="s">
        <v>132</v>
      </c>
      <c r="P48" s="5" t="s">
        <v>131</v>
      </c>
    </row>
    <row r="49" spans="1:16" x14ac:dyDescent="0.25">
      <c r="A49" s="6" t="s">
        <v>237</v>
      </c>
      <c r="B49" s="7">
        <v>27</v>
      </c>
      <c r="C49" s="7" t="s">
        <v>94</v>
      </c>
      <c r="D49" s="7" t="s">
        <v>597</v>
      </c>
      <c r="E49" s="7" t="s">
        <v>598</v>
      </c>
      <c r="F49" s="7" t="s">
        <v>226</v>
      </c>
      <c r="G49" s="7" t="s">
        <v>599</v>
      </c>
      <c r="H49" s="7" t="s">
        <v>84</v>
      </c>
      <c r="I49" s="7" t="s">
        <v>600</v>
      </c>
      <c r="J49" s="7" t="s">
        <v>601</v>
      </c>
      <c r="K49" s="7" t="s">
        <v>602</v>
      </c>
      <c r="L49" s="7" t="s">
        <v>120</v>
      </c>
      <c r="M49" s="7" t="s">
        <v>131</v>
      </c>
      <c r="N49" s="8" t="s">
        <v>200</v>
      </c>
      <c r="O49" s="7" t="s">
        <v>152</v>
      </c>
      <c r="P49" s="9" t="s">
        <v>131</v>
      </c>
    </row>
    <row r="50" spans="1:16" x14ac:dyDescent="0.25">
      <c r="A50" s="2" t="s">
        <v>238</v>
      </c>
      <c r="B50" s="3">
        <v>51</v>
      </c>
      <c r="C50" s="3" t="s">
        <v>87</v>
      </c>
      <c r="D50" s="3" t="s">
        <v>603</v>
      </c>
      <c r="E50" s="3" t="s">
        <v>604</v>
      </c>
      <c r="F50" s="3" t="s">
        <v>227</v>
      </c>
      <c r="G50" s="3" t="s">
        <v>605</v>
      </c>
      <c r="H50" s="3" t="s">
        <v>131</v>
      </c>
      <c r="I50" s="3" t="s">
        <v>606</v>
      </c>
      <c r="J50" s="3" t="s">
        <v>607</v>
      </c>
      <c r="K50" s="3" t="s">
        <v>608</v>
      </c>
      <c r="L50" s="3" t="s">
        <v>133</v>
      </c>
      <c r="M50" s="3" t="s">
        <v>100</v>
      </c>
      <c r="N50" s="4" t="s">
        <v>240</v>
      </c>
      <c r="O50" s="3" t="s">
        <v>67</v>
      </c>
      <c r="P50" s="5" t="s">
        <v>84</v>
      </c>
    </row>
    <row r="51" spans="1:16" x14ac:dyDescent="0.25">
      <c r="A51" s="6" t="s">
        <v>241</v>
      </c>
      <c r="B51" s="7">
        <v>600</v>
      </c>
      <c r="C51" s="7" t="s">
        <v>252</v>
      </c>
      <c r="D51" s="7" t="s">
        <v>609</v>
      </c>
      <c r="E51" s="7" t="s">
        <v>610</v>
      </c>
      <c r="F51" s="7" t="s">
        <v>327</v>
      </c>
      <c r="G51" s="7" t="s">
        <v>270</v>
      </c>
      <c r="H51" s="7" t="s">
        <v>137</v>
      </c>
      <c r="I51" s="7" t="s">
        <v>611</v>
      </c>
      <c r="J51" s="7" t="s">
        <v>612</v>
      </c>
      <c r="K51" s="7" t="s">
        <v>613</v>
      </c>
      <c r="L51" s="7" t="s">
        <v>68</v>
      </c>
      <c r="M51" s="7" t="s">
        <v>189</v>
      </c>
      <c r="N51" s="8" t="s">
        <v>67</v>
      </c>
      <c r="O51" s="7" t="s">
        <v>65</v>
      </c>
      <c r="P51" s="9" t="s">
        <v>87</v>
      </c>
    </row>
    <row r="52" spans="1:16" x14ac:dyDescent="0.25">
      <c r="A52" s="2" t="s">
        <v>242</v>
      </c>
      <c r="B52" s="3">
        <v>116</v>
      </c>
      <c r="C52" s="3" t="s">
        <v>128</v>
      </c>
      <c r="D52" s="3" t="s">
        <v>614</v>
      </c>
      <c r="E52" s="3" t="s">
        <v>234</v>
      </c>
      <c r="F52" s="3" t="s">
        <v>163</v>
      </c>
      <c r="G52" s="3" t="s">
        <v>615</v>
      </c>
      <c r="H52" s="3" t="s">
        <v>77</v>
      </c>
      <c r="I52" s="3" t="s">
        <v>616</v>
      </c>
      <c r="J52" s="3" t="s">
        <v>617</v>
      </c>
      <c r="K52" s="3" t="s">
        <v>618</v>
      </c>
      <c r="L52" s="3" t="s">
        <v>145</v>
      </c>
      <c r="M52" s="3" t="s">
        <v>66</v>
      </c>
      <c r="N52" s="4" t="s">
        <v>153</v>
      </c>
      <c r="O52" s="3" t="s">
        <v>183</v>
      </c>
      <c r="P52" s="5" t="s">
        <v>181</v>
      </c>
    </row>
    <row r="53" spans="1:16" x14ac:dyDescent="0.25">
      <c r="A53" s="6" t="s">
        <v>244</v>
      </c>
      <c r="B53" s="7">
        <v>68</v>
      </c>
      <c r="C53" s="7" t="s">
        <v>165</v>
      </c>
      <c r="D53" s="7" t="s">
        <v>619</v>
      </c>
      <c r="E53" s="7" t="s">
        <v>217</v>
      </c>
      <c r="F53" s="7" t="s">
        <v>75</v>
      </c>
      <c r="G53" s="7" t="s">
        <v>620</v>
      </c>
      <c r="H53" s="7" t="s">
        <v>128</v>
      </c>
      <c r="I53" s="7" t="s">
        <v>621</v>
      </c>
      <c r="J53" s="7" t="s">
        <v>622</v>
      </c>
      <c r="K53" s="7" t="s">
        <v>623</v>
      </c>
      <c r="L53" s="7" t="s">
        <v>75</v>
      </c>
      <c r="M53" s="7" t="s">
        <v>77</v>
      </c>
      <c r="N53" s="8" t="s">
        <v>125</v>
      </c>
      <c r="O53" s="7" t="s">
        <v>97</v>
      </c>
      <c r="P53" s="9" t="s">
        <v>181</v>
      </c>
    </row>
    <row r="54" spans="1:16" x14ac:dyDescent="0.25">
      <c r="A54" s="2" t="s">
        <v>245</v>
      </c>
      <c r="B54" s="3">
        <v>16</v>
      </c>
      <c r="C54" s="3" t="s">
        <v>183</v>
      </c>
      <c r="D54" s="3" t="s">
        <v>624</v>
      </c>
      <c r="E54" s="3" t="s">
        <v>602</v>
      </c>
      <c r="F54" s="3" t="s">
        <v>67</v>
      </c>
      <c r="G54" s="3" t="s">
        <v>625</v>
      </c>
      <c r="H54" s="3" t="s">
        <v>86</v>
      </c>
      <c r="I54" s="3" t="s">
        <v>626</v>
      </c>
      <c r="J54" s="3" t="s">
        <v>627</v>
      </c>
      <c r="K54" s="3" t="s">
        <v>628</v>
      </c>
      <c r="L54" s="3" t="s">
        <v>192</v>
      </c>
      <c r="M54" s="3" t="s">
        <v>196</v>
      </c>
      <c r="N54" s="4" t="s">
        <v>93</v>
      </c>
      <c r="O54" s="3" t="s">
        <v>75</v>
      </c>
      <c r="P54" s="5" t="s">
        <v>181</v>
      </c>
    </row>
    <row r="55" spans="1:16" x14ac:dyDescent="0.25">
      <c r="A55" s="6" t="s">
        <v>246</v>
      </c>
      <c r="B55" s="7">
        <v>4</v>
      </c>
      <c r="C55" s="7" t="s">
        <v>169</v>
      </c>
      <c r="D55" s="7" t="s">
        <v>629</v>
      </c>
      <c r="E55" s="7" t="s">
        <v>630</v>
      </c>
      <c r="F55" s="7" t="s">
        <v>95</v>
      </c>
      <c r="G55" s="7" t="s">
        <v>631</v>
      </c>
      <c r="H55" s="7" t="s">
        <v>110</v>
      </c>
      <c r="I55" s="7" t="s">
        <v>632</v>
      </c>
      <c r="J55" s="7" t="s">
        <v>633</v>
      </c>
      <c r="K55" s="7" t="s">
        <v>634</v>
      </c>
      <c r="L55" s="7" t="s">
        <v>163</v>
      </c>
      <c r="M55" s="7" t="s">
        <v>113</v>
      </c>
      <c r="N55" s="8" t="s">
        <v>169</v>
      </c>
      <c r="O55" s="7" t="s">
        <v>166</v>
      </c>
      <c r="P55" s="9" t="s">
        <v>181</v>
      </c>
    </row>
    <row r="56" spans="1:16" x14ac:dyDescent="0.25">
      <c r="A56" s="2" t="s">
        <v>248</v>
      </c>
      <c r="B56" s="3">
        <v>174</v>
      </c>
      <c r="C56" s="3" t="s">
        <v>298</v>
      </c>
      <c r="D56" s="3" t="s">
        <v>635</v>
      </c>
      <c r="E56" s="3" t="s">
        <v>636</v>
      </c>
      <c r="F56" s="3" t="s">
        <v>77</v>
      </c>
      <c r="G56" s="3" t="s">
        <v>637</v>
      </c>
      <c r="H56" s="3" t="s">
        <v>107</v>
      </c>
      <c r="I56" s="3" t="s">
        <v>638</v>
      </c>
      <c r="J56" s="3" t="s">
        <v>639</v>
      </c>
      <c r="K56" s="3" t="s">
        <v>640</v>
      </c>
      <c r="L56" s="3" t="s">
        <v>181</v>
      </c>
      <c r="M56" s="3" t="s">
        <v>78</v>
      </c>
      <c r="N56" s="4" t="s">
        <v>132</v>
      </c>
      <c r="O56" s="3" t="s">
        <v>97</v>
      </c>
      <c r="P56" s="5" t="s">
        <v>74</v>
      </c>
    </row>
    <row r="57" spans="1:16" x14ac:dyDescent="0.25">
      <c r="A57" s="6" t="s">
        <v>250</v>
      </c>
      <c r="B57" s="7">
        <v>23</v>
      </c>
      <c r="C57" s="7" t="s">
        <v>76</v>
      </c>
      <c r="D57" s="7" t="s">
        <v>641</v>
      </c>
      <c r="E57" s="7" t="s">
        <v>501</v>
      </c>
      <c r="F57" s="7" t="s">
        <v>133</v>
      </c>
      <c r="G57" s="7" t="s">
        <v>642</v>
      </c>
      <c r="H57" s="7" t="s">
        <v>148</v>
      </c>
      <c r="I57" s="7" t="s">
        <v>643</v>
      </c>
      <c r="J57" s="7" t="s">
        <v>644</v>
      </c>
      <c r="K57" s="7" t="s">
        <v>645</v>
      </c>
      <c r="L57" s="7" t="s">
        <v>252</v>
      </c>
      <c r="M57" s="7" t="s">
        <v>252</v>
      </c>
      <c r="N57" s="8" t="s">
        <v>123</v>
      </c>
      <c r="O57" s="7" t="s">
        <v>189</v>
      </c>
      <c r="P57" s="9" t="s">
        <v>84</v>
      </c>
    </row>
    <row r="58" spans="1:16" x14ac:dyDescent="0.25">
      <c r="A58" s="2" t="s">
        <v>253</v>
      </c>
      <c r="B58" s="3">
        <v>101</v>
      </c>
      <c r="C58" s="3" t="s">
        <v>178</v>
      </c>
      <c r="D58" s="3" t="s">
        <v>646</v>
      </c>
      <c r="E58" s="3" t="s">
        <v>647</v>
      </c>
      <c r="F58" s="3" t="s">
        <v>66</v>
      </c>
      <c r="G58" s="3" t="s">
        <v>648</v>
      </c>
      <c r="H58" s="3" t="s">
        <v>141</v>
      </c>
      <c r="I58" s="3" t="s">
        <v>649</v>
      </c>
      <c r="J58" s="3" t="s">
        <v>394</v>
      </c>
      <c r="K58" s="3" t="s">
        <v>650</v>
      </c>
      <c r="L58" s="3" t="s">
        <v>181</v>
      </c>
      <c r="M58" s="3" t="s">
        <v>128</v>
      </c>
      <c r="N58" s="4" t="s">
        <v>93</v>
      </c>
      <c r="O58" s="3" t="s">
        <v>183</v>
      </c>
      <c r="P58" s="5" t="s">
        <v>66</v>
      </c>
    </row>
    <row r="59" spans="1:16" x14ac:dyDescent="0.25">
      <c r="A59" s="6" t="s">
        <v>254</v>
      </c>
      <c r="B59" s="7">
        <v>25</v>
      </c>
      <c r="C59" s="7" t="s">
        <v>110</v>
      </c>
      <c r="D59" s="7" t="s">
        <v>651</v>
      </c>
      <c r="E59" s="7" t="s">
        <v>652</v>
      </c>
      <c r="F59" s="7" t="s">
        <v>133</v>
      </c>
      <c r="G59" s="7" t="s">
        <v>653</v>
      </c>
      <c r="H59" s="7" t="s">
        <v>84</v>
      </c>
      <c r="I59" s="7" t="s">
        <v>654</v>
      </c>
      <c r="J59" s="7" t="s">
        <v>655</v>
      </c>
      <c r="K59" s="7" t="s">
        <v>656</v>
      </c>
      <c r="L59" s="7" t="s">
        <v>219</v>
      </c>
      <c r="M59" s="7" t="s">
        <v>199</v>
      </c>
      <c r="N59" s="8" t="s">
        <v>199</v>
      </c>
      <c r="O59" s="7" t="s">
        <v>67</v>
      </c>
      <c r="P59" s="9" t="s">
        <v>103</v>
      </c>
    </row>
    <row r="60" spans="1:16" x14ac:dyDescent="0.25">
      <c r="A60" s="2" t="s">
        <v>255</v>
      </c>
      <c r="B60" s="3">
        <v>7</v>
      </c>
      <c r="C60" s="3" t="s">
        <v>178</v>
      </c>
      <c r="D60" s="3" t="s">
        <v>231</v>
      </c>
      <c r="E60" s="3" t="s">
        <v>657</v>
      </c>
      <c r="F60" s="3" t="s">
        <v>80</v>
      </c>
      <c r="G60" s="3" t="s">
        <v>156</v>
      </c>
      <c r="H60" s="3" t="s">
        <v>97</v>
      </c>
      <c r="I60" s="3" t="s">
        <v>658</v>
      </c>
      <c r="J60" s="3" t="s">
        <v>659</v>
      </c>
      <c r="K60" s="3" t="s">
        <v>660</v>
      </c>
      <c r="L60" s="3" t="s">
        <v>136</v>
      </c>
      <c r="M60" s="3" t="s">
        <v>166</v>
      </c>
      <c r="N60" s="4" t="s">
        <v>153</v>
      </c>
      <c r="O60" s="3" t="s">
        <v>90</v>
      </c>
      <c r="P60" s="5" t="s">
        <v>66</v>
      </c>
    </row>
    <row r="61" spans="1:16" x14ac:dyDescent="0.25">
      <c r="A61" s="6" t="s">
        <v>257</v>
      </c>
      <c r="B61" s="7">
        <v>48</v>
      </c>
      <c r="C61" s="7" t="s">
        <v>131</v>
      </c>
      <c r="D61" s="7" t="s">
        <v>661</v>
      </c>
      <c r="E61" s="7" t="s">
        <v>662</v>
      </c>
      <c r="F61" s="7" t="s">
        <v>138</v>
      </c>
      <c r="G61" s="7" t="s">
        <v>663</v>
      </c>
      <c r="H61" s="7" t="s">
        <v>138</v>
      </c>
      <c r="I61" s="7" t="s">
        <v>664</v>
      </c>
      <c r="J61" s="7" t="s">
        <v>665</v>
      </c>
      <c r="K61" s="7" t="s">
        <v>666</v>
      </c>
      <c r="L61" s="7" t="s">
        <v>259</v>
      </c>
      <c r="M61" s="7" t="s">
        <v>260</v>
      </c>
      <c r="N61" s="8" t="s">
        <v>117</v>
      </c>
      <c r="O61" s="7" t="s">
        <v>118</v>
      </c>
      <c r="P61" s="9" t="s">
        <v>289</v>
      </c>
    </row>
    <row r="62" spans="1:16" x14ac:dyDescent="0.25">
      <c r="A62" s="2" t="s">
        <v>262</v>
      </c>
      <c r="B62" s="3">
        <v>74</v>
      </c>
      <c r="C62" s="3" t="s">
        <v>89</v>
      </c>
      <c r="D62" s="3" t="s">
        <v>667</v>
      </c>
      <c r="E62" s="3" t="s">
        <v>668</v>
      </c>
      <c r="F62" s="3" t="s">
        <v>66</v>
      </c>
      <c r="G62" s="3" t="s">
        <v>669</v>
      </c>
      <c r="H62" s="3" t="s">
        <v>141</v>
      </c>
      <c r="I62" s="3" t="s">
        <v>670</v>
      </c>
      <c r="J62" s="3" t="s">
        <v>671</v>
      </c>
      <c r="K62" s="3" t="s">
        <v>672</v>
      </c>
      <c r="L62" s="3" t="s">
        <v>170</v>
      </c>
      <c r="M62" s="3" t="s">
        <v>192</v>
      </c>
      <c r="N62" s="4" t="s">
        <v>82</v>
      </c>
      <c r="O62" s="3" t="s">
        <v>76</v>
      </c>
      <c r="P62" s="5" t="s">
        <v>78</v>
      </c>
    </row>
    <row r="63" spans="1:16" x14ac:dyDescent="0.25">
      <c r="A63" s="6" t="s">
        <v>263</v>
      </c>
      <c r="B63" s="7">
        <v>20</v>
      </c>
      <c r="C63" s="7" t="s">
        <v>75</v>
      </c>
      <c r="D63" s="7" t="s">
        <v>673</v>
      </c>
      <c r="E63" s="7" t="s">
        <v>674</v>
      </c>
      <c r="F63" s="7" t="s">
        <v>91</v>
      </c>
      <c r="G63" s="7" t="s">
        <v>675</v>
      </c>
      <c r="H63" s="7" t="s">
        <v>79</v>
      </c>
      <c r="I63" s="7" t="s">
        <v>676</v>
      </c>
      <c r="J63" s="7" t="s">
        <v>677</v>
      </c>
      <c r="K63" s="7" t="s">
        <v>678</v>
      </c>
      <c r="L63" s="7" t="s">
        <v>95</v>
      </c>
      <c r="M63" s="7" t="s">
        <v>92</v>
      </c>
      <c r="N63" s="8" t="s">
        <v>265</v>
      </c>
      <c r="O63" s="7" t="s">
        <v>264</v>
      </c>
      <c r="P63" s="9" t="s">
        <v>111</v>
      </c>
    </row>
    <row r="64" spans="1:16" x14ac:dyDescent="0.25">
      <c r="A64" s="2" t="s">
        <v>266</v>
      </c>
      <c r="B64" s="3">
        <v>223</v>
      </c>
      <c r="C64" s="3" t="s">
        <v>163</v>
      </c>
      <c r="D64" s="3" t="s">
        <v>679</v>
      </c>
      <c r="E64" s="3" t="s">
        <v>98</v>
      </c>
      <c r="F64" s="3" t="s">
        <v>84</v>
      </c>
      <c r="G64" s="3" t="s">
        <v>258</v>
      </c>
      <c r="H64" s="3" t="s">
        <v>227</v>
      </c>
      <c r="I64" s="3" t="s">
        <v>680</v>
      </c>
      <c r="J64" s="3" t="s">
        <v>619</v>
      </c>
      <c r="K64" s="3" t="s">
        <v>681</v>
      </c>
      <c r="L64" s="3" t="s">
        <v>261</v>
      </c>
      <c r="M64" s="3" t="s">
        <v>117</v>
      </c>
      <c r="N64" s="4" t="s">
        <v>213</v>
      </c>
      <c r="O64" s="3" t="s">
        <v>76</v>
      </c>
      <c r="P64" s="5" t="s">
        <v>148</v>
      </c>
    </row>
    <row r="65" spans="1:16" x14ac:dyDescent="0.25">
      <c r="A65" s="6" t="s">
        <v>268</v>
      </c>
      <c r="B65" s="7">
        <v>18</v>
      </c>
      <c r="C65" s="7" t="s">
        <v>281</v>
      </c>
      <c r="D65" s="7" t="s">
        <v>682</v>
      </c>
      <c r="E65" s="7" t="s">
        <v>187</v>
      </c>
      <c r="F65" s="7" t="s">
        <v>125</v>
      </c>
      <c r="G65" s="7" t="s">
        <v>683</v>
      </c>
      <c r="H65" s="7" t="s">
        <v>152</v>
      </c>
      <c r="I65" s="7" t="s">
        <v>684</v>
      </c>
      <c r="J65" s="7" t="s">
        <v>685</v>
      </c>
      <c r="K65" s="7" t="s">
        <v>686</v>
      </c>
      <c r="L65" s="7" t="s">
        <v>68</v>
      </c>
      <c r="M65" s="7" t="s">
        <v>71</v>
      </c>
      <c r="N65" s="8" t="s">
        <v>118</v>
      </c>
      <c r="O65" s="7" t="s">
        <v>219</v>
      </c>
      <c r="P65" s="9" t="s">
        <v>213</v>
      </c>
    </row>
    <row r="66" spans="1:16" x14ac:dyDescent="0.25">
      <c r="A66" s="2" t="s">
        <v>269</v>
      </c>
      <c r="B66" s="3">
        <v>12</v>
      </c>
      <c r="C66" s="3" t="s">
        <v>213</v>
      </c>
      <c r="D66" s="3" t="s">
        <v>687</v>
      </c>
      <c r="E66" s="3" t="s">
        <v>688</v>
      </c>
      <c r="F66" s="3" t="s">
        <v>207</v>
      </c>
      <c r="G66" s="3" t="s">
        <v>689</v>
      </c>
      <c r="H66" s="3" t="s">
        <v>148</v>
      </c>
      <c r="I66" s="3" t="s">
        <v>690</v>
      </c>
      <c r="J66" s="3" t="s">
        <v>691</v>
      </c>
      <c r="K66" s="3" t="s">
        <v>692</v>
      </c>
      <c r="L66" s="3" t="s">
        <v>192</v>
      </c>
      <c r="M66" s="3" t="s">
        <v>155</v>
      </c>
      <c r="N66" s="4" t="s">
        <v>92</v>
      </c>
      <c r="O66" s="3" t="s">
        <v>93</v>
      </c>
      <c r="P66" s="5" t="s">
        <v>99</v>
      </c>
    </row>
    <row r="67" spans="1:16" x14ac:dyDescent="0.25">
      <c r="A67" s="6" t="s">
        <v>271</v>
      </c>
      <c r="B67" s="7">
        <v>60</v>
      </c>
      <c r="C67" s="7" t="s">
        <v>130</v>
      </c>
      <c r="D67" s="7" t="s">
        <v>693</v>
      </c>
      <c r="E67" s="7" t="s">
        <v>694</v>
      </c>
      <c r="F67" s="7" t="s">
        <v>219</v>
      </c>
      <c r="G67" s="7" t="s">
        <v>577</v>
      </c>
      <c r="H67" s="7" t="s">
        <v>132</v>
      </c>
      <c r="I67" s="7" t="s">
        <v>695</v>
      </c>
      <c r="J67" s="7" t="s">
        <v>696</v>
      </c>
      <c r="K67" s="7" t="s">
        <v>697</v>
      </c>
      <c r="L67" s="7" t="s">
        <v>110</v>
      </c>
      <c r="M67" s="7" t="s">
        <v>199</v>
      </c>
      <c r="N67" s="8" t="s">
        <v>82</v>
      </c>
      <c r="O67" s="7" t="s">
        <v>68</v>
      </c>
      <c r="P67" s="9" t="s">
        <v>132</v>
      </c>
    </row>
    <row r="68" spans="1:16" x14ac:dyDescent="0.25">
      <c r="A68" s="2" t="s">
        <v>273</v>
      </c>
      <c r="B68" s="3">
        <v>57</v>
      </c>
      <c r="C68" s="3" t="s">
        <v>282</v>
      </c>
      <c r="D68" s="3" t="s">
        <v>698</v>
      </c>
      <c r="E68" s="3" t="s">
        <v>699</v>
      </c>
      <c r="F68" s="3" t="s">
        <v>99</v>
      </c>
      <c r="G68" s="3" t="s">
        <v>700</v>
      </c>
      <c r="H68" s="3" t="s">
        <v>78</v>
      </c>
      <c r="I68" s="3" t="s">
        <v>549</v>
      </c>
      <c r="J68" s="3" t="s">
        <v>701</v>
      </c>
      <c r="K68" s="3" t="s">
        <v>83</v>
      </c>
      <c r="L68" s="3" t="s">
        <v>132</v>
      </c>
      <c r="M68" s="3" t="s">
        <v>82</v>
      </c>
      <c r="N68" s="4" t="s">
        <v>70</v>
      </c>
      <c r="O68" s="3" t="s">
        <v>181</v>
      </c>
      <c r="P68" s="5" t="s">
        <v>95</v>
      </c>
    </row>
    <row r="69" spans="1:16" x14ac:dyDescent="0.25">
      <c r="A69" s="6" t="s">
        <v>274</v>
      </c>
      <c r="B69" s="7">
        <v>1</v>
      </c>
      <c r="C69" s="7" t="s">
        <v>93</v>
      </c>
      <c r="D69" s="7" t="s">
        <v>702</v>
      </c>
      <c r="E69" s="7" t="s">
        <v>703</v>
      </c>
      <c r="F69" s="7" t="s">
        <v>252</v>
      </c>
      <c r="G69" s="7" t="s">
        <v>704</v>
      </c>
      <c r="H69" s="7" t="s">
        <v>93</v>
      </c>
      <c r="I69" s="7" t="s">
        <v>705</v>
      </c>
      <c r="J69" s="7" t="s">
        <v>706</v>
      </c>
      <c r="K69" s="7" t="s">
        <v>707</v>
      </c>
      <c r="L69" s="7" t="s">
        <v>152</v>
      </c>
      <c r="M69" s="7" t="s">
        <v>70</v>
      </c>
      <c r="N69" s="8" t="s">
        <v>97</v>
      </c>
      <c r="O69" s="7" t="s">
        <v>276</v>
      </c>
      <c r="P69" s="9" t="s">
        <v>169</v>
      </c>
    </row>
    <row r="70" spans="1:16" x14ac:dyDescent="0.25">
      <c r="A70" s="2" t="s">
        <v>278</v>
      </c>
      <c r="B70" s="3">
        <v>70</v>
      </c>
      <c r="C70" s="3" t="s">
        <v>210</v>
      </c>
      <c r="D70" s="3" t="s">
        <v>708</v>
      </c>
      <c r="E70" s="3" t="s">
        <v>689</v>
      </c>
      <c r="F70" s="3" t="s">
        <v>170</v>
      </c>
      <c r="G70" s="3" t="s">
        <v>709</v>
      </c>
      <c r="H70" s="3" t="s">
        <v>136</v>
      </c>
      <c r="I70" s="3" t="s">
        <v>710</v>
      </c>
      <c r="J70" s="3" t="s">
        <v>711</v>
      </c>
      <c r="K70" s="3" t="s">
        <v>712</v>
      </c>
      <c r="L70" s="3" t="s">
        <v>133</v>
      </c>
      <c r="M70" s="3" t="s">
        <v>82</v>
      </c>
      <c r="N70" s="4" t="s">
        <v>75</v>
      </c>
      <c r="O70" s="3" t="s">
        <v>192</v>
      </c>
      <c r="P70" s="5" t="s">
        <v>90</v>
      </c>
    </row>
    <row r="71" spans="1:16" x14ac:dyDescent="0.25">
      <c r="A71" s="6" t="s">
        <v>279</v>
      </c>
      <c r="B71" s="7">
        <v>30</v>
      </c>
      <c r="C71" s="7" t="s">
        <v>281</v>
      </c>
      <c r="D71" s="7" t="s">
        <v>713</v>
      </c>
      <c r="E71" s="7" t="s">
        <v>714</v>
      </c>
      <c r="F71" s="7" t="s">
        <v>163</v>
      </c>
      <c r="G71" s="7" t="s">
        <v>715</v>
      </c>
      <c r="H71" s="7" t="s">
        <v>78</v>
      </c>
      <c r="I71" s="7" t="s">
        <v>716</v>
      </c>
      <c r="J71" s="7" t="s">
        <v>717</v>
      </c>
      <c r="K71" s="7" t="s">
        <v>718</v>
      </c>
      <c r="L71" s="7" t="s">
        <v>92</v>
      </c>
      <c r="M71" s="7" t="s">
        <v>68</v>
      </c>
      <c r="N71" s="8" t="s">
        <v>76</v>
      </c>
      <c r="O71" s="7" t="s">
        <v>113</v>
      </c>
      <c r="P71" s="9" t="s">
        <v>153</v>
      </c>
    </row>
    <row r="72" spans="1:16" x14ac:dyDescent="0.25">
      <c r="A72" s="2" t="s">
        <v>280</v>
      </c>
      <c r="B72" s="3">
        <v>15</v>
      </c>
      <c r="C72" s="3" t="s">
        <v>157</v>
      </c>
      <c r="D72" s="3" t="s">
        <v>719</v>
      </c>
      <c r="E72" s="3" t="s">
        <v>720</v>
      </c>
      <c r="F72" s="3" t="s">
        <v>355</v>
      </c>
      <c r="G72" s="3" t="s">
        <v>721</v>
      </c>
      <c r="H72" s="3" t="s">
        <v>301</v>
      </c>
      <c r="I72" s="3" t="s">
        <v>722</v>
      </c>
      <c r="J72" s="3" t="s">
        <v>723</v>
      </c>
      <c r="K72" s="3" t="s">
        <v>724</v>
      </c>
      <c r="L72" s="3" t="s">
        <v>65</v>
      </c>
      <c r="M72" s="3" t="s">
        <v>170</v>
      </c>
      <c r="N72" s="4" t="s">
        <v>174</v>
      </c>
      <c r="O72" s="3" t="s">
        <v>282</v>
      </c>
      <c r="P72" s="5" t="s">
        <v>184</v>
      </c>
    </row>
    <row r="73" spans="1:16" x14ac:dyDescent="0.25">
      <c r="A73" s="6" t="s">
        <v>283</v>
      </c>
      <c r="B73" s="7">
        <v>69</v>
      </c>
      <c r="C73" s="7" t="s">
        <v>73</v>
      </c>
      <c r="D73" s="7" t="s">
        <v>725</v>
      </c>
      <c r="E73" s="7" t="s">
        <v>726</v>
      </c>
      <c r="F73" s="7" t="s">
        <v>169</v>
      </c>
      <c r="G73" s="7" t="s">
        <v>147</v>
      </c>
      <c r="H73" s="7" t="s">
        <v>145</v>
      </c>
      <c r="I73" s="7" t="s">
        <v>727</v>
      </c>
      <c r="J73" s="7" t="s">
        <v>728</v>
      </c>
      <c r="K73" s="7" t="s">
        <v>729</v>
      </c>
      <c r="L73" s="7" t="s">
        <v>76</v>
      </c>
      <c r="M73" s="7" t="s">
        <v>71</v>
      </c>
      <c r="N73" s="8" t="s">
        <v>82</v>
      </c>
      <c r="O73" s="7" t="s">
        <v>163</v>
      </c>
      <c r="P73" s="9" t="s">
        <v>94</v>
      </c>
    </row>
    <row r="74" spans="1:16" x14ac:dyDescent="0.25">
      <c r="A74" s="2" t="s">
        <v>285</v>
      </c>
      <c r="B74" s="3">
        <v>15</v>
      </c>
      <c r="C74" s="3" t="s">
        <v>173</v>
      </c>
      <c r="D74" s="3" t="s">
        <v>730</v>
      </c>
      <c r="E74" s="3" t="s">
        <v>731</v>
      </c>
      <c r="F74" s="3" t="s">
        <v>141</v>
      </c>
      <c r="G74" s="3" t="s">
        <v>732</v>
      </c>
      <c r="H74" s="3" t="s">
        <v>128</v>
      </c>
      <c r="I74" s="3" t="s">
        <v>733</v>
      </c>
      <c r="J74" s="3" t="s">
        <v>734</v>
      </c>
      <c r="K74" s="3" t="s">
        <v>735</v>
      </c>
      <c r="L74" s="3" t="s">
        <v>82</v>
      </c>
      <c r="M74" s="3" t="s">
        <v>110</v>
      </c>
      <c r="N74" s="4" t="s">
        <v>132</v>
      </c>
      <c r="O74" s="3" t="s">
        <v>80</v>
      </c>
      <c r="P74" s="5" t="s">
        <v>110</v>
      </c>
    </row>
    <row r="75" spans="1:16" x14ac:dyDescent="0.25">
      <c r="A75" s="6" t="s">
        <v>287</v>
      </c>
      <c r="B75" s="7">
        <v>13</v>
      </c>
      <c r="C75" s="7" t="s">
        <v>84</v>
      </c>
      <c r="D75" s="7" t="s">
        <v>736</v>
      </c>
      <c r="E75" s="7" t="s">
        <v>483</v>
      </c>
      <c r="F75" s="7" t="s">
        <v>296</v>
      </c>
      <c r="G75" s="7" t="s">
        <v>737</v>
      </c>
      <c r="H75" s="7" t="s">
        <v>277</v>
      </c>
      <c r="I75" s="7" t="s">
        <v>738</v>
      </c>
      <c r="J75" s="7" t="s">
        <v>739</v>
      </c>
      <c r="K75" s="7" t="s">
        <v>740</v>
      </c>
      <c r="L75" s="7" t="s">
        <v>290</v>
      </c>
      <c r="M75" s="7" t="s">
        <v>259</v>
      </c>
      <c r="N75" s="8" t="s">
        <v>202</v>
      </c>
      <c r="O75" s="7" t="s">
        <v>288</v>
      </c>
      <c r="P75" s="9" t="s">
        <v>291</v>
      </c>
    </row>
    <row r="76" spans="1:16" x14ac:dyDescent="0.25">
      <c r="A76" s="2" t="s">
        <v>292</v>
      </c>
      <c r="B76" s="3">
        <v>63</v>
      </c>
      <c r="C76" s="3" t="s">
        <v>158</v>
      </c>
      <c r="D76" s="3" t="s">
        <v>741</v>
      </c>
      <c r="E76" s="3" t="s">
        <v>742</v>
      </c>
      <c r="F76" s="3" t="s">
        <v>276</v>
      </c>
      <c r="G76" s="3" t="s">
        <v>743</v>
      </c>
      <c r="H76" s="3" t="s">
        <v>173</v>
      </c>
      <c r="I76" s="3" t="s">
        <v>744</v>
      </c>
      <c r="J76" s="3" t="s">
        <v>745</v>
      </c>
      <c r="K76" s="3" t="s">
        <v>746</v>
      </c>
      <c r="L76" s="3" t="s">
        <v>64</v>
      </c>
      <c r="M76" s="3" t="s">
        <v>151</v>
      </c>
      <c r="N76" s="4" t="s">
        <v>107</v>
      </c>
      <c r="O76" s="3" t="s">
        <v>181</v>
      </c>
      <c r="P76" s="5" t="s">
        <v>108</v>
      </c>
    </row>
    <row r="77" spans="1:16" x14ac:dyDescent="0.25">
      <c r="A77" s="6" t="s">
        <v>293</v>
      </c>
      <c r="B77" s="7">
        <v>78</v>
      </c>
      <c r="C77" s="7" t="s">
        <v>747</v>
      </c>
      <c r="D77" s="7" t="s">
        <v>748</v>
      </c>
      <c r="E77" s="7" t="s">
        <v>749</v>
      </c>
      <c r="F77" s="7" t="s">
        <v>107</v>
      </c>
      <c r="G77" s="7" t="s">
        <v>750</v>
      </c>
      <c r="H77" s="7" t="s">
        <v>141</v>
      </c>
      <c r="I77" s="7" t="s">
        <v>751</v>
      </c>
      <c r="J77" s="7" t="s">
        <v>752</v>
      </c>
      <c r="K77" s="7" t="s">
        <v>753</v>
      </c>
      <c r="L77" s="7" t="s">
        <v>87</v>
      </c>
      <c r="M77" s="7" t="s">
        <v>227</v>
      </c>
      <c r="N77" s="8" t="s">
        <v>111</v>
      </c>
      <c r="O77" s="7" t="s">
        <v>89</v>
      </c>
      <c r="P77" s="9" t="s">
        <v>76</v>
      </c>
    </row>
    <row r="78" spans="1:16" x14ac:dyDescent="0.25">
      <c r="A78" s="2" t="s">
        <v>294</v>
      </c>
      <c r="B78" s="3">
        <v>3</v>
      </c>
      <c r="C78" s="3" t="s">
        <v>86</v>
      </c>
      <c r="D78" s="3" t="s">
        <v>754</v>
      </c>
      <c r="E78" s="3" t="s">
        <v>755</v>
      </c>
      <c r="F78" s="3" t="s">
        <v>295</v>
      </c>
      <c r="G78" s="3" t="s">
        <v>756</v>
      </c>
      <c r="H78" s="3" t="s">
        <v>329</v>
      </c>
      <c r="I78" s="3" t="s">
        <v>757</v>
      </c>
      <c r="J78" s="3" t="s">
        <v>758</v>
      </c>
      <c r="K78" s="3" t="s">
        <v>759</v>
      </c>
      <c r="L78" s="3" t="s">
        <v>295</v>
      </c>
      <c r="M78" s="3" t="s">
        <v>296</v>
      </c>
      <c r="N78" s="4" t="s">
        <v>137</v>
      </c>
      <c r="O78" s="3" t="s">
        <v>100</v>
      </c>
      <c r="P78" s="5" t="s">
        <v>267</v>
      </c>
    </row>
    <row r="79" spans="1:16" x14ac:dyDescent="0.25">
      <c r="A79" s="6" t="s">
        <v>297</v>
      </c>
      <c r="B79" s="7">
        <v>68</v>
      </c>
      <c r="C79" s="7" t="s">
        <v>486</v>
      </c>
      <c r="D79" s="7" t="s">
        <v>760</v>
      </c>
      <c r="E79" s="7" t="s">
        <v>761</v>
      </c>
      <c r="F79" s="7" t="s">
        <v>747</v>
      </c>
      <c r="G79" s="7" t="s">
        <v>225</v>
      </c>
      <c r="H79" s="7" t="s">
        <v>310</v>
      </c>
      <c r="I79" s="7" t="s">
        <v>762</v>
      </c>
      <c r="J79" s="7" t="s">
        <v>763</v>
      </c>
      <c r="K79" s="7" t="s">
        <v>764</v>
      </c>
      <c r="L79" s="7" t="s">
        <v>298</v>
      </c>
      <c r="M79" s="7" t="s">
        <v>196</v>
      </c>
      <c r="N79" s="8" t="s">
        <v>153</v>
      </c>
      <c r="O79" s="7" t="s">
        <v>107</v>
      </c>
      <c r="P79" s="9" t="s">
        <v>89</v>
      </c>
    </row>
    <row r="80" spans="1:16" x14ac:dyDescent="0.25">
      <c r="A80" s="2" t="s">
        <v>299</v>
      </c>
      <c r="B80" s="3">
        <v>30</v>
      </c>
      <c r="C80" s="3" t="s">
        <v>765</v>
      </c>
      <c r="D80" s="3" t="s">
        <v>766</v>
      </c>
      <c r="E80" s="3" t="s">
        <v>767</v>
      </c>
      <c r="F80" s="3" t="s">
        <v>486</v>
      </c>
      <c r="G80" s="3" t="s">
        <v>768</v>
      </c>
      <c r="H80" s="3" t="s">
        <v>222</v>
      </c>
      <c r="I80" s="3" t="s">
        <v>769</v>
      </c>
      <c r="J80" s="3" t="s">
        <v>770</v>
      </c>
      <c r="K80" s="3" t="s">
        <v>771</v>
      </c>
      <c r="L80" s="3" t="s">
        <v>175</v>
      </c>
      <c r="M80" s="3" t="s">
        <v>166</v>
      </c>
      <c r="N80" s="4" t="s">
        <v>181</v>
      </c>
      <c r="O80" s="3" t="s">
        <v>64</v>
      </c>
      <c r="P80" s="5" t="s">
        <v>130</v>
      </c>
    </row>
    <row r="81" spans="1:16" x14ac:dyDescent="0.25">
      <c r="A81" s="6" t="s">
        <v>300</v>
      </c>
      <c r="B81" s="7">
        <v>8</v>
      </c>
      <c r="C81" s="7" t="s">
        <v>94</v>
      </c>
      <c r="D81" s="7" t="s">
        <v>772</v>
      </c>
      <c r="E81" s="7" t="s">
        <v>773</v>
      </c>
      <c r="F81" s="7" t="s">
        <v>131</v>
      </c>
      <c r="G81" s="7" t="s">
        <v>774</v>
      </c>
      <c r="H81" s="7" t="s">
        <v>67</v>
      </c>
      <c r="I81" s="7" t="s">
        <v>762</v>
      </c>
      <c r="J81" s="7" t="s">
        <v>775</v>
      </c>
      <c r="K81" s="7" t="s">
        <v>776</v>
      </c>
      <c r="L81" s="7" t="s">
        <v>67</v>
      </c>
      <c r="M81" s="7" t="s">
        <v>301</v>
      </c>
      <c r="N81" s="8" t="s">
        <v>219</v>
      </c>
      <c r="O81" s="7" t="s">
        <v>87</v>
      </c>
      <c r="P81" s="9" t="s">
        <v>69</v>
      </c>
    </row>
    <row r="82" spans="1:16" x14ac:dyDescent="0.25">
      <c r="A82" s="2" t="s">
        <v>302</v>
      </c>
      <c r="B82" s="3">
        <v>13</v>
      </c>
      <c r="C82" s="3" t="s">
        <v>192</v>
      </c>
      <c r="D82" s="3" t="s">
        <v>777</v>
      </c>
      <c r="E82" s="3" t="s">
        <v>778</v>
      </c>
      <c r="F82" s="3" t="s">
        <v>196</v>
      </c>
      <c r="G82" s="3" t="s">
        <v>779</v>
      </c>
      <c r="H82" s="3" t="s">
        <v>165</v>
      </c>
      <c r="I82" s="3" t="s">
        <v>780</v>
      </c>
      <c r="J82" s="3" t="s">
        <v>781</v>
      </c>
      <c r="K82" s="3" t="s">
        <v>782</v>
      </c>
      <c r="L82" s="3" t="s">
        <v>219</v>
      </c>
      <c r="M82" s="3" t="s">
        <v>93</v>
      </c>
      <c r="N82" s="4" t="s">
        <v>169</v>
      </c>
      <c r="O82" s="3" t="s">
        <v>141</v>
      </c>
      <c r="P82" s="5" t="s">
        <v>145</v>
      </c>
    </row>
    <row r="83" spans="1:16" x14ac:dyDescent="0.25">
      <c r="A83" s="6" t="s">
        <v>303</v>
      </c>
      <c r="B83" s="7">
        <v>91</v>
      </c>
      <c r="C83" s="7" t="s">
        <v>173</v>
      </c>
      <c r="D83" s="7" t="s">
        <v>236</v>
      </c>
      <c r="E83" s="7" t="s">
        <v>783</v>
      </c>
      <c r="F83" s="7" t="s">
        <v>249</v>
      </c>
      <c r="G83" s="7" t="s">
        <v>784</v>
      </c>
      <c r="H83" s="7" t="s">
        <v>173</v>
      </c>
      <c r="I83" s="7" t="s">
        <v>785</v>
      </c>
      <c r="J83" s="7" t="s">
        <v>786</v>
      </c>
      <c r="K83" s="7" t="s">
        <v>787</v>
      </c>
      <c r="L83" s="7" t="s">
        <v>305</v>
      </c>
      <c r="M83" s="7" t="s">
        <v>165</v>
      </c>
      <c r="N83" s="8" t="s">
        <v>153</v>
      </c>
      <c r="O83" s="7" t="s">
        <v>108</v>
      </c>
      <c r="P83" s="9" t="s">
        <v>128</v>
      </c>
    </row>
    <row r="84" spans="1:16" x14ac:dyDescent="0.25">
      <c r="A84" s="15" t="s">
        <v>306</v>
      </c>
      <c r="B84" s="3">
        <v>33</v>
      </c>
      <c r="C84" s="14" t="s">
        <v>788</v>
      </c>
      <c r="D84" s="3" t="s">
        <v>375</v>
      </c>
      <c r="E84" s="3" t="s">
        <v>467</v>
      </c>
      <c r="F84" s="3" t="s">
        <v>275</v>
      </c>
      <c r="G84" s="3" t="s">
        <v>789</v>
      </c>
      <c r="H84" s="3" t="s">
        <v>282</v>
      </c>
      <c r="I84" s="3" t="s">
        <v>790</v>
      </c>
      <c r="J84" s="3" t="s">
        <v>791</v>
      </c>
      <c r="K84" s="3" t="s">
        <v>792</v>
      </c>
      <c r="L84" s="3" t="s">
        <v>184</v>
      </c>
      <c r="M84" s="3" t="s">
        <v>155</v>
      </c>
      <c r="N84" s="4" t="s">
        <v>82</v>
      </c>
      <c r="O84" s="3" t="s">
        <v>169</v>
      </c>
      <c r="P84" s="5" t="s">
        <v>141</v>
      </c>
    </row>
    <row r="85" spans="1:16" x14ac:dyDescent="0.25">
      <c r="A85" s="6" t="s">
        <v>307</v>
      </c>
      <c r="B85" s="7">
        <v>390</v>
      </c>
      <c r="C85" s="7" t="s">
        <v>247</v>
      </c>
      <c r="D85" s="7" t="s">
        <v>389</v>
      </c>
      <c r="E85" s="7" t="s">
        <v>793</v>
      </c>
      <c r="F85" s="7" t="s">
        <v>275</v>
      </c>
      <c r="G85" s="7" t="s">
        <v>794</v>
      </c>
      <c r="H85" s="7" t="s">
        <v>210</v>
      </c>
      <c r="I85" s="7" t="s">
        <v>795</v>
      </c>
      <c r="J85" s="7" t="s">
        <v>796</v>
      </c>
      <c r="K85" s="7" t="s">
        <v>797</v>
      </c>
      <c r="L85" s="7" t="s">
        <v>151</v>
      </c>
      <c r="M85" s="7" t="s">
        <v>170</v>
      </c>
      <c r="N85" s="8" t="s">
        <v>71</v>
      </c>
      <c r="O85" s="7" t="s">
        <v>113</v>
      </c>
      <c r="P85" s="9" t="s">
        <v>170</v>
      </c>
    </row>
    <row r="86" spans="1:16" x14ac:dyDescent="0.25">
      <c r="A86" s="2" t="s">
        <v>308</v>
      </c>
      <c r="B86" s="3">
        <v>28</v>
      </c>
      <c r="C86" s="3" t="s">
        <v>64</v>
      </c>
      <c r="D86" s="3" t="s">
        <v>798</v>
      </c>
      <c r="E86" s="3" t="s">
        <v>799</v>
      </c>
      <c r="F86" s="3" t="s">
        <v>75</v>
      </c>
      <c r="G86" s="3" t="s">
        <v>800</v>
      </c>
      <c r="H86" s="3" t="s">
        <v>108</v>
      </c>
      <c r="I86" s="3" t="s">
        <v>801</v>
      </c>
      <c r="J86" s="3" t="s">
        <v>802</v>
      </c>
      <c r="K86" s="3" t="s">
        <v>803</v>
      </c>
      <c r="L86" s="3" t="s">
        <v>165</v>
      </c>
      <c r="M86" s="3" t="s">
        <v>165</v>
      </c>
      <c r="N86" s="4" t="s">
        <v>67</v>
      </c>
      <c r="O86" s="3" t="s">
        <v>169</v>
      </c>
      <c r="P86" s="5" t="s">
        <v>75</v>
      </c>
    </row>
    <row r="87" spans="1:16" x14ac:dyDescent="0.25">
      <c r="A87" s="6" t="s">
        <v>311</v>
      </c>
      <c r="B87" s="7">
        <v>16</v>
      </c>
      <c r="C87" s="7" t="s">
        <v>111</v>
      </c>
      <c r="D87" s="7" t="s">
        <v>804</v>
      </c>
      <c r="E87" s="7" t="s">
        <v>286</v>
      </c>
      <c r="F87" s="7" t="s">
        <v>227</v>
      </c>
      <c r="G87" s="7" t="s">
        <v>194</v>
      </c>
      <c r="H87" s="7" t="s">
        <v>103</v>
      </c>
      <c r="I87" s="7" t="s">
        <v>805</v>
      </c>
      <c r="J87" s="7" t="s">
        <v>806</v>
      </c>
      <c r="K87" s="7" t="s">
        <v>807</v>
      </c>
      <c r="L87" s="7" t="s">
        <v>103</v>
      </c>
      <c r="M87" s="7" t="s">
        <v>312</v>
      </c>
      <c r="N87" s="8" t="s">
        <v>121</v>
      </c>
      <c r="O87" s="7" t="s">
        <v>85</v>
      </c>
      <c r="P87" s="9" t="s">
        <v>207</v>
      </c>
    </row>
    <row r="88" spans="1:16" x14ac:dyDescent="0.25">
      <c r="A88" s="2" t="s">
        <v>313</v>
      </c>
      <c r="B88" s="3">
        <v>79</v>
      </c>
      <c r="C88" s="3" t="s">
        <v>89</v>
      </c>
      <c r="D88" s="3" t="s">
        <v>808</v>
      </c>
      <c r="E88" s="3" t="s">
        <v>809</v>
      </c>
      <c r="F88" s="3" t="s">
        <v>97</v>
      </c>
      <c r="G88" s="3" t="s">
        <v>810</v>
      </c>
      <c r="H88" s="3" t="s">
        <v>183</v>
      </c>
      <c r="I88" s="3" t="s">
        <v>811</v>
      </c>
      <c r="J88" s="3" t="s">
        <v>812</v>
      </c>
      <c r="K88" s="3" t="s">
        <v>813</v>
      </c>
      <c r="L88" s="3" t="s">
        <v>99</v>
      </c>
      <c r="M88" s="3" t="s">
        <v>86</v>
      </c>
      <c r="N88" s="4" t="s">
        <v>93</v>
      </c>
      <c r="O88" s="3" t="s">
        <v>163</v>
      </c>
      <c r="P88" s="5" t="s">
        <v>169</v>
      </c>
    </row>
    <row r="89" spans="1:16" x14ac:dyDescent="0.25">
      <c r="A89" s="6" t="s">
        <v>315</v>
      </c>
      <c r="B89" s="7">
        <v>49</v>
      </c>
      <c r="C89" s="7" t="s">
        <v>152</v>
      </c>
      <c r="D89" s="7" t="s">
        <v>814</v>
      </c>
      <c r="E89" s="7" t="s">
        <v>272</v>
      </c>
      <c r="F89" s="7" t="s">
        <v>277</v>
      </c>
      <c r="G89" s="7" t="s">
        <v>815</v>
      </c>
      <c r="H89" s="7" t="s">
        <v>277</v>
      </c>
      <c r="I89" s="7" t="s">
        <v>180</v>
      </c>
      <c r="J89" s="7" t="s">
        <v>816</v>
      </c>
      <c r="K89" s="7" t="s">
        <v>817</v>
      </c>
      <c r="L89" s="7" t="s">
        <v>219</v>
      </c>
      <c r="M89" s="7" t="s">
        <v>84</v>
      </c>
      <c r="N89" s="8" t="s">
        <v>267</v>
      </c>
      <c r="O89" s="7" t="s">
        <v>134</v>
      </c>
      <c r="P89" s="9" t="s">
        <v>118</v>
      </c>
    </row>
    <row r="90" spans="1:16" x14ac:dyDescent="0.25">
      <c r="A90" s="2" t="s">
        <v>316</v>
      </c>
      <c r="B90" s="3">
        <v>15</v>
      </c>
      <c r="C90" s="3" t="s">
        <v>818</v>
      </c>
      <c r="D90" s="3" t="s">
        <v>819</v>
      </c>
      <c r="E90" s="3" t="s">
        <v>420</v>
      </c>
      <c r="F90" s="3" t="s">
        <v>222</v>
      </c>
      <c r="G90" s="3" t="s">
        <v>820</v>
      </c>
      <c r="H90" s="3" t="s">
        <v>821</v>
      </c>
      <c r="I90" s="3" t="s">
        <v>822</v>
      </c>
      <c r="J90" s="3" t="s">
        <v>823</v>
      </c>
      <c r="K90" s="3" t="s">
        <v>824</v>
      </c>
      <c r="L90" s="3" t="s">
        <v>97</v>
      </c>
      <c r="M90" s="3" t="s">
        <v>174</v>
      </c>
      <c r="N90" s="4" t="s">
        <v>207</v>
      </c>
      <c r="O90" s="3" t="s">
        <v>189</v>
      </c>
      <c r="P90" s="5" t="s">
        <v>170</v>
      </c>
    </row>
    <row r="91" spans="1:16" x14ac:dyDescent="0.25">
      <c r="A91" s="6" t="s">
        <v>317</v>
      </c>
      <c r="B91" s="7">
        <v>18</v>
      </c>
      <c r="C91" s="7" t="s">
        <v>163</v>
      </c>
      <c r="D91" s="7" t="s">
        <v>825</v>
      </c>
      <c r="E91" s="7" t="s">
        <v>320</v>
      </c>
      <c r="F91" s="7" t="s">
        <v>68</v>
      </c>
      <c r="G91" s="7" t="s">
        <v>826</v>
      </c>
      <c r="H91" s="7" t="s">
        <v>109</v>
      </c>
      <c r="I91" s="7" t="s">
        <v>827</v>
      </c>
      <c r="J91" s="7" t="s">
        <v>828</v>
      </c>
      <c r="K91" s="7" t="s">
        <v>829</v>
      </c>
      <c r="L91" s="7" t="s">
        <v>95</v>
      </c>
      <c r="M91" s="7" t="s">
        <v>153</v>
      </c>
      <c r="N91" s="8" t="s">
        <v>213</v>
      </c>
      <c r="O91" s="7" t="s">
        <v>126</v>
      </c>
      <c r="P91" s="9" t="s">
        <v>189</v>
      </c>
    </row>
    <row r="92" spans="1:16" x14ac:dyDescent="0.25">
      <c r="A92" s="2" t="s">
        <v>319</v>
      </c>
      <c r="B92" s="3">
        <v>4</v>
      </c>
      <c r="C92" s="3" t="s">
        <v>75</v>
      </c>
      <c r="D92" s="3" t="s">
        <v>830</v>
      </c>
      <c r="E92" s="3" t="s">
        <v>831</v>
      </c>
      <c r="F92" s="3" t="s">
        <v>109</v>
      </c>
      <c r="G92" s="3" t="s">
        <v>415</v>
      </c>
      <c r="H92" s="3" t="s">
        <v>69</v>
      </c>
      <c r="I92" s="3" t="s">
        <v>832</v>
      </c>
      <c r="J92" s="3" t="s">
        <v>833</v>
      </c>
      <c r="K92" s="3" t="s">
        <v>834</v>
      </c>
      <c r="L92" s="3" t="s">
        <v>321</v>
      </c>
      <c r="M92" s="3" t="s">
        <v>322</v>
      </c>
      <c r="N92" s="4" t="s">
        <v>219</v>
      </c>
      <c r="O92" s="3" t="s">
        <v>133</v>
      </c>
      <c r="P92" s="5" t="s">
        <v>298</v>
      </c>
    </row>
    <row r="93" spans="1:16" x14ac:dyDescent="0.25">
      <c r="A93" s="6" t="s">
        <v>323</v>
      </c>
      <c r="B93" s="7">
        <v>35</v>
      </c>
      <c r="C93" s="7" t="s">
        <v>788</v>
      </c>
      <c r="D93" s="7" t="s">
        <v>835</v>
      </c>
      <c r="E93" s="7" t="s">
        <v>836</v>
      </c>
      <c r="F93" s="7" t="s">
        <v>151</v>
      </c>
      <c r="G93" s="7" t="s">
        <v>837</v>
      </c>
      <c r="H93" s="7" t="s">
        <v>89</v>
      </c>
      <c r="I93" s="7" t="s">
        <v>838</v>
      </c>
      <c r="J93" s="7" t="s">
        <v>143</v>
      </c>
      <c r="K93" s="7" t="s">
        <v>839</v>
      </c>
      <c r="L93" s="7" t="s">
        <v>103</v>
      </c>
      <c r="M93" s="7" t="s">
        <v>80</v>
      </c>
      <c r="N93" s="8" t="s">
        <v>94</v>
      </c>
      <c r="O93" s="7" t="s">
        <v>73</v>
      </c>
      <c r="P93" s="9" t="s">
        <v>80</v>
      </c>
    </row>
    <row r="94" spans="1:16" x14ac:dyDescent="0.25">
      <c r="A94" s="2" t="s">
        <v>324</v>
      </c>
      <c r="B94" s="3">
        <v>15</v>
      </c>
      <c r="C94" s="3" t="s">
        <v>200</v>
      </c>
      <c r="D94" s="3" t="s">
        <v>840</v>
      </c>
      <c r="E94" s="3" t="s">
        <v>841</v>
      </c>
      <c r="F94" s="3" t="s">
        <v>261</v>
      </c>
      <c r="G94" s="3" t="s">
        <v>842</v>
      </c>
      <c r="H94" s="3" t="s">
        <v>261</v>
      </c>
      <c r="I94" s="3" t="s">
        <v>843</v>
      </c>
      <c r="J94" s="3" t="s">
        <v>844</v>
      </c>
      <c r="K94" s="3" t="s">
        <v>389</v>
      </c>
      <c r="L94" s="3" t="s">
        <v>325</v>
      </c>
      <c r="M94" s="3" t="s">
        <v>326</v>
      </c>
      <c r="N94" s="4" t="s">
        <v>327</v>
      </c>
      <c r="O94" s="3" t="s">
        <v>312</v>
      </c>
      <c r="P94" s="5" t="s">
        <v>845</v>
      </c>
    </row>
    <row r="95" spans="1:16" x14ac:dyDescent="0.25">
      <c r="A95" s="6" t="s">
        <v>328</v>
      </c>
      <c r="B95" s="7">
        <v>16</v>
      </c>
      <c r="C95" s="7" t="s">
        <v>170</v>
      </c>
      <c r="D95" s="7" t="s">
        <v>846</v>
      </c>
      <c r="E95" s="7" t="s">
        <v>847</v>
      </c>
      <c r="F95" s="7" t="s">
        <v>68</v>
      </c>
      <c r="G95" s="7" t="s">
        <v>848</v>
      </c>
      <c r="H95" s="7" t="s">
        <v>68</v>
      </c>
      <c r="I95" s="7" t="s">
        <v>849</v>
      </c>
      <c r="J95" s="7" t="s">
        <v>850</v>
      </c>
      <c r="K95" s="7" t="s">
        <v>144</v>
      </c>
      <c r="L95" s="7" t="s">
        <v>116</v>
      </c>
      <c r="M95" s="7" t="s">
        <v>139</v>
      </c>
      <c r="N95" s="8" t="s">
        <v>139</v>
      </c>
      <c r="O95" s="7" t="s">
        <v>207</v>
      </c>
      <c r="P95" s="9" t="s">
        <v>100</v>
      </c>
    </row>
    <row r="96" spans="1:16" x14ac:dyDescent="0.25">
      <c r="A96" s="2" t="s">
        <v>330</v>
      </c>
      <c r="B96" s="3">
        <v>7165</v>
      </c>
      <c r="C96" s="3" t="s">
        <v>151</v>
      </c>
      <c r="D96" s="3" t="s">
        <v>851</v>
      </c>
      <c r="E96" s="3" t="s">
        <v>852</v>
      </c>
      <c r="F96" s="3" t="s">
        <v>93</v>
      </c>
      <c r="G96" s="3" t="s">
        <v>187</v>
      </c>
      <c r="H96" s="3" t="s">
        <v>152</v>
      </c>
      <c r="I96" s="3" t="s">
        <v>853</v>
      </c>
      <c r="J96" s="3" t="s">
        <v>850</v>
      </c>
      <c r="K96" s="3" t="s">
        <v>854</v>
      </c>
      <c r="L96" s="10" t="s">
        <v>87</v>
      </c>
      <c r="M96" s="10" t="s">
        <v>93</v>
      </c>
      <c r="N96" s="4" t="s">
        <v>82</v>
      </c>
      <c r="O96" s="3" t="s">
        <v>79</v>
      </c>
      <c r="P96" s="5" t="s">
        <v>86</v>
      </c>
    </row>
    <row r="97" spans="1:16" x14ac:dyDescent="0.25">
      <c r="A97" s="6" t="s">
        <v>331</v>
      </c>
      <c r="B97" s="7">
        <v>5649</v>
      </c>
      <c r="C97" s="7" t="s">
        <v>165</v>
      </c>
      <c r="D97" s="7" t="s">
        <v>855</v>
      </c>
      <c r="E97" s="7" t="s">
        <v>856</v>
      </c>
      <c r="F97" s="7" t="s">
        <v>78</v>
      </c>
      <c r="G97" s="7" t="s">
        <v>857</v>
      </c>
      <c r="H97" s="7" t="s">
        <v>113</v>
      </c>
      <c r="I97" s="7" t="s">
        <v>858</v>
      </c>
      <c r="J97" s="7" t="s">
        <v>859</v>
      </c>
      <c r="K97" s="7" t="s">
        <v>860</v>
      </c>
      <c r="L97" s="11" t="s">
        <v>90</v>
      </c>
      <c r="M97" s="11" t="s">
        <v>145</v>
      </c>
      <c r="N97" s="16" t="s">
        <v>189</v>
      </c>
      <c r="O97" s="7" t="s">
        <v>80</v>
      </c>
      <c r="P97" s="17" t="s">
        <v>145</v>
      </c>
    </row>
    <row r="98" spans="1:16" x14ac:dyDescent="0.25">
      <c r="A98" t="s">
        <v>861</v>
      </c>
    </row>
    <row r="99" spans="1:16" ht="18.75" x14ac:dyDescent="0.25">
      <c r="A99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0DEE-CD7C-0149-A804-B5093ADF9DAA}">
  <dimension ref="A1:D12"/>
  <sheetViews>
    <sheetView showGridLines="0" workbookViewId="0">
      <selection sqref="A1:B4"/>
    </sheetView>
  </sheetViews>
  <sheetFormatPr defaultColWidth="11" defaultRowHeight="15" x14ac:dyDescent="0.2"/>
  <cols>
    <col min="1" max="1" width="29.25" style="19" bestFit="1" customWidth="1"/>
    <col min="2" max="2" width="8.375" style="19" bestFit="1" customWidth="1"/>
    <col min="3" max="16384" width="11" style="19"/>
  </cols>
  <sheetData>
    <row r="1" spans="1:4" x14ac:dyDescent="0.2">
      <c r="A1" s="73" t="s">
        <v>898</v>
      </c>
      <c r="B1" s="73"/>
    </row>
    <row r="2" spans="1:4" x14ac:dyDescent="0.2">
      <c r="A2" s="73"/>
      <c r="B2" s="73"/>
    </row>
    <row r="3" spans="1:4" x14ac:dyDescent="0.2">
      <c r="A3" s="73"/>
      <c r="B3" s="73"/>
    </row>
    <row r="4" spans="1:4" x14ac:dyDescent="0.2">
      <c r="A4" s="73"/>
      <c r="B4" s="73"/>
    </row>
    <row r="5" spans="1:4" ht="15.75" x14ac:dyDescent="0.25">
      <c r="A5" s="76" t="s">
        <v>25</v>
      </c>
      <c r="B5" s="77"/>
    </row>
    <row r="6" spans="1:4" x14ac:dyDescent="0.2">
      <c r="A6" s="39" t="s">
        <v>903</v>
      </c>
      <c r="B6" s="45">
        <v>3.4099999999999998E-2</v>
      </c>
      <c r="D6" s="46"/>
    </row>
    <row r="7" spans="1:4" x14ac:dyDescent="0.2">
      <c r="A7" s="39" t="s">
        <v>27</v>
      </c>
      <c r="B7" s="26">
        <v>1.55</v>
      </c>
    </row>
    <row r="8" spans="1:4" x14ac:dyDescent="0.2">
      <c r="A8" s="39" t="s">
        <v>28</v>
      </c>
      <c r="B8" s="47">
        <f>((1+B11)^(1/5))-1</f>
        <v>9.0235405712318029E-2</v>
      </c>
      <c r="D8" s="48"/>
    </row>
    <row r="9" spans="1:4" x14ac:dyDescent="0.2">
      <c r="A9" s="39" t="s">
        <v>29</v>
      </c>
      <c r="B9" s="50">
        <v>2656</v>
      </c>
    </row>
    <row r="10" spans="1:4" x14ac:dyDescent="0.2">
      <c r="A10" s="39" t="s">
        <v>30</v>
      </c>
      <c r="B10" s="50">
        <v>4091</v>
      </c>
    </row>
    <row r="11" spans="1:4" x14ac:dyDescent="0.2">
      <c r="A11" s="39" t="s">
        <v>902</v>
      </c>
      <c r="B11" s="47">
        <f>B10/B9-1</f>
        <v>0.54028614457831314</v>
      </c>
    </row>
    <row r="12" spans="1:4" ht="15.75" x14ac:dyDescent="0.25">
      <c r="A12" s="38" t="s">
        <v>26</v>
      </c>
      <c r="B12" s="49">
        <f>B6+(B7*(B8-B6))</f>
        <v>0.12110987885409294</v>
      </c>
      <c r="D12" s="46"/>
    </row>
  </sheetData>
  <mergeCells count="2">
    <mergeCell ref="A1:B4"/>
    <mergeCell ref="A5:B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D61-E21A-4FDB-B99E-AEC97C24D2E1}">
  <dimension ref="A1:B28"/>
  <sheetViews>
    <sheetView showGridLines="0" workbookViewId="0">
      <selection activeCell="F29" sqref="F29"/>
    </sheetView>
  </sheetViews>
  <sheetFormatPr defaultRowHeight="15" x14ac:dyDescent="0.2"/>
  <cols>
    <col min="1" max="1" width="37.5" style="19" bestFit="1" customWidth="1"/>
    <col min="2" max="2" width="17.625" style="19" bestFit="1" customWidth="1"/>
    <col min="3" max="3" width="9" style="19"/>
    <col min="4" max="4" width="4.5" style="19" bestFit="1" customWidth="1"/>
    <col min="5" max="16384" width="9" style="19"/>
  </cols>
  <sheetData>
    <row r="1" spans="1:2" x14ac:dyDescent="0.2">
      <c r="A1" s="73" t="s">
        <v>898</v>
      </c>
      <c r="B1" s="73"/>
    </row>
    <row r="2" spans="1:2" x14ac:dyDescent="0.2">
      <c r="A2" s="73"/>
      <c r="B2" s="73"/>
    </row>
    <row r="3" spans="1:2" x14ac:dyDescent="0.2">
      <c r="A3" s="73"/>
      <c r="B3" s="73"/>
    </row>
    <row r="4" spans="1:2" x14ac:dyDescent="0.2">
      <c r="A4" s="73"/>
      <c r="B4" s="73"/>
    </row>
    <row r="5" spans="1:2" ht="15.75" x14ac:dyDescent="0.25">
      <c r="A5" s="32" t="s">
        <v>31</v>
      </c>
      <c r="B5" s="32" t="s">
        <v>32</v>
      </c>
    </row>
    <row r="6" spans="1:2" ht="15.75" x14ac:dyDescent="0.25">
      <c r="A6" s="32">
        <v>2022</v>
      </c>
      <c r="B6" s="37">
        <f>'CASH FLOW'!C14</f>
        <v>19.556876436781618</v>
      </c>
    </row>
    <row r="7" spans="1:2" ht="15.75" x14ac:dyDescent="0.25">
      <c r="A7" s="32">
        <f>A6+1</f>
        <v>2023</v>
      </c>
      <c r="B7" s="37">
        <f>'CASH FLOW'!D14</f>
        <v>27.389717672413809</v>
      </c>
    </row>
    <row r="8" spans="1:2" ht="15.75" x14ac:dyDescent="0.25">
      <c r="A8" s="32">
        <f>A7+1</f>
        <v>2024</v>
      </c>
      <c r="B8" s="37">
        <f>'CASH FLOW'!E14</f>
        <v>37.994007938362095</v>
      </c>
    </row>
    <row r="9" spans="1:2" ht="15.75" x14ac:dyDescent="0.25">
      <c r="A9" s="32">
        <f>A8+1</f>
        <v>2025</v>
      </c>
      <c r="B9" s="37">
        <f>'CASH FLOW'!F14</f>
        <v>52.293232014628259</v>
      </c>
    </row>
    <row r="10" spans="1:2" ht="15.75" x14ac:dyDescent="0.25">
      <c r="A10" s="32">
        <f>A9+1</f>
        <v>2026</v>
      </c>
      <c r="B10" s="37">
        <f>'CASH FLOW'!G14</f>
        <v>71.50848178196992</v>
      </c>
    </row>
    <row r="11" spans="1:2" ht="15.75" x14ac:dyDescent="0.25">
      <c r="A11" s="32">
        <f>A10+1</f>
        <v>2027</v>
      </c>
      <c r="B11" s="37">
        <f>'CASH FLOW'!H14</f>
        <v>97.252461120894836</v>
      </c>
    </row>
    <row r="12" spans="1:2" x14ac:dyDescent="0.2">
      <c r="A12" s="20"/>
      <c r="B12" s="51"/>
    </row>
    <row r="13" spans="1:2" ht="15.75" x14ac:dyDescent="0.25">
      <c r="A13" s="52" t="s">
        <v>33</v>
      </c>
      <c r="B13" s="53">
        <f>NPV(CAPM!B12,'FUNDAMENTAL VALUE'!B6:B11)</f>
        <v>188.65551418362551</v>
      </c>
    </row>
    <row r="15" spans="1:2" ht="15.75" x14ac:dyDescent="0.25">
      <c r="A15" s="52" t="s">
        <v>34</v>
      </c>
      <c r="B15" s="54">
        <f>B11/(CAPM!B12-2%)</f>
        <v>961.8492497774173</v>
      </c>
    </row>
    <row r="17" spans="1:2" ht="15.75" x14ac:dyDescent="0.25">
      <c r="A17" s="55" t="s">
        <v>35</v>
      </c>
      <c r="B17" s="67">
        <f>SUM(B13:B15)</f>
        <v>1150.5047639610427</v>
      </c>
    </row>
    <row r="19" spans="1:2" x14ac:dyDescent="0.2">
      <c r="A19" s="52" t="s">
        <v>36</v>
      </c>
      <c r="B19" s="56">
        <f>2.8*(1+168%)/1.5</f>
        <v>5.0026666666666655</v>
      </c>
    </row>
    <row r="21" spans="1:2" ht="15.75" x14ac:dyDescent="0.25">
      <c r="A21" s="31" t="s">
        <v>333</v>
      </c>
      <c r="B21" s="57">
        <f>B17/B19</f>
        <v>229.97829770010188</v>
      </c>
    </row>
    <row r="22" spans="1:2" x14ac:dyDescent="0.2">
      <c r="A22" s="22" t="s">
        <v>905</v>
      </c>
      <c r="B22" s="58">
        <v>155</v>
      </c>
    </row>
    <row r="23" spans="1:2" x14ac:dyDescent="0.2">
      <c r="A23" s="22" t="s">
        <v>904</v>
      </c>
      <c r="B23" s="58">
        <v>177</v>
      </c>
    </row>
    <row r="24" spans="1:2" ht="15.75" x14ac:dyDescent="0.25">
      <c r="A24" s="59" t="s">
        <v>906</v>
      </c>
      <c r="B24" s="71">
        <f>B21/B22-1</f>
        <v>0.48373095290388313</v>
      </c>
    </row>
    <row r="25" spans="1:2" ht="15.75" x14ac:dyDescent="0.25">
      <c r="A25" s="59" t="s">
        <v>907</v>
      </c>
      <c r="B25" s="71">
        <f>B21/B23-1</f>
        <v>0.29931241638475647</v>
      </c>
    </row>
    <row r="26" spans="1:2" x14ac:dyDescent="0.2">
      <c r="B26" s="69"/>
    </row>
    <row r="28" spans="1:2" x14ac:dyDescent="0.2">
      <c r="B28" s="68"/>
    </row>
  </sheetData>
  <mergeCells count="1">
    <mergeCell ref="A1:B4"/>
  </mergeCells>
  <phoneticPr fontId="15" type="noConversion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DC-5BD4-4D79-844F-1C1A1FD0DDEC}">
  <dimension ref="A1:G14"/>
  <sheetViews>
    <sheetView showGridLines="0" workbookViewId="0">
      <selection activeCell="A5" sqref="A5"/>
    </sheetView>
  </sheetViews>
  <sheetFormatPr defaultColWidth="8.875" defaultRowHeight="15" x14ac:dyDescent="0.2"/>
  <cols>
    <col min="1" max="1" width="19.875" style="19" bestFit="1" customWidth="1"/>
    <col min="2" max="2" width="25.875" style="19" bestFit="1" customWidth="1"/>
    <col min="3" max="3" width="10.625" style="19" bestFit="1" customWidth="1"/>
    <col min="4" max="4" width="18.625" style="19" bestFit="1" customWidth="1"/>
    <col min="5" max="5" width="38.5" style="19" bestFit="1" customWidth="1"/>
    <col min="6" max="6" width="8.875" style="19" bestFit="1" customWidth="1"/>
    <col min="7" max="7" width="12.625" style="19" bestFit="1" customWidth="1"/>
    <col min="8" max="16384" width="8.875" style="19"/>
  </cols>
  <sheetData>
    <row r="1" spans="1:7" x14ac:dyDescent="0.2">
      <c r="A1" s="73" t="s">
        <v>910</v>
      </c>
      <c r="B1" s="73"/>
      <c r="C1" s="73"/>
      <c r="D1" s="73"/>
      <c r="E1" s="73"/>
      <c r="F1" s="73"/>
      <c r="G1" s="73"/>
    </row>
    <row r="2" spans="1:7" x14ac:dyDescent="0.2">
      <c r="A2" s="73"/>
      <c r="B2" s="73"/>
      <c r="C2" s="73"/>
      <c r="D2" s="73"/>
      <c r="E2" s="73"/>
      <c r="F2" s="73"/>
      <c r="G2" s="73"/>
    </row>
    <row r="3" spans="1:7" x14ac:dyDescent="0.2">
      <c r="A3" s="73"/>
      <c r="B3" s="73"/>
      <c r="C3" s="73"/>
      <c r="D3" s="73"/>
      <c r="E3" s="73"/>
      <c r="F3" s="73"/>
      <c r="G3" s="73"/>
    </row>
    <row r="4" spans="1:7" x14ac:dyDescent="0.2">
      <c r="A4" s="73"/>
      <c r="B4" s="73"/>
      <c r="C4" s="73"/>
      <c r="D4" s="73"/>
      <c r="E4" s="73"/>
      <c r="F4" s="73"/>
      <c r="G4" s="73"/>
    </row>
    <row r="5" spans="1:7" ht="15.75" x14ac:dyDescent="0.2">
      <c r="A5" s="33" t="s">
        <v>862</v>
      </c>
      <c r="B5" s="33" t="s">
        <v>863</v>
      </c>
      <c r="C5" s="33" t="s">
        <v>888</v>
      </c>
      <c r="D5" s="33" t="s">
        <v>887</v>
      </c>
      <c r="E5" s="33" t="s">
        <v>864</v>
      </c>
      <c r="F5" s="33" t="s">
        <v>865</v>
      </c>
      <c r="G5" s="33" t="s">
        <v>866</v>
      </c>
    </row>
    <row r="6" spans="1:7" x14ac:dyDescent="0.2">
      <c r="A6" s="29" t="s">
        <v>867</v>
      </c>
      <c r="B6" s="29">
        <v>1</v>
      </c>
      <c r="C6" s="29" t="s">
        <v>889</v>
      </c>
      <c r="D6" s="29">
        <v>200</v>
      </c>
      <c r="E6" s="29">
        <v>125</v>
      </c>
      <c r="F6" s="29" t="s">
        <v>868</v>
      </c>
      <c r="G6" s="29" t="s">
        <v>869</v>
      </c>
    </row>
    <row r="7" spans="1:7" x14ac:dyDescent="0.2">
      <c r="A7" s="29" t="s">
        <v>870</v>
      </c>
      <c r="B7" s="29">
        <v>6</v>
      </c>
      <c r="C7" s="29" t="s">
        <v>890</v>
      </c>
      <c r="D7" s="29">
        <v>137</v>
      </c>
      <c r="E7" s="29">
        <v>102</v>
      </c>
      <c r="F7" s="29" t="s">
        <v>871</v>
      </c>
      <c r="G7" s="29" t="s">
        <v>872</v>
      </c>
    </row>
    <row r="8" spans="1:7" x14ac:dyDescent="0.2">
      <c r="A8" s="29" t="s">
        <v>873</v>
      </c>
      <c r="B8" s="29">
        <v>-2</v>
      </c>
      <c r="C8" s="29" t="s">
        <v>891</v>
      </c>
      <c r="D8" s="29">
        <v>120</v>
      </c>
      <c r="E8" s="29">
        <v>-30</v>
      </c>
      <c r="F8" s="29" t="s">
        <v>868</v>
      </c>
      <c r="G8" s="29" t="s">
        <v>874</v>
      </c>
    </row>
    <row r="9" spans="1:7" x14ac:dyDescent="0.2">
      <c r="A9" s="29" t="s">
        <v>875</v>
      </c>
      <c r="B9" s="29">
        <v>220</v>
      </c>
      <c r="C9" s="29" t="s">
        <v>892</v>
      </c>
      <c r="D9" s="29">
        <v>65</v>
      </c>
      <c r="E9" s="29" t="s">
        <v>876</v>
      </c>
      <c r="F9" s="29" t="s">
        <v>868</v>
      </c>
      <c r="G9" s="29" t="s">
        <v>877</v>
      </c>
    </row>
    <row r="10" spans="1:7" x14ac:dyDescent="0.2">
      <c r="A10" s="29" t="s">
        <v>878</v>
      </c>
      <c r="B10" s="29">
        <v>5</v>
      </c>
      <c r="C10" s="29" t="s">
        <v>893</v>
      </c>
      <c r="D10" s="29">
        <v>50</v>
      </c>
      <c r="E10" s="29">
        <v>27</v>
      </c>
      <c r="F10" s="29" t="s">
        <v>871</v>
      </c>
      <c r="G10" s="29" t="s">
        <v>874</v>
      </c>
    </row>
    <row r="11" spans="1:7" x14ac:dyDescent="0.2">
      <c r="A11" s="29" t="s">
        <v>879</v>
      </c>
      <c r="B11" s="29">
        <v>5</v>
      </c>
      <c r="C11" s="29" t="s">
        <v>894</v>
      </c>
      <c r="D11" s="29">
        <v>33</v>
      </c>
      <c r="E11" s="29">
        <v>13</v>
      </c>
      <c r="F11" s="29" t="s">
        <v>868</v>
      </c>
      <c r="G11" s="29" t="s">
        <v>874</v>
      </c>
    </row>
    <row r="12" spans="1:7" x14ac:dyDescent="0.2">
      <c r="A12" s="29" t="s">
        <v>880</v>
      </c>
      <c r="B12" s="29">
        <v>77</v>
      </c>
      <c r="C12" s="29" t="s">
        <v>895</v>
      </c>
      <c r="D12" s="29">
        <v>31</v>
      </c>
      <c r="E12" s="29">
        <v>28</v>
      </c>
      <c r="F12" s="29" t="s">
        <v>871</v>
      </c>
      <c r="G12" s="29" t="s">
        <v>881</v>
      </c>
    </row>
    <row r="13" spans="1:7" x14ac:dyDescent="0.2">
      <c r="A13" s="29" t="s">
        <v>882</v>
      </c>
      <c r="B13" s="29" t="s">
        <v>883</v>
      </c>
      <c r="C13" s="29" t="s">
        <v>896</v>
      </c>
      <c r="D13" s="29">
        <v>30</v>
      </c>
      <c r="E13" s="29" t="s">
        <v>883</v>
      </c>
      <c r="F13" s="29" t="s">
        <v>884</v>
      </c>
      <c r="G13" s="29" t="s">
        <v>869</v>
      </c>
    </row>
    <row r="14" spans="1:7" x14ac:dyDescent="0.2">
      <c r="A14" s="29" t="s">
        <v>885</v>
      </c>
      <c r="B14" s="29">
        <v>129</v>
      </c>
      <c r="C14" s="29" t="s">
        <v>897</v>
      </c>
      <c r="D14" s="29">
        <v>28</v>
      </c>
      <c r="E14" s="29">
        <v>26</v>
      </c>
      <c r="F14" s="29" t="s">
        <v>886</v>
      </c>
      <c r="G14" s="29" t="s">
        <v>874</v>
      </c>
    </row>
  </sheetData>
  <mergeCells count="1">
    <mergeCell ref="A1:G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MASTER</vt:lpstr>
      <vt:lpstr>ASSUMPTIONS</vt:lpstr>
      <vt:lpstr>INCOME STATEMENT</vt:lpstr>
      <vt:lpstr>BALANCE SHEET</vt:lpstr>
      <vt:lpstr>CASH FLOW</vt:lpstr>
      <vt:lpstr>BETA</vt:lpstr>
      <vt:lpstr>CAPM</vt:lpstr>
      <vt:lpstr>FUNDAMENTAL VALUE</vt:lpstr>
      <vt:lpstr>MARKETS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Carnelós</dc:creator>
  <cp:keywords/>
  <dc:description/>
  <cp:lastModifiedBy>ALISON CORDEIRO SOUSA</cp:lastModifiedBy>
  <cp:revision/>
  <dcterms:created xsi:type="dcterms:W3CDTF">2023-04-04T22:40:26Z</dcterms:created>
  <dcterms:modified xsi:type="dcterms:W3CDTF">2024-05-23T01:28:33Z</dcterms:modified>
  <cp:category/>
  <cp:contentStatus/>
</cp:coreProperties>
</file>