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ortfolio_Analitics\Statistic\Task_1\"/>
    </mc:Choice>
  </mc:AlternateContent>
  <xr:revisionPtr revIDLastSave="0" documentId="13_ncr:1_{649BBDBA-28C4-419A-BEF8-31378EBA6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ешение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2" l="1"/>
  <c r="G41" i="2"/>
  <c r="G40" i="2"/>
  <c r="G37" i="2"/>
  <c r="G36" i="2"/>
  <c r="G35" i="2"/>
  <c r="G34" i="2"/>
  <c r="G32" i="2"/>
  <c r="G31" i="2"/>
  <c r="E20" i="2"/>
  <c r="E13" i="2"/>
  <c r="E12" i="2"/>
  <c r="E14" i="2" s="1"/>
  <c r="E6" i="2"/>
  <c r="E5" i="2"/>
  <c r="F20" i="2" l="1"/>
  <c r="G20" i="2" s="1"/>
  <c r="E21" i="2" l="1"/>
  <c r="F21" i="2" l="1"/>
  <c r="E22" i="2" l="1"/>
  <c r="G21" i="2"/>
  <c r="E77" i="2" s="1"/>
  <c r="E74" i="2" l="1"/>
  <c r="F22" i="2"/>
  <c r="E75" i="2" l="1"/>
  <c r="E23" i="2"/>
  <c r="G22" i="2"/>
  <c r="E76" i="2" s="1"/>
  <c r="F23" i="2" l="1"/>
  <c r="E24" i="2" l="1"/>
  <c r="G23" i="2"/>
  <c r="E78" i="2" s="1"/>
  <c r="E79" i="2" s="1"/>
  <c r="G33" i="2" s="1"/>
  <c r="F24" i="2" l="1"/>
  <c r="G24" i="2"/>
  <c r="E25" i="2" l="1"/>
  <c r="F25" i="2" l="1"/>
  <c r="H20" i="2" s="1" a="1"/>
  <c r="G25" i="2"/>
  <c r="H20" i="2" l="1"/>
  <c r="H24" i="2"/>
  <c r="I24" i="2" s="1"/>
  <c r="H23" i="2"/>
  <c r="I23" i="2" s="1"/>
  <c r="H25" i="2"/>
  <c r="I25" i="2" s="1"/>
  <c r="H22" i="2"/>
  <c r="I22" i="2" s="1"/>
  <c r="H21" i="2"/>
  <c r="I21" i="2" s="1"/>
  <c r="J20" i="2" l="1"/>
  <c r="J21" i="2" s="1"/>
  <c r="J22" i="2" s="1"/>
  <c r="J23" i="2" s="1"/>
  <c r="J24" i="2" s="1"/>
  <c r="J25" i="2" s="1"/>
  <c r="I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Технолог</author>
  </authors>
  <commentList>
    <comment ref="G19" authorId="0" shapeId="0" xr:uid="{26FAE9C0-CBEA-40D4-8F11-4838F54E5748}">
      <text>
        <r>
          <rPr>
            <sz val="9"/>
            <color indexed="81"/>
            <rFont val="Tahoma"/>
            <family val="2"/>
            <charset val="204"/>
          </rPr>
          <t xml:space="preserve">Определение частоты попадания в диапазон с помощью формулы =СЧЁТЕСЛИМН( ) </t>
        </r>
      </text>
    </comment>
    <comment ref="H19" authorId="0" shapeId="0" xr:uid="{6BAED848-9F4F-42A0-AD60-6A3E02C6A062}">
      <text>
        <r>
          <rPr>
            <sz val="9"/>
            <color indexed="81"/>
            <rFont val="Tahoma"/>
            <family val="2"/>
            <charset val="204"/>
          </rPr>
          <t xml:space="preserve">Определение частоты попадания в диапазон с помощью формулы массивов {=ЧАСТОТА( )}
</t>
        </r>
      </text>
    </comment>
  </commentList>
</comments>
</file>

<file path=xl/sharedStrings.xml><?xml version="1.0" encoding="utf-8"?>
<sst xmlns="http://schemas.openxmlformats.org/spreadsheetml/2006/main" count="84" uniqueCount="82">
  <si>
    <t>Таможенный пост</t>
  </si>
  <si>
    <t>Оборот, млн. $</t>
  </si>
  <si>
    <t>1. Определяем количество групп, используя одну из формул Стёрджеса</t>
  </si>
  <si>
    <t>k = 1 + 3,322 * logN или k = 1 + 1,44 * lnN</t>
  </si>
  <si>
    <t>N =</t>
  </si>
  <si>
    <t xml:space="preserve">- количество наблюдений </t>
  </si>
  <si>
    <t>k=</t>
  </si>
  <si>
    <t>2. Определим длину интервалов</t>
  </si>
  <si>
    <t>h = (Хmax - Xmin)/k</t>
  </si>
  <si>
    <t xml:space="preserve">Хmax = </t>
  </si>
  <si>
    <t xml:space="preserve">Xmin = </t>
  </si>
  <si>
    <t xml:space="preserve">h = </t>
  </si>
  <si>
    <t xml:space="preserve">3. Пасторим диапазоны </t>
  </si>
  <si>
    <t>Данные получены с помощью</t>
  </si>
  <si>
    <t>пакета "Анализ данных":</t>
  </si>
  <si>
    <t>k</t>
  </si>
  <si>
    <t xml:space="preserve">От </t>
  </si>
  <si>
    <t xml:space="preserve">До </t>
  </si>
  <si>
    <t>Частота f</t>
  </si>
  <si>
    <t>Распределение выборочных частот</t>
  </si>
  <si>
    <t>Накопленные частоты</t>
  </si>
  <si>
    <t>Карман</t>
  </si>
  <si>
    <t>Частота</t>
  </si>
  <si>
    <t>Интегральный %</t>
  </si>
  <si>
    <t>24,16 -38,66</t>
  </si>
  <si>
    <t>38,66 - 53,16</t>
  </si>
  <si>
    <t>53,16 - 67,66</t>
  </si>
  <si>
    <t>67,66 - 82,16</t>
  </si>
  <si>
    <t>82,16 - 96,66</t>
  </si>
  <si>
    <t>96,6 - 111,16</t>
  </si>
  <si>
    <t>Описательные статистики:</t>
  </si>
  <si>
    <t>Показатели положения:</t>
  </si>
  <si>
    <t xml:space="preserve">1. Средняя арифметическая = </t>
  </si>
  <si>
    <t>=СРЗНАЧ($B$3:$B$37)</t>
  </si>
  <si>
    <t>2. Медиана =</t>
  </si>
  <si>
    <t>=МЕДИАНА($B$3:$B$37)</t>
  </si>
  <si>
    <t xml:space="preserve">3. Мода = </t>
  </si>
  <si>
    <r>
      <t>4. Нижний квартиль Q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= </t>
    </r>
  </si>
  <si>
    <t>=КВАРТИЛЬ.ВКЛ($B$3:$B$37;1)</t>
  </si>
  <si>
    <r>
      <t>5. Средний квартил Q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</si>
  <si>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t>=КВАРТИЛЬ.ВКЛ($B$3:$B$37;2)</t>
  </si>
  <si>
    <r>
      <t>6. Верхний квартиль Q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</si>
  <si>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t>=КВАРТИЛЬ.ВКЛ($B$3:$B$37;3)</t>
  </si>
  <si>
    <t xml:space="preserve">7. Процентиль (1/3) = </t>
  </si>
  <si>
    <t>=ПРОЦЕНТИЛЬ.ВКЛ($B$3:$B$37;1/3)</t>
  </si>
  <si>
    <t>Показатели разброса данных:</t>
  </si>
  <si>
    <r>
      <t>1. Дисперсия выборки S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</t>
    </r>
  </si>
  <si>
    <t>=ДИСП.В($B$3:$B$37)</t>
  </si>
  <si>
    <t>2. Стандартное отклонение</t>
  </si>
  <si>
    <t>=СТАНДОТКЛОН.В($B$3:$B$37)</t>
  </si>
  <si>
    <t>3. Размах</t>
  </si>
  <si>
    <t>=МАКС($B$3:$B$37)-МИН($B$3:$B$37)</t>
  </si>
  <si>
    <t>Описательные статистики можно вывести с помощью надстройки "Анализ данных":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</si>
  <si>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</si>
  <si>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</si>
  <si>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</si>
  <si>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</si>
  <si>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</si>
  <si>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</si>
  <si>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</si>
  <si>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</si>
  <si>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</si>
  <si>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</si>
  <si>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</si>
  <si>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</si>
  <si>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</si>
  <si>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</si>
  <si>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 xml:space="preserve">Модой наших значений будет интервал от 53,16 до 67,66 так как </t>
  </si>
  <si>
    <t>именно этот интервал с наиболее высокой частотой наблюдения</t>
  </si>
  <si>
    <t>Моду данного интервала можно рассчитать по формуле:</t>
  </si>
  <si>
    <t>Xmin =</t>
  </si>
  <si>
    <t xml:space="preserve">минимальное значение интервала </t>
  </si>
  <si>
    <t>d =</t>
  </si>
  <si>
    <t>ширина медианного интервала Xmax - Xmin</t>
  </si>
  <si>
    <r>
      <t>f</t>
    </r>
    <r>
      <rPr>
        <vertAlign val="subscript"/>
        <sz val="12"/>
        <color theme="1"/>
        <rFont val="Calibri"/>
        <family val="2"/>
        <scheme val="minor"/>
      </rPr>
      <t>Mo</t>
    </r>
    <r>
      <rPr>
        <sz val="12"/>
        <color theme="1"/>
        <rFont val="Calibri"/>
        <family val="2"/>
        <scheme val="minor"/>
      </rPr>
      <t xml:space="preserve"> = </t>
    </r>
  </si>
  <si>
    <t>частота модального диапазона</t>
  </si>
  <si>
    <r>
      <t>f</t>
    </r>
    <r>
      <rPr>
        <vertAlign val="subscript"/>
        <sz val="12"/>
        <color theme="1"/>
        <rFont val="Calibri"/>
        <family val="2"/>
        <scheme val="minor"/>
      </rPr>
      <t>Mo-1</t>
    </r>
    <r>
      <rPr>
        <sz val="12"/>
        <color theme="1"/>
        <rFont val="Calibri"/>
        <family val="2"/>
        <scheme val="minor"/>
      </rPr>
      <t xml:space="preserve"> = </t>
    </r>
  </si>
  <si>
    <t>частота предмодального диапазона</t>
  </si>
  <si>
    <r>
      <t>f</t>
    </r>
    <r>
      <rPr>
        <vertAlign val="subscript"/>
        <sz val="12"/>
        <color theme="1"/>
        <rFont val="Calibri"/>
        <family val="2"/>
        <scheme val="minor"/>
      </rPr>
      <t>Mo + 1</t>
    </r>
    <r>
      <rPr>
        <sz val="12"/>
        <color theme="1"/>
        <rFont val="Calibri"/>
        <family val="2"/>
        <scheme val="minor"/>
      </rPr>
      <t xml:space="preserve"> = </t>
    </r>
  </si>
  <si>
    <t>частота постмодального диапазона</t>
  </si>
  <si>
    <t xml:space="preserve">Mo = </t>
  </si>
  <si>
    <t xml:space="preserve">Мода нашего модального диапазона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</si>
</sst>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8" tint="-0.249977111117893"/>
      <name val="Calibri"/>
      <family val="2"/>
      <scheme val="minor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4" fillId="0" borderId="1" xfId="2" applyFont="1" applyBorder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2" xfId="0" applyFont="1" applyBorder="1"/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1" applyNumberFormat="1" applyFont="1"/>
    <xf numFmtId="1" fontId="4" fillId="0" borderId="0" xfId="1" applyNumberFormat="1" applyFont="1" applyBorder="1"/>
    <xf numFmtId="10" fontId="4" fillId="0" borderId="0" xfId="0" applyNumberFormat="1" applyFont="1"/>
    <xf numFmtId="0" fontId="4" fillId="0" borderId="2" xfId="0" applyFont="1" applyBorder="1" applyAlignment="1">
      <alignment horizontal="center"/>
    </xf>
    <xf numFmtId="10" fontId="4" fillId="0" borderId="2" xfId="1" applyNumberFormat="1" applyFont="1" applyBorder="1"/>
    <xf numFmtId="1" fontId="4" fillId="0" borderId="2" xfId="1" applyNumberFormat="1" applyFont="1" applyBorder="1"/>
    <xf numFmtId="10" fontId="4" fillId="0" borderId="2" xfId="0" applyNumberFormat="1" applyFont="1" applyBorder="1"/>
    <xf numFmtId="0" fontId="6" fillId="0" borderId="0" xfId="0" applyFont="1"/>
    <xf numFmtId="0" fontId="3" fillId="0" borderId="3" xfId="0" applyFont="1" applyBorder="1"/>
    <xf numFmtId="0" fontId="4" fillId="0" borderId="3" xfId="0" applyFont="1" applyBorder="1"/>
    <xf numFmtId="0" fontId="0" fillId="0" borderId="0" xfId="0" quotePrefix="1"/>
    <xf numFmtId="0" fontId="4" fillId="0" borderId="0" xfId="2" applyFont="1"/>
    <xf numFmtId="2" fontId="4" fillId="0" borderId="0" xfId="0" applyNumberFormat="1" applyFont="1"/>
    <xf numFmtId="1" fontId="4" fillId="0" borderId="0" xfId="0" applyNumberFormat="1" applyFont="1"/>
    <xf numFmtId="0" fontId="4" fillId="0" borderId="0" xfId="0" quotePrefix="1" applyFont="1"/>
    <xf numFmtId="0" fontId="3" fillId="0" borderId="2" xfId="0" applyFont="1" applyBorder="1"/>
    <xf numFmtId="0" fontId="5" fillId="0" borderId="3" xfId="0" applyFont="1" applyBorder="1" applyAlignment="1">
      <alignment horizontal="centerContinuous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</cellXfs>
  <cellStyles count="3">
    <cellStyle name="Обычный" xfId="0" builtinId="0"/>
    <cellStyle name="Обычный 2" xfId="2" xr:uid="{888C932A-97E8-4B6A-9E13-5E8A05A45791}"/>
    <cellStyle name="Процентный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Количество таможенных постов по группам</a:t>
            </a:r>
          </a:p>
        </c:rich>
      </c:tx>
      <c:layout>
        <c:manualLayout>
          <c:xMode val="edge"/>
          <c:yMode val="edge"/>
          <c:x val="0.21853568152823299"/>
          <c:y val="0.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Кол-во постов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Решение!$L$20:$L$25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Решение!$M$20:$M$25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2-49B0-A7F7-6B2558A320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28505920"/>
        <c:axId val="442997920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Решение!$L$20:$L$25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Решение!$N$20:$N$25</c:f>
              <c:numCache>
                <c:formatCode>0.00%</c:formatCode>
                <c:ptCount val="6"/>
                <c:pt idx="0">
                  <c:v>0.14285714285714285</c:v>
                </c:pt>
                <c:pt idx="1">
                  <c:v>0.34285714285714286</c:v>
                </c:pt>
                <c:pt idx="2">
                  <c:v>0.7142857142857143</c:v>
                </c:pt>
                <c:pt idx="3">
                  <c:v>0.82857142857142863</c:v>
                </c:pt>
                <c:pt idx="4">
                  <c:v>0.94285714285714284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2-49B0-A7F7-6B2558A320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5563872"/>
        <c:axId val="442997088"/>
      </c:lineChart>
      <c:catAx>
        <c:axId val="52850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Оборот, млн </a:t>
                </a:r>
                <a:r>
                  <a:rPr lang="en-US"/>
                  <a:t>$</a:t>
                </a:r>
                <a:r>
                  <a:rPr lang="en-US" baseline="0"/>
                  <a:t> </a:t>
                </a:r>
                <a:r>
                  <a:rPr lang="ru-RU" baseline="0"/>
                  <a:t>по группам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997920"/>
        <c:crosses val="autoZero"/>
        <c:auto val="0"/>
        <c:lblAlgn val="ctr"/>
        <c:lblOffset val="100"/>
        <c:noMultiLvlLbl val="0"/>
      </c:catAx>
      <c:valAx>
        <c:axId val="4429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 попадания в группы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505920"/>
        <c:crosses val="autoZero"/>
        <c:crossBetween val="between"/>
      </c:valAx>
      <c:valAx>
        <c:axId val="4429970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563872"/>
        <c:crosses val="max"/>
        <c:crossBetween val="between"/>
      </c:valAx>
      <c:catAx>
        <c:axId val="535563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2997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ru-RU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Количество таможенных постов по группам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ru-RU"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Кол-во постов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Решение!$L$20:$L$25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Решение!$M$20:$M$25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0-4ABC-96CC-ECED9BBAEB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38498800"/>
        <c:axId val="611908624"/>
      </c:lineChart>
      <c:catAx>
        <c:axId val="43849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baseline="0">
                    <a:solidFill>
                      <a:sysClr val="windowText" lastClr="000000"/>
                    </a:solidFill>
                    <a:effectLst/>
                  </a:rPr>
                  <a:t>Оборот, млн </a:t>
                </a: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</a:rPr>
                  <a:t>$ </a:t>
                </a:r>
                <a:r>
                  <a:rPr lang="ru-RU" sz="900" b="0" i="0" baseline="0">
                    <a:solidFill>
                      <a:sysClr val="windowText" lastClr="000000"/>
                    </a:solidFill>
                    <a:effectLst/>
                  </a:rPr>
                  <a:t>по группам</a:t>
                </a:r>
                <a:endParaRPr lang="ru-RU" sz="9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6664004199475064"/>
              <c:y val="0.915795995116407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1908624"/>
        <c:crosses val="autoZero"/>
        <c:auto val="1"/>
        <c:lblAlgn val="ctr"/>
        <c:lblOffset val="100"/>
        <c:noMultiLvlLbl val="0"/>
      </c:catAx>
      <c:valAx>
        <c:axId val="6119086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baseline="0">
                    <a:effectLst/>
                  </a:rPr>
                  <a:t>Частота попадания в группы</a:t>
                </a:r>
                <a:endParaRPr lang="ru-RU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crossAx val="4384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7104709253044826"/>
          <c:y val="0.12401852701651037"/>
          <c:w val="0.19520990049121673"/>
          <c:h val="6.9552252949854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581791</xdr:colOff>
      <xdr:row>1</xdr:row>
      <xdr:rowOff>57099</xdr:rowOff>
    </xdr:from>
    <xdr:to>
      <xdr:col>24</xdr:col>
      <xdr:colOff>616528</xdr:colOff>
      <xdr:row>18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6C562E-F371-4B13-A012-F61B616D4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11207</xdr:colOff>
      <xdr:row>19</xdr:row>
      <xdr:rowOff>7844</xdr:rowOff>
    </xdr:from>
    <xdr:to>
      <xdr:col>25</xdr:col>
      <xdr:colOff>1</xdr:colOff>
      <xdr:row>34</xdr:row>
      <xdr:rowOff>27709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8723807-5390-4FEE-9FFE-BEB18AE1A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33618</xdr:colOff>
      <xdr:row>68</xdr:row>
      <xdr:rowOff>96370</xdr:rowOff>
    </xdr:from>
    <xdr:to>
      <xdr:col>8</xdr:col>
      <xdr:colOff>1252443</xdr:colOff>
      <xdr:row>71</xdr:row>
      <xdr:rowOff>62751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E653866-8179-46C0-B33B-00CAB3501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9658" y="14300050"/>
          <a:ext cx="4967865" cy="56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12887</xdr:colOff>
      <xdr:row>82</xdr:row>
      <xdr:rowOff>1</xdr:rowOff>
    </xdr:from>
    <xdr:to>
      <xdr:col>10</xdr:col>
      <xdr:colOff>28574</xdr:colOff>
      <xdr:row>115</xdr:row>
      <xdr:rowOff>41563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CE0999-A0F4-4E75-AEDC-78DC64FDCD1F}"/>
            </a:ext>
          </a:extLst>
        </xdr:cNvPr>
        <xdr:cNvSpPr txBox="1"/>
      </xdr:nvSpPr>
      <xdr:spPr>
        <a:xfrm>
          <a:off x="2618927" y="17076421"/>
          <a:ext cx="6309807" cy="6579522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Вывод:</a:t>
          </a:r>
          <a:endParaRPr lang="en-US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Наибольшее количество таможенных</a:t>
          </a:r>
          <a:r>
            <a:rPr lang="ru-R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постов имеет внешнеторговый оборот в диапазоне от 53,16 до 67,66 млн. 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Оценивая значения средней арифметической и медианы, мы можем прийти к выводу,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что данные у нас однородны (нет выбросов, экстремумов) так как разница 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средних незначительна (не более 5,6%)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Так как Мода ≈ Медиана  ≈ Среднее арифметическое, то можем сделать предварительный вывод о том, что 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имеем дело со стабильно меняющейся совокупностью и данные подчиняются нормальному закону распределения (с небольшой погрешностью). Дополнительно, мы получили данные Асимметричности</a:t>
          </a:r>
          <a:r>
            <a:rPr lang="ru-R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0,609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Эксцесса</a:t>
          </a:r>
          <a:r>
            <a:rPr lang="ru-R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0,149. Считается, что если значения Асимметричности и Эксцесса находятся в границах от -1 до +1, то это косвенный показатель того, что данные близки к нормальному распределению</a:t>
          </a:r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Благодаря мерам относительного положения (квартили, процентиль) мы можем сделать следующие выводы: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25% таможенных постов</a:t>
          </a:r>
          <a:r>
            <a:rPr lang="ru-RU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47,585 млн. 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2. 50%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таможенных постов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56,8 млн. 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3. 75%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таможенных постов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70,315 млн. 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4. 33,33% 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таможенных постов</a:t>
          </a:r>
          <a:r>
            <a:rPr lang="ru-R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внешнеторговым оборотом, менее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53,08 млн. $</a:t>
          </a: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Предполагая, что наши данные подчиняются нормальному закону распределения</a:t>
          </a:r>
          <a:r>
            <a:rPr lang="ru-RU" sz="1200"/>
            <a:t>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можем использовать эмпирическое правило (правило трех сигм):</a:t>
          </a:r>
          <a:r>
            <a:rPr lang="ru-RU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 ± S </a:t>
          </a:r>
          <a:r>
            <a:rPr lang="en-US" sz="1200"/>
            <a:t> </a:t>
          </a:r>
          <a:r>
            <a:rPr lang="ru-RU" sz="1200"/>
            <a:t>      68,26%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 ± 2 S</a:t>
          </a:r>
          <a:r>
            <a:rPr lang="en-US" sz="1200"/>
            <a:t> </a:t>
          </a:r>
          <a:r>
            <a:rPr lang="ru-RU" sz="1200"/>
            <a:t>    95,44%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 ± 3 S </a:t>
          </a:r>
          <a:r>
            <a:rPr lang="en-US" sz="1200"/>
            <a:t> </a:t>
          </a:r>
          <a:r>
            <a:rPr lang="ru-RU" sz="1200"/>
            <a:t>   99,72%</a:t>
          </a:r>
        </a:p>
        <a:p>
          <a:endParaRPr lang="ru-RU" sz="12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1. 68,26 % </a:t>
          </a:r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наших значений будет находиться в диапазоне от 35,38 до 78,22 млн.$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95,44 % наших значений будет находиться в диапазоне от 13,96 до 99,64 млн.$</a:t>
          </a:r>
          <a:r>
            <a:rPr lang="ru-RU" sz="1200"/>
            <a:t> </a:t>
          </a:r>
        </a:p>
        <a:p>
          <a:r>
            <a:rPr lang="ru-R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99,72 % наших значений будет находиться в диапазоне от -7,47 до 121,07 млн.$</a:t>
          </a:r>
          <a:r>
            <a:rPr lang="ru-RU" sz="1200"/>
            <a:t> </a:t>
          </a:r>
        </a:p>
      </xdr:txBody>
    </xdr:sp>
    <xdr:clientData/>
  </xdr:twoCellAnchor>
  <xdr:twoCellAnchor editAs="oneCell">
    <xdr:from>
      <xdr:col>3</xdr:col>
      <xdr:colOff>0</xdr:colOff>
      <xdr:row>68</xdr:row>
      <xdr:rowOff>91440</xdr:rowOff>
    </xdr:from>
    <xdr:to>
      <xdr:col>8</xdr:col>
      <xdr:colOff>960120</xdr:colOff>
      <xdr:row>71</xdr:row>
      <xdr:rowOff>60960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E2C583E-41C5-4D9C-8BF9-F0B1AC840214}"/>
            </a:ext>
          </a:extLst>
        </xdr:cNvPr>
        <xdr:cNvSpPr>
          <a:spLocks noChangeAspect="1" noChangeArrowheads="1"/>
        </xdr:cNvSpPr>
      </xdr:nvSpPr>
      <xdr:spPr bwMode="auto">
        <a:xfrm>
          <a:off x="2606040" y="14295120"/>
          <a:ext cx="47091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34F4-F0C0-4092-8ED3-3B58682F6F58}">
  <dimension ref="A2:S107"/>
  <sheetViews>
    <sheetView tabSelected="1" zoomScale="55" zoomScaleNormal="55" workbookViewId="0">
      <selection activeCell="Q96" sqref="Q96"/>
    </sheetView>
  </sheetViews>
  <sheetFormatPr defaultColWidth="9.109375" defaultRowHeight="15.6" x14ac:dyDescent="0.3"/>
  <cols>
    <col min="1" max="1" width="14.33203125" style="3" customWidth="1"/>
    <col min="2" max="2" width="14.5546875" style="3" customWidth="1"/>
    <col min="3" max="3" width="9.109375" style="3"/>
    <col min="4" max="4" width="11.109375" style="3" customWidth="1"/>
    <col min="5" max="5" width="9.109375" style="3"/>
    <col min="6" max="6" width="10.88671875" style="3" customWidth="1"/>
    <col min="7" max="7" width="11.5546875" style="3" bestFit="1" customWidth="1"/>
    <col min="8" max="8" width="12" style="3" customWidth="1"/>
    <col min="9" max="9" width="22.44140625" style="3" customWidth="1"/>
    <col min="10" max="10" width="14.6640625" style="3" customWidth="1"/>
    <col min="11" max="11" width="14.44140625" style="3" customWidth="1"/>
    <col min="12" max="12" width="13.33203125" style="3" customWidth="1"/>
    <col min="13" max="13" width="16.6640625" style="3" customWidth="1"/>
    <col min="14" max="14" width="9.88671875" style="3" customWidth="1"/>
    <col min="15" max="16" width="9.109375" style="3"/>
    <col min="17" max="21" width="9.109375" style="3" customWidth="1"/>
    <col min="22" max="23" width="9.109375" style="3"/>
    <col min="24" max="24" width="9.109375" style="3" customWidth="1"/>
    <col min="25" max="16384" width="9.109375" style="3"/>
  </cols>
  <sheetData>
    <row r="2" spans="1:6" ht="31.2" x14ac:dyDescent="0.3">
      <c r="A2" s="1" t="s">
        <v>0</v>
      </c>
      <c r="B2" s="2" t="s">
        <v>1</v>
      </c>
      <c r="D2" s="4" t="s">
        <v>2</v>
      </c>
    </row>
    <row r="3" spans="1:6" x14ac:dyDescent="0.3">
      <c r="A3" s="5">
        <v>1</v>
      </c>
      <c r="B3" s="5">
        <v>24.16</v>
      </c>
      <c r="D3" s="6" t="s">
        <v>3</v>
      </c>
    </row>
    <row r="4" spans="1:6" x14ac:dyDescent="0.3">
      <c r="A4" s="5">
        <v>2</v>
      </c>
      <c r="B4" s="5">
        <v>27.06</v>
      </c>
    </row>
    <row r="5" spans="1:6" x14ac:dyDescent="0.3">
      <c r="A5" s="5">
        <v>3</v>
      </c>
      <c r="B5" s="5">
        <v>29.12</v>
      </c>
      <c r="D5" s="7" t="s">
        <v>4</v>
      </c>
      <c r="E5" s="3">
        <f>COUNT(A3:A37)</f>
        <v>35</v>
      </c>
      <c r="F5" s="8" t="s">
        <v>5</v>
      </c>
    </row>
    <row r="6" spans="1:6" x14ac:dyDescent="0.3">
      <c r="A6" s="5">
        <v>4</v>
      </c>
      <c r="B6" s="5">
        <v>31.17</v>
      </c>
      <c r="D6" s="7" t="s">
        <v>6</v>
      </c>
      <c r="E6" s="3">
        <f>ROUNDDOWN(1+(3.322*LOG(35)),0)</f>
        <v>6</v>
      </c>
    </row>
    <row r="7" spans="1:6" x14ac:dyDescent="0.3">
      <c r="A7" s="5">
        <v>5</v>
      </c>
      <c r="B7" s="5">
        <v>37.08</v>
      </c>
    </row>
    <row r="8" spans="1:6" x14ac:dyDescent="0.3">
      <c r="A8" s="5">
        <v>6</v>
      </c>
      <c r="B8" s="5">
        <v>39.11</v>
      </c>
    </row>
    <row r="9" spans="1:6" x14ac:dyDescent="0.3">
      <c r="A9" s="5">
        <v>7</v>
      </c>
      <c r="B9" s="5">
        <v>41.58</v>
      </c>
      <c r="D9" s="4" t="s">
        <v>7</v>
      </c>
    </row>
    <row r="10" spans="1:6" x14ac:dyDescent="0.3">
      <c r="A10" s="5">
        <v>8</v>
      </c>
      <c r="B10" s="5">
        <v>44.84</v>
      </c>
      <c r="D10" s="6" t="s">
        <v>8</v>
      </c>
    </row>
    <row r="11" spans="1:6" x14ac:dyDescent="0.3">
      <c r="A11" s="5">
        <v>9</v>
      </c>
      <c r="B11" s="5">
        <v>46.8</v>
      </c>
    </row>
    <row r="12" spans="1:6" x14ac:dyDescent="0.3">
      <c r="A12" s="5">
        <v>10</v>
      </c>
      <c r="B12" s="5">
        <v>48.37</v>
      </c>
      <c r="D12" s="7" t="s">
        <v>9</v>
      </c>
      <c r="E12" s="3">
        <f>MAX(B3:B37)</f>
        <v>111.16</v>
      </c>
    </row>
    <row r="13" spans="1:6" x14ac:dyDescent="0.3">
      <c r="A13" s="5">
        <v>11</v>
      </c>
      <c r="B13" s="5">
        <v>51.44</v>
      </c>
      <c r="D13" s="7" t="s">
        <v>10</v>
      </c>
      <c r="E13" s="3">
        <f>MIN(B3:B37)</f>
        <v>24.16</v>
      </c>
    </row>
    <row r="14" spans="1:6" x14ac:dyDescent="0.3">
      <c r="A14" s="5">
        <v>12</v>
      </c>
      <c r="B14" s="5">
        <v>52.56</v>
      </c>
      <c r="D14" s="7" t="s">
        <v>11</v>
      </c>
      <c r="E14" s="3">
        <f>(E12-E13)/E6</f>
        <v>14.5</v>
      </c>
    </row>
    <row r="15" spans="1:6" x14ac:dyDescent="0.3">
      <c r="A15" s="5">
        <v>13</v>
      </c>
      <c r="B15" s="5">
        <v>54.12</v>
      </c>
    </row>
    <row r="16" spans="1:6" x14ac:dyDescent="0.3">
      <c r="A16" s="5">
        <v>14</v>
      </c>
      <c r="B16" s="5">
        <v>54.91</v>
      </c>
    </row>
    <row r="17" spans="1:14" x14ac:dyDescent="0.3">
      <c r="A17" s="5">
        <v>15</v>
      </c>
      <c r="B17" s="5">
        <v>55.74</v>
      </c>
      <c r="D17" s="4" t="s">
        <v>12</v>
      </c>
      <c r="L17" s="9" t="s">
        <v>13</v>
      </c>
      <c r="M17" s="10"/>
      <c r="N17" s="10"/>
    </row>
    <row r="18" spans="1:14" ht="16.2" thickBot="1" x14ac:dyDescent="0.35">
      <c r="A18" s="5">
        <v>16</v>
      </c>
      <c r="B18" s="5">
        <v>55.91</v>
      </c>
      <c r="D18" s="11"/>
      <c r="E18" s="11"/>
      <c r="F18" s="11"/>
      <c r="G18" s="11"/>
      <c r="H18" s="11"/>
      <c r="I18" s="11"/>
      <c r="L18" s="9" t="s">
        <v>14</v>
      </c>
      <c r="M18" s="10"/>
      <c r="N18" s="10"/>
    </row>
    <row r="19" spans="1:14" ht="46.8" x14ac:dyDescent="0.3">
      <c r="A19" s="5">
        <v>17</v>
      </c>
      <c r="B19" s="5">
        <v>56.07</v>
      </c>
      <c r="D19" s="12" t="s">
        <v>15</v>
      </c>
      <c r="E19" s="12" t="s">
        <v>16</v>
      </c>
      <c r="F19" s="12" t="s">
        <v>17</v>
      </c>
      <c r="G19" s="12" t="s">
        <v>18</v>
      </c>
      <c r="H19" s="13" t="s">
        <v>18</v>
      </c>
      <c r="I19" s="14" t="s">
        <v>19</v>
      </c>
      <c r="J19" s="14" t="s">
        <v>20</v>
      </c>
      <c r="L19" s="15" t="s">
        <v>21</v>
      </c>
      <c r="M19" s="15" t="s">
        <v>22</v>
      </c>
      <c r="N19" s="14" t="s">
        <v>23</v>
      </c>
    </row>
    <row r="20" spans="1:14" x14ac:dyDescent="0.3">
      <c r="A20" s="5">
        <v>18</v>
      </c>
      <c r="B20" s="5">
        <v>56.8</v>
      </c>
      <c r="D20" s="16">
        <v>1</v>
      </c>
      <c r="E20" s="3">
        <f>MIN(B3:B37)</f>
        <v>24.16</v>
      </c>
      <c r="F20" s="3">
        <f>E20+$E$14</f>
        <v>38.659999999999997</v>
      </c>
      <c r="G20" s="3">
        <f>COUNTIFS($B$3:$B$37,"&gt;="&amp;E20,$B$3:$B$37,"&lt;"&amp;F20)</f>
        <v>5</v>
      </c>
      <c r="H20" s="3">
        <f t="array" ref="H20:H25">FREQUENCY(B3:B37,F20:F25)</f>
        <v>5</v>
      </c>
      <c r="I20" s="17">
        <f>H20/$E$5</f>
        <v>0.14285714285714285</v>
      </c>
      <c r="J20" s="18">
        <f>H20</f>
        <v>5</v>
      </c>
      <c r="L20" s="16" t="s">
        <v>24</v>
      </c>
      <c r="M20" s="3">
        <v>5</v>
      </c>
      <c r="N20" s="19">
        <v>0.14285714285714285</v>
      </c>
    </row>
    <row r="21" spans="1:14" x14ac:dyDescent="0.3">
      <c r="A21" s="5">
        <v>19</v>
      </c>
      <c r="B21" s="5">
        <v>56.93</v>
      </c>
      <c r="D21" s="16">
        <v>2</v>
      </c>
      <c r="E21" s="3">
        <f>F20</f>
        <v>38.659999999999997</v>
      </c>
      <c r="F21" s="3">
        <f>E21+$E$14</f>
        <v>53.16</v>
      </c>
      <c r="G21" s="3">
        <f>COUNTIFS($B$3:$B$37,"&gt;="&amp;E21,$B$3:$B$37,"&lt;"&amp;F21)</f>
        <v>7</v>
      </c>
      <c r="H21" s="3">
        <v>7</v>
      </c>
      <c r="I21" s="17">
        <f t="shared" ref="I21:I25" si="0">H21/$E$5</f>
        <v>0.2</v>
      </c>
      <c r="J21" s="18">
        <f>J20+H21</f>
        <v>12</v>
      </c>
      <c r="L21" s="16" t="s">
        <v>25</v>
      </c>
      <c r="M21" s="3">
        <v>7</v>
      </c>
      <c r="N21" s="19">
        <v>0.34285714285714286</v>
      </c>
    </row>
    <row r="22" spans="1:14" x14ac:dyDescent="0.3">
      <c r="A22" s="5">
        <v>20</v>
      </c>
      <c r="B22" s="5">
        <v>57.07</v>
      </c>
      <c r="D22" s="16">
        <v>3</v>
      </c>
      <c r="E22" s="3">
        <f t="shared" ref="E22:E25" si="1">F21</f>
        <v>53.16</v>
      </c>
      <c r="F22" s="3">
        <f t="shared" ref="F22:F25" si="2">E22+$E$14</f>
        <v>67.66</v>
      </c>
      <c r="G22" s="3">
        <f>COUNTIFS($B$3:$B$37,"&gt;="&amp;E22,$B$3:$B$37,"&lt;"&amp;F22)</f>
        <v>13</v>
      </c>
      <c r="H22" s="3">
        <v>13</v>
      </c>
      <c r="I22" s="17">
        <f t="shared" si="0"/>
        <v>0.37142857142857144</v>
      </c>
      <c r="J22" s="18">
        <f t="shared" ref="J22:J25" si="3">J21+H22</f>
        <v>25</v>
      </c>
      <c r="L22" s="16" t="s">
        <v>26</v>
      </c>
      <c r="M22" s="3">
        <v>13</v>
      </c>
      <c r="N22" s="19">
        <v>0.7142857142857143</v>
      </c>
    </row>
    <row r="23" spans="1:14" x14ac:dyDescent="0.3">
      <c r="A23" s="5">
        <v>21</v>
      </c>
      <c r="B23" s="5">
        <v>58.39</v>
      </c>
      <c r="D23" s="16">
        <v>4</v>
      </c>
      <c r="E23" s="3">
        <f t="shared" si="1"/>
        <v>67.66</v>
      </c>
      <c r="F23" s="3">
        <f t="shared" si="2"/>
        <v>82.16</v>
      </c>
      <c r="G23" s="3">
        <f>COUNTIFS($B$3:$B$37,"&gt;="&amp;E23,$B$3:$B$37,"&lt;"&amp;F23)</f>
        <v>4</v>
      </c>
      <c r="H23" s="3">
        <v>4</v>
      </c>
      <c r="I23" s="17">
        <f t="shared" si="0"/>
        <v>0.11428571428571428</v>
      </c>
      <c r="J23" s="18">
        <f t="shared" si="3"/>
        <v>29</v>
      </c>
      <c r="L23" s="16" t="s">
        <v>27</v>
      </c>
      <c r="M23" s="3">
        <v>4</v>
      </c>
      <c r="N23" s="19">
        <v>0.82857142857142863</v>
      </c>
    </row>
    <row r="24" spans="1:14" x14ac:dyDescent="0.3">
      <c r="A24" s="5">
        <v>22</v>
      </c>
      <c r="B24" s="5">
        <v>59.61</v>
      </c>
      <c r="D24" s="16">
        <v>5</v>
      </c>
      <c r="E24" s="3">
        <f t="shared" si="1"/>
        <v>82.16</v>
      </c>
      <c r="F24" s="3">
        <f t="shared" si="2"/>
        <v>96.66</v>
      </c>
      <c r="G24" s="3">
        <f>COUNTIFS($B$3:$B$37,"&gt;="&amp;E24,$B$3:$B$37,"&lt;"&amp;F24)</f>
        <v>4</v>
      </c>
      <c r="H24" s="3">
        <v>4</v>
      </c>
      <c r="I24" s="17">
        <f t="shared" si="0"/>
        <v>0.11428571428571428</v>
      </c>
      <c r="J24" s="18">
        <f t="shared" si="3"/>
        <v>33</v>
      </c>
      <c r="L24" s="16" t="s">
        <v>28</v>
      </c>
      <c r="M24" s="3">
        <v>4</v>
      </c>
      <c r="N24" s="19">
        <v>0.94285714285714284</v>
      </c>
    </row>
    <row r="25" spans="1:14" ht="16.2" thickBot="1" x14ac:dyDescent="0.35">
      <c r="A25" s="5">
        <v>23</v>
      </c>
      <c r="B25" s="5">
        <v>59.95</v>
      </c>
      <c r="D25" s="20">
        <v>6</v>
      </c>
      <c r="E25" s="11">
        <f t="shared" si="1"/>
        <v>96.66</v>
      </c>
      <c r="F25" s="11">
        <f t="shared" si="2"/>
        <v>111.16</v>
      </c>
      <c r="G25" s="11">
        <f>COUNTIFS($B$3:$B$37,"&gt;="&amp;E25,$B$3:$B$37,"&lt;="&amp;F25)</f>
        <v>2</v>
      </c>
      <c r="H25" s="11">
        <v>2</v>
      </c>
      <c r="I25" s="21">
        <f t="shared" si="0"/>
        <v>5.7142857142857141E-2</v>
      </c>
      <c r="J25" s="22">
        <f t="shared" si="3"/>
        <v>35</v>
      </c>
      <c r="L25" s="20" t="s">
        <v>29</v>
      </c>
      <c r="M25" s="11">
        <v>2</v>
      </c>
      <c r="N25" s="23">
        <v>1</v>
      </c>
    </row>
    <row r="26" spans="1:14" x14ac:dyDescent="0.3">
      <c r="A26" s="5">
        <v>24</v>
      </c>
      <c r="B26" s="5">
        <v>62.05</v>
      </c>
      <c r="H26" s="24"/>
    </row>
    <row r="27" spans="1:14" x14ac:dyDescent="0.3">
      <c r="A27" s="5">
        <v>25</v>
      </c>
      <c r="B27" s="5">
        <v>65.31</v>
      </c>
    </row>
    <row r="28" spans="1:14" x14ac:dyDescent="0.3">
      <c r="A28" s="5">
        <v>26</v>
      </c>
      <c r="B28" s="5">
        <v>69.239999999999995</v>
      </c>
      <c r="D28" s="25" t="s">
        <v>30</v>
      </c>
      <c r="E28" s="26"/>
      <c r="F28" s="26"/>
      <c r="G28" s="26"/>
      <c r="H28" s="26"/>
      <c r="I28" s="26"/>
      <c r="J28" s="26"/>
    </row>
    <row r="29" spans="1:14" x14ac:dyDescent="0.3">
      <c r="A29" s="5">
        <v>27</v>
      </c>
      <c r="B29" s="5">
        <v>71.39</v>
      </c>
      <c r="D29" s="4"/>
    </row>
    <row r="30" spans="1:14" x14ac:dyDescent="0.3">
      <c r="A30" s="5">
        <v>28</v>
      </c>
      <c r="B30" s="5">
        <v>77.12</v>
      </c>
      <c r="D30" s="4" t="s">
        <v>31</v>
      </c>
    </row>
    <row r="31" spans="1:14" x14ac:dyDescent="0.3">
      <c r="A31" s="5">
        <v>29</v>
      </c>
      <c r="B31" s="5">
        <v>79.12</v>
      </c>
      <c r="D31" s="3" t="s">
        <v>32</v>
      </c>
      <c r="G31" s="3">
        <f>AVERAGE(B3:B37)</f>
        <v>60</v>
      </c>
      <c r="I31" s="27" t="s">
        <v>33</v>
      </c>
    </row>
    <row r="32" spans="1:14" x14ac:dyDescent="0.3">
      <c r="A32" s="5">
        <v>30</v>
      </c>
      <c r="B32" s="5">
        <v>84.34</v>
      </c>
      <c r="D32" s="3" t="s">
        <v>34</v>
      </c>
      <c r="G32" s="7">
        <f>MEDIAN($B$3:$B$37)</f>
        <v>56.8</v>
      </c>
      <c r="I32" s="27" t="s">
        <v>35</v>
      </c>
    </row>
    <row r="33" spans="1:9" x14ac:dyDescent="0.3">
      <c r="A33" s="5">
        <v>31</v>
      </c>
      <c r="B33" s="5">
        <v>86.89</v>
      </c>
      <c r="D33" s="3" t="s">
        <v>36</v>
      </c>
      <c r="G33" s="3">
        <f>E79</f>
        <v>58.959999999999994</v>
      </c>
      <c r="I33" s="27"/>
    </row>
    <row r="34" spans="1:9" ht="18" x14ac:dyDescent="0.4">
      <c r="A34" s="5">
        <v>32</v>
      </c>
      <c r="B34" s="5">
        <v>91.74</v>
      </c>
      <c r="D34" s="3" t="s">
        <v>37</v>
      </c>
      <c r="G34" s="3">
        <f>_xlfn.QUARTILE.INC($B$3:$B$37,1)</f>
        <v>47.584999999999994</v>
      </c>
      <c r="I34" s="27" t="s">
        <v>38</v>
      </c>
    </row>
    <row r="35" spans="1:9" ht="18" x14ac:dyDescent="0.4">
      <c r="A35" s="5">
        <v>33</v>
      </c>
      <c r="B35" s="5">
        <v>96.01</v>
      </c>
      <c r="D35" s="3" t="s">
        <v>39</v>
      </c>
      <c r="G35" s="3">
        <f>_xlfn.QUARTILE.INC($B$3:$B$37,2)</f>
        <v>56.8</v>
      </c>
      <c r="I35" s="27" t="s">
        <v>40</v>
      </c>
    </row>
    <row r="36" spans="1:9" ht="18" x14ac:dyDescent="0.4">
      <c r="A36" s="5">
        <v>34</v>
      </c>
      <c r="B36" s="5">
        <v>106.84</v>
      </c>
      <c r="D36" s="3" t="s">
        <v>41</v>
      </c>
      <c r="G36" s="3">
        <f>_xlfn.QUARTILE.INC($B$3:$B$37,3)</f>
        <v>70.314999999999998</v>
      </c>
      <c r="I36" s="27" t="s">
        <v>42</v>
      </c>
    </row>
    <row r="37" spans="1:9" x14ac:dyDescent="0.3">
      <c r="A37" s="5">
        <v>35</v>
      </c>
      <c r="B37" s="5">
        <v>111.16</v>
      </c>
      <c r="D37" s="3" t="s">
        <v>43</v>
      </c>
      <c r="G37" s="3">
        <f>_xlfn.PERCENTILE.INC($B$3:$B$37,1/3)</f>
        <v>53.08</v>
      </c>
      <c r="I37" s="27" t="s">
        <v>44</v>
      </c>
    </row>
    <row r="38" spans="1:9" x14ac:dyDescent="0.3">
      <c r="A38" s="28"/>
      <c r="B38" s="28"/>
      <c r="I38" s="27"/>
    </row>
    <row r="39" spans="1:9" x14ac:dyDescent="0.3">
      <c r="D39" s="4" t="s">
        <v>45</v>
      </c>
      <c r="I39" s="27"/>
    </row>
    <row r="40" spans="1:9" ht="17.399999999999999" x14ac:dyDescent="0.3">
      <c r="D40" s="3" t="s">
        <v>46</v>
      </c>
      <c r="G40" s="29">
        <f>_xlfn.VAR.S($B$3:$B$37)</f>
        <v>458.88883529411737</v>
      </c>
      <c r="I40" s="27" t="s">
        <v>47</v>
      </c>
    </row>
    <row r="41" spans="1:9" x14ac:dyDescent="0.3">
      <c r="D41" s="3" t="s">
        <v>48</v>
      </c>
      <c r="G41" s="29">
        <f>_xlfn.STDEV.S(B3:B37)</f>
        <v>21.421690766466529</v>
      </c>
      <c r="I41" s="27" t="s">
        <v>49</v>
      </c>
    </row>
    <row r="42" spans="1:9" x14ac:dyDescent="0.3">
      <c r="D42" s="3" t="s">
        <v>50</v>
      </c>
      <c r="G42" s="30">
        <f>MAX($B$3:$B$37)-MIN(B3:B37)</f>
        <v>87</v>
      </c>
      <c r="I42" s="27" t="s">
        <v>51</v>
      </c>
    </row>
    <row r="43" spans="1:9" x14ac:dyDescent="0.3">
      <c r="D43" s="4"/>
      <c r="I43" s="31"/>
    </row>
    <row r="44" spans="1:9" x14ac:dyDescent="0.3">
      <c r="D44" s="4"/>
      <c r="I44" s="31"/>
    </row>
    <row r="45" spans="1:9" x14ac:dyDescent="0.3">
      <c r="D45" s="4" t="s">
        <v>52</v>
      </c>
      <c r="I45" s="31"/>
    </row>
    <row r="46" spans="1:9" ht="16.2" thickBot="1" x14ac:dyDescent="0.35">
      <c r="D46" s="32"/>
      <c r="E46" s="11"/>
      <c r="F46" s="11"/>
      <c r="G46" s="11"/>
      <c r="I46" s="31"/>
    </row>
    <row r="47" spans="1:9" x14ac:dyDescent="0.3">
      <c r="D47" s="33" t="s">
        <v>53</v>
      </c>
      <c r="E47" s="33"/>
      <c r="F47" s="26"/>
      <c r="G47" s="26"/>
      <c r="I47" s="31"/>
    </row>
    <row r="48" spans="1:9" x14ac:dyDescent="0.3">
      <c r="I48" s="31"/>
    </row>
    <row r="49" spans="4:9" x14ac:dyDescent="0.3">
      <c r="D49" s="3" t="s">
        <v>54</v>
      </c>
      <c r="G49" s="3">
        <v>60</v>
      </c>
      <c r="I49" s="31"/>
    </row>
    <row r="50" spans="4:9" x14ac:dyDescent="0.3">
      <c r="D50" s="3" t="s">
        <v>55</v>
      </c>
      <c r="G50" s="3">
        <v>3.620926618951553</v>
      </c>
      <c r="I50" s="31"/>
    </row>
    <row r="51" spans="4:9" x14ac:dyDescent="0.3">
      <c r="D51" s="3" t="s">
        <v>56</v>
      </c>
      <c r="G51" s="3">
        <v>56.8</v>
      </c>
      <c r="I51" s="31"/>
    </row>
    <row r="52" spans="4:9" x14ac:dyDescent="0.3">
      <c r="D52" s="3" t="s">
        <v>57</v>
      </c>
      <c r="G52" s="3" t="e">
        <v>#N/A</v>
      </c>
      <c r="I52" s="31"/>
    </row>
    <row r="53" spans="4:9" x14ac:dyDescent="0.3">
      <c r="D53" s="3" t="s">
        <v>58</v>
      </c>
      <c r="G53" s="3">
        <v>21.421690766466529</v>
      </c>
      <c r="I53" s="31"/>
    </row>
    <row r="54" spans="4:9" x14ac:dyDescent="0.3">
      <c r="D54" s="3" t="s">
        <v>59</v>
      </c>
      <c r="G54" s="3">
        <v>458.88883529411737</v>
      </c>
      <c r="I54" s="31"/>
    </row>
    <row r="55" spans="4:9" x14ac:dyDescent="0.3">
      <c r="D55" s="3" t="s">
        <v>60</v>
      </c>
      <c r="G55" s="3">
        <v>0.14905801050987311</v>
      </c>
      <c r="I55" s="31"/>
    </row>
    <row r="56" spans="4:9" x14ac:dyDescent="0.3">
      <c r="D56" s="3" t="s">
        <v>61</v>
      </c>
      <c r="G56" s="3">
        <v>0.60932074068833597</v>
      </c>
      <c r="I56" s="31"/>
    </row>
    <row r="57" spans="4:9" x14ac:dyDescent="0.3">
      <c r="D57" s="3" t="s">
        <v>62</v>
      </c>
      <c r="G57" s="3">
        <v>87</v>
      </c>
      <c r="I57" s="31"/>
    </row>
    <row r="58" spans="4:9" x14ac:dyDescent="0.3">
      <c r="D58" s="3" t="s">
        <v>63</v>
      </c>
      <c r="G58" s="3">
        <v>24.16</v>
      </c>
      <c r="I58" s="31"/>
    </row>
    <row r="59" spans="4:9" x14ac:dyDescent="0.3">
      <c r="D59" s="3" t="s">
        <v>64</v>
      </c>
      <c r="G59" s="3">
        <v>111.16</v>
      </c>
      <c r="I59" s="31"/>
    </row>
    <row r="60" spans="4:9" x14ac:dyDescent="0.3">
      <c r="D60" s="3" t="s">
        <v>65</v>
      </c>
      <c r="G60" s="3">
        <v>2100</v>
      </c>
      <c r="I60" s="31"/>
    </row>
    <row r="61" spans="4:9" x14ac:dyDescent="0.3">
      <c r="D61" s="26" t="s">
        <v>66</v>
      </c>
      <c r="E61" s="26"/>
      <c r="F61" s="26"/>
      <c r="G61" s="26">
        <v>35</v>
      </c>
      <c r="I61" s="31"/>
    </row>
    <row r="62" spans="4:9" x14ac:dyDescent="0.3">
      <c r="D62" s="4"/>
      <c r="I62" s="31"/>
    </row>
    <row r="63" spans="4:9" x14ac:dyDescent="0.3">
      <c r="I63" s="31"/>
    </row>
    <row r="64" spans="4:9" x14ac:dyDescent="0.3">
      <c r="D64" s="34" t="s">
        <v>57</v>
      </c>
      <c r="I64" s="31"/>
    </row>
    <row r="65" spans="4:10" x14ac:dyDescent="0.3">
      <c r="D65" s="3" t="s">
        <v>67</v>
      </c>
    </row>
    <row r="66" spans="4:10" x14ac:dyDescent="0.3">
      <c r="D66" s="3" t="s">
        <v>68</v>
      </c>
    </row>
    <row r="68" spans="4:10" x14ac:dyDescent="0.3">
      <c r="D68" s="3" t="s">
        <v>69</v>
      </c>
    </row>
    <row r="74" spans="4:10" x14ac:dyDescent="0.3">
      <c r="D74" s="35" t="s">
        <v>70</v>
      </c>
      <c r="E74" s="16">
        <f>E22</f>
        <v>53.16</v>
      </c>
      <c r="G74" s="3" t="s">
        <v>71</v>
      </c>
    </row>
    <row r="75" spans="4:10" x14ac:dyDescent="0.3">
      <c r="D75" s="35" t="s">
        <v>72</v>
      </c>
      <c r="E75" s="16">
        <f>F22-E22</f>
        <v>14.5</v>
      </c>
      <c r="G75" s="3" t="s">
        <v>73</v>
      </c>
    </row>
    <row r="76" spans="4:10" ht="18" x14ac:dyDescent="0.4">
      <c r="D76" s="35" t="s">
        <v>74</v>
      </c>
      <c r="E76" s="16">
        <f>G22</f>
        <v>13</v>
      </c>
      <c r="G76" s="3" t="s">
        <v>75</v>
      </c>
    </row>
    <row r="77" spans="4:10" ht="18" x14ac:dyDescent="0.4">
      <c r="D77" s="35" t="s">
        <v>76</v>
      </c>
      <c r="E77" s="16">
        <f>G21</f>
        <v>7</v>
      </c>
      <c r="G77" s="3" t="s">
        <v>77</v>
      </c>
    </row>
    <row r="78" spans="4:10" ht="18.600000000000001" thickBot="1" x14ac:dyDescent="0.45">
      <c r="D78" s="36" t="s">
        <v>78</v>
      </c>
      <c r="E78" s="20">
        <f>G23</f>
        <v>4</v>
      </c>
      <c r="F78" s="11"/>
      <c r="G78" s="11" t="s">
        <v>79</v>
      </c>
      <c r="H78" s="11"/>
      <c r="I78" s="11"/>
      <c r="J78" s="11"/>
    </row>
    <row r="79" spans="4:10" x14ac:dyDescent="0.3">
      <c r="D79" s="37" t="s">
        <v>80</v>
      </c>
      <c r="E79" s="38">
        <f>E74+E75*((E76-E77)/((E76-E77)+(E76-E78)))</f>
        <v>58.959999999999994</v>
      </c>
      <c r="F79" s="39"/>
      <c r="G79" s="39" t="s">
        <v>81</v>
      </c>
      <c r="H79" s="39"/>
    </row>
    <row r="86" spans="4:4" x14ac:dyDescent="0.3">
      <c r="D86" s="4"/>
    </row>
    <row r="100" spans="5:19" x14ac:dyDescent="0.3">
      <c r="Q100" s="29"/>
      <c r="R100" s="29"/>
      <c r="S100" s="29"/>
    </row>
    <row r="105" spans="5:19" x14ac:dyDescent="0.3">
      <c r="E105" s="19"/>
    </row>
    <row r="106" spans="5:19" x14ac:dyDescent="0.3">
      <c r="E106" s="19"/>
    </row>
    <row r="107" spans="5:19" x14ac:dyDescent="0.3">
      <c r="E107" s="19"/>
    </row>
  </sheetData>
  <conditionalFormatting sqref="B3:B38">
    <cfRule type="duplicateValues" dxfId="0" priority="1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AlexAlik_PC</dc:creator>
  <cp:lastModifiedBy>Alex Olenev</cp:lastModifiedBy>
  <dcterms:created xsi:type="dcterms:W3CDTF">2015-06-05T18:17:20Z</dcterms:created>
  <dcterms:modified xsi:type="dcterms:W3CDTF">2024-07-16T14:09:33Z</dcterms:modified>
</cp:coreProperties>
</file>