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yev\Desktop\WQI\"/>
    </mc:Choice>
  </mc:AlternateContent>
  <xr:revisionPtr revIDLastSave="0" documentId="13_ncr:1_{3FE5A753-442D-431D-BC6E-7598CE47D0CE}" xr6:coauthVersionLast="47" xr6:coauthVersionMax="47" xr10:uidLastSave="{00000000-0000-0000-0000-000000000000}"/>
  <bookViews>
    <workbookView xWindow="-108" yWindow="-108" windowWidth="23256" windowHeight="12456" xr2:uid="{282C1CC1-4339-4DD8-98F4-FEA5F1E74DD7}"/>
  </bookViews>
  <sheets>
    <sheet name="DWAWQI" sheetId="5" r:id="rId1"/>
    <sheet name="CCMEWQI" sheetId="2" r:id="rId2"/>
    <sheet name="WAWQI" sheetId="4" r:id="rId3"/>
    <sheet name="Data" sheetId="3" r:id="rId4"/>
    <sheet name="Bo'ston MFY 2020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5" l="1"/>
  <c r="F23" i="1" l="1"/>
  <c r="N7" i="2"/>
  <c r="N11" i="2"/>
  <c r="F25" i="2" s="1"/>
  <c r="F26" i="2" s="1"/>
  <c r="Q4" i="2"/>
  <c r="C26" i="2" s="1"/>
  <c r="E21" i="2"/>
  <c r="C24" i="2" s="1"/>
  <c r="F23" i="2" s="1"/>
  <c r="C15" i="5"/>
  <c r="D15" i="5"/>
  <c r="E15" i="5"/>
  <c r="F15" i="5"/>
  <c r="G15" i="5"/>
  <c r="H15" i="5"/>
  <c r="I15" i="5"/>
  <c r="J15" i="5"/>
  <c r="K15" i="5"/>
  <c r="B15" i="5"/>
  <c r="K9" i="5"/>
  <c r="K14" i="5" s="1"/>
  <c r="J9" i="5"/>
  <c r="J14" i="5" s="1"/>
  <c r="I9" i="5"/>
  <c r="I14" i="5" s="1"/>
  <c r="H9" i="5"/>
  <c r="H14" i="5" s="1"/>
  <c r="G9" i="5"/>
  <c r="G14" i="5" s="1"/>
  <c r="F9" i="5"/>
  <c r="E9" i="5"/>
  <c r="E14" i="5" s="1"/>
  <c r="D9" i="5"/>
  <c r="D14" i="5" s="1"/>
  <c r="C9" i="5"/>
  <c r="C14" i="5" s="1"/>
  <c r="B9" i="5"/>
  <c r="B14" i="5" s="1"/>
  <c r="E9" i="4"/>
  <c r="F9" i="4"/>
  <c r="F15" i="4" s="1"/>
  <c r="F16" i="4" s="1"/>
  <c r="C16" i="4"/>
  <c r="D16" i="4"/>
  <c r="G16" i="4"/>
  <c r="H16" i="4"/>
  <c r="I16" i="4"/>
  <c r="J16" i="4"/>
  <c r="K16" i="4"/>
  <c r="B16" i="4"/>
  <c r="B17" i="4"/>
  <c r="C15" i="4"/>
  <c r="D15" i="4"/>
  <c r="E15" i="4"/>
  <c r="E16" i="4" s="1"/>
  <c r="G15" i="4"/>
  <c r="H15" i="4"/>
  <c r="I15" i="4"/>
  <c r="J15" i="4"/>
  <c r="K15" i="4"/>
  <c r="B15" i="4"/>
  <c r="C14" i="4"/>
  <c r="D14" i="4"/>
  <c r="E14" i="4"/>
  <c r="F14" i="4"/>
  <c r="G14" i="4"/>
  <c r="H14" i="4"/>
  <c r="I14" i="4"/>
  <c r="J14" i="4"/>
  <c r="K14" i="4"/>
  <c r="B14" i="4"/>
  <c r="C9" i="4"/>
  <c r="D9" i="4"/>
  <c r="G9" i="4"/>
  <c r="H9" i="4"/>
  <c r="I9" i="4"/>
  <c r="J9" i="4"/>
  <c r="K9" i="4"/>
  <c r="B9" i="4"/>
  <c r="D12" i="1"/>
  <c r="B12" i="2"/>
  <c r="C12" i="2"/>
  <c r="O3" i="2" s="1"/>
  <c r="O7" i="2" s="1"/>
  <c r="D12" i="2"/>
  <c r="P3" i="2" s="1"/>
  <c r="P7" i="2" s="1"/>
  <c r="E12" i="2"/>
  <c r="Q3" i="2" s="1"/>
  <c r="Q7" i="2" s="1"/>
  <c r="F12" i="2"/>
  <c r="G12" i="2"/>
  <c r="S3" i="2" s="1"/>
  <c r="S7" i="2" s="1"/>
  <c r="H12" i="2"/>
  <c r="T3" i="2" s="1"/>
  <c r="T7" i="2" s="1"/>
  <c r="I12" i="2"/>
  <c r="U3" i="2" s="1"/>
  <c r="U7" i="2" s="1"/>
  <c r="J12" i="2"/>
  <c r="V3" i="2" s="1"/>
  <c r="V7" i="2" s="1"/>
  <c r="K12" i="2"/>
  <c r="W3" i="2" s="1"/>
  <c r="W7" i="2" s="1"/>
  <c r="C13" i="2"/>
  <c r="O4" i="2" s="1"/>
  <c r="O8" i="2" s="1"/>
  <c r="D13" i="2"/>
  <c r="P4" i="2" s="1"/>
  <c r="P8" i="2" s="1"/>
  <c r="E13" i="2"/>
  <c r="F13" i="2"/>
  <c r="R4" i="2" s="1"/>
  <c r="G13" i="2"/>
  <c r="H13" i="2"/>
  <c r="T4" i="2" s="1"/>
  <c r="T8" i="2" s="1"/>
  <c r="I13" i="2"/>
  <c r="U4" i="2" s="1"/>
  <c r="U8" i="2" s="1"/>
  <c r="J13" i="2"/>
  <c r="V4" i="2" s="1"/>
  <c r="V8" i="2" s="1"/>
  <c r="K13" i="2"/>
  <c r="W4" i="2" s="1"/>
  <c r="W8" i="2" s="1"/>
  <c r="C14" i="2"/>
  <c r="O5" i="2" s="1"/>
  <c r="O9" i="2" s="1"/>
  <c r="D14" i="2"/>
  <c r="P5" i="2" s="1"/>
  <c r="P9" i="2" s="1"/>
  <c r="E14" i="2"/>
  <c r="Q5" i="2" s="1"/>
  <c r="Q9" i="2" s="1"/>
  <c r="F14" i="2"/>
  <c r="R5" i="2" s="1"/>
  <c r="R9" i="2" s="1"/>
  <c r="G14" i="2"/>
  <c r="S5" i="2" s="1"/>
  <c r="S9" i="2" s="1"/>
  <c r="H14" i="2"/>
  <c r="T5" i="2" s="1"/>
  <c r="T9" i="2" s="1"/>
  <c r="I14" i="2"/>
  <c r="U5" i="2" s="1"/>
  <c r="U9" i="2" s="1"/>
  <c r="J14" i="2"/>
  <c r="K14" i="2"/>
  <c r="W5" i="2" s="1"/>
  <c r="W9" i="2" s="1"/>
  <c r="C15" i="2"/>
  <c r="O6" i="2" s="1"/>
  <c r="O10" i="2" s="1"/>
  <c r="D15" i="2"/>
  <c r="P6" i="2" s="1"/>
  <c r="P10" i="2" s="1"/>
  <c r="E15" i="2"/>
  <c r="Q6" i="2" s="1"/>
  <c r="Q10" i="2" s="1"/>
  <c r="F15" i="2"/>
  <c r="R6" i="2" s="1"/>
  <c r="R10" i="2" s="1"/>
  <c r="G15" i="2"/>
  <c r="S6" i="2" s="1"/>
  <c r="S10" i="2" s="1"/>
  <c r="H15" i="2"/>
  <c r="T6" i="2" s="1"/>
  <c r="T10" i="2" s="1"/>
  <c r="I15" i="2"/>
  <c r="J15" i="2"/>
  <c r="V6" i="2" s="1"/>
  <c r="V10" i="2" s="1"/>
  <c r="K15" i="2"/>
  <c r="W6" i="2" s="1"/>
  <c r="W10" i="2" s="1"/>
  <c r="B15" i="2"/>
  <c r="N6" i="2" s="1"/>
  <c r="N10" i="2" s="1"/>
  <c r="B14" i="2"/>
  <c r="N5" i="2" s="1"/>
  <c r="N9" i="2" s="1"/>
  <c r="B13" i="2"/>
  <c r="N4" i="2" s="1"/>
  <c r="N8" i="2" s="1"/>
  <c r="C25" i="2"/>
  <c r="C23" i="2"/>
  <c r="G66" i="1"/>
  <c r="H66" i="1" s="1"/>
  <c r="D66" i="1"/>
  <c r="G65" i="1"/>
  <c r="H65" i="1" s="1"/>
  <c r="D65" i="1"/>
  <c r="G64" i="1"/>
  <c r="H64" i="1" s="1"/>
  <c r="D64" i="1"/>
  <c r="G63" i="1"/>
  <c r="H63" i="1" s="1"/>
  <c r="D63" i="1"/>
  <c r="G62" i="1"/>
  <c r="H62" i="1" s="1"/>
  <c r="D62" i="1"/>
  <c r="G61" i="1"/>
  <c r="H61" i="1" s="1"/>
  <c r="D61" i="1"/>
  <c r="G60" i="1"/>
  <c r="H60" i="1" s="1"/>
  <c r="D60" i="1"/>
  <c r="G59" i="1"/>
  <c r="H59" i="1" s="1"/>
  <c r="D59" i="1"/>
  <c r="G58" i="1"/>
  <c r="H58" i="1" s="1"/>
  <c r="D58" i="1"/>
  <c r="G57" i="1"/>
  <c r="H57" i="1" s="1"/>
  <c r="D57" i="1"/>
  <c r="G51" i="1"/>
  <c r="H51" i="1" s="1"/>
  <c r="D51" i="1"/>
  <c r="G50" i="1"/>
  <c r="H50" i="1" s="1"/>
  <c r="D50" i="1"/>
  <c r="G49" i="1"/>
  <c r="H49" i="1" s="1"/>
  <c r="D49" i="1"/>
  <c r="G48" i="1"/>
  <c r="H48" i="1" s="1"/>
  <c r="D48" i="1"/>
  <c r="G47" i="1"/>
  <c r="H47" i="1" s="1"/>
  <c r="D47" i="1"/>
  <c r="G46" i="1"/>
  <c r="H46" i="1" s="1"/>
  <c r="D46" i="1"/>
  <c r="G45" i="1"/>
  <c r="H45" i="1" s="1"/>
  <c r="D45" i="1"/>
  <c r="G44" i="1"/>
  <c r="H44" i="1" s="1"/>
  <c r="D44" i="1"/>
  <c r="G43" i="1"/>
  <c r="H43" i="1" s="1"/>
  <c r="D43" i="1"/>
  <c r="G42" i="1"/>
  <c r="H42" i="1" s="1"/>
  <c r="D42" i="1"/>
  <c r="G36" i="1"/>
  <c r="H36" i="1" s="1"/>
  <c r="D36" i="1"/>
  <c r="G35" i="1"/>
  <c r="H35" i="1" s="1"/>
  <c r="D35" i="1"/>
  <c r="G34" i="1"/>
  <c r="H34" i="1" s="1"/>
  <c r="D34" i="1"/>
  <c r="G33" i="1"/>
  <c r="H33" i="1" s="1"/>
  <c r="D33" i="1"/>
  <c r="G32" i="1"/>
  <c r="H32" i="1" s="1"/>
  <c r="D32" i="1"/>
  <c r="G31" i="1"/>
  <c r="H31" i="1" s="1"/>
  <c r="D31" i="1"/>
  <c r="G30" i="1"/>
  <c r="H30" i="1" s="1"/>
  <c r="D30" i="1"/>
  <c r="G29" i="1"/>
  <c r="H29" i="1" s="1"/>
  <c r="D29" i="1"/>
  <c r="G28" i="1"/>
  <c r="H28" i="1" s="1"/>
  <c r="D28" i="1"/>
  <c r="G27" i="1"/>
  <c r="H27" i="1" s="1"/>
  <c r="D27" i="1"/>
  <c r="D13" i="1"/>
  <c r="D14" i="1"/>
  <c r="D15" i="1"/>
  <c r="D16" i="1"/>
  <c r="D17" i="1"/>
  <c r="D18" i="1"/>
  <c r="D19" i="1"/>
  <c r="D20" i="1"/>
  <c r="D21" i="1"/>
  <c r="G21" i="1"/>
  <c r="H21" i="1" s="1"/>
  <c r="G20" i="1"/>
  <c r="H20" i="1" s="1"/>
  <c r="G19" i="1"/>
  <c r="G18" i="1"/>
  <c r="H18" i="1" s="1"/>
  <c r="G17" i="1"/>
  <c r="G16" i="1"/>
  <c r="G15" i="1"/>
  <c r="H15" i="1" s="1"/>
  <c r="G14" i="1"/>
  <c r="G13" i="1"/>
  <c r="G12" i="1"/>
  <c r="H12" i="1" s="1"/>
  <c r="G16" i="5" l="1"/>
  <c r="G17" i="5" s="1"/>
  <c r="E16" i="5"/>
  <c r="E17" i="5" s="1"/>
  <c r="I16" i="5"/>
  <c r="H16" i="5"/>
  <c r="D16" i="5"/>
  <c r="C16" i="5"/>
  <c r="J16" i="5"/>
  <c r="J17" i="5" s="1"/>
  <c r="K16" i="5"/>
  <c r="K17" i="5" s="1"/>
  <c r="B16" i="5"/>
  <c r="D17" i="5"/>
  <c r="H17" i="5"/>
  <c r="C17" i="5"/>
  <c r="I17" i="5"/>
  <c r="F14" i="5"/>
  <c r="F17" i="4"/>
  <c r="J21" i="2"/>
  <c r="G21" i="2"/>
  <c r="K21" i="2"/>
  <c r="H21" i="2"/>
  <c r="F21" i="2"/>
  <c r="O11" i="2"/>
  <c r="T11" i="2"/>
  <c r="V5" i="2"/>
  <c r="V9" i="2" s="1"/>
  <c r="V11" i="2" s="1"/>
  <c r="D21" i="2"/>
  <c r="R3" i="2"/>
  <c r="R7" i="2" s="1"/>
  <c r="R8" i="2"/>
  <c r="C21" i="2"/>
  <c r="Q8" i="2"/>
  <c r="Q11" i="2" s="1"/>
  <c r="U6" i="2"/>
  <c r="U10" i="2" s="1"/>
  <c r="U11" i="2" s="1"/>
  <c r="S4" i="2"/>
  <c r="S8" i="2" s="1"/>
  <c r="S11" i="2" s="1"/>
  <c r="I21" i="2"/>
  <c r="B21" i="2"/>
  <c r="N3" i="2"/>
  <c r="W11" i="2"/>
  <c r="P11" i="2"/>
  <c r="E42" i="1"/>
  <c r="F42" i="1" s="1"/>
  <c r="I42" i="1" s="1"/>
  <c r="E65" i="1"/>
  <c r="F65" i="1" s="1"/>
  <c r="I65" i="1" s="1"/>
  <c r="E30" i="1"/>
  <c r="F30" i="1" s="1"/>
  <c r="I30" i="1" s="1"/>
  <c r="E17" i="1"/>
  <c r="F17" i="1" s="1"/>
  <c r="E13" i="1"/>
  <c r="F13" i="1" s="1"/>
  <c r="E59" i="1"/>
  <c r="F59" i="1" s="1"/>
  <c r="I59" i="1" s="1"/>
  <c r="E14" i="1"/>
  <c r="F14" i="1" s="1"/>
  <c r="E27" i="1"/>
  <c r="F27" i="1" s="1"/>
  <c r="I27" i="1" s="1"/>
  <c r="E43" i="1"/>
  <c r="F43" i="1" s="1"/>
  <c r="I43" i="1" s="1"/>
  <c r="E16" i="1"/>
  <c r="F16" i="1" s="1"/>
  <c r="E34" i="1"/>
  <c r="F34" i="1" s="1"/>
  <c r="I34" i="1" s="1"/>
  <c r="E31" i="1"/>
  <c r="F31" i="1" s="1"/>
  <c r="I31" i="1" s="1"/>
  <c r="E47" i="1"/>
  <c r="F47" i="1" s="1"/>
  <c r="I47" i="1" s="1"/>
  <c r="E51" i="1"/>
  <c r="F51" i="1" s="1"/>
  <c r="I51" i="1" s="1"/>
  <c r="E66" i="1"/>
  <c r="F66" i="1" s="1"/>
  <c r="I66" i="1" s="1"/>
  <c r="E62" i="1"/>
  <c r="F62" i="1" s="1"/>
  <c r="I62" i="1" s="1"/>
  <c r="E35" i="1"/>
  <c r="F35" i="1" s="1"/>
  <c r="I35" i="1" s="1"/>
  <c r="E63" i="1"/>
  <c r="F63" i="1" s="1"/>
  <c r="I63" i="1" s="1"/>
  <c r="E44" i="1"/>
  <c r="F44" i="1" s="1"/>
  <c r="I44" i="1" s="1"/>
  <c r="E60" i="1"/>
  <c r="F60" i="1" s="1"/>
  <c r="I60" i="1" s="1"/>
  <c r="E12" i="1"/>
  <c r="F12" i="1" s="1"/>
  <c r="I12" i="1" s="1"/>
  <c r="E32" i="1"/>
  <c r="F32" i="1" s="1"/>
  <c r="I32" i="1" s="1"/>
  <c r="E48" i="1"/>
  <c r="F48" i="1" s="1"/>
  <c r="I48" i="1" s="1"/>
  <c r="E57" i="1"/>
  <c r="F57" i="1" s="1"/>
  <c r="I57" i="1" s="1"/>
  <c r="E50" i="1"/>
  <c r="F50" i="1" s="1"/>
  <c r="I50" i="1" s="1"/>
  <c r="E28" i="1"/>
  <c r="F28" i="1" s="1"/>
  <c r="I28" i="1" s="1"/>
  <c r="E21" i="1"/>
  <c r="F21" i="1" s="1"/>
  <c r="I21" i="1" s="1"/>
  <c r="E36" i="1"/>
  <c r="F36" i="1" s="1"/>
  <c r="I36" i="1" s="1"/>
  <c r="E64" i="1"/>
  <c r="F64" i="1" s="1"/>
  <c r="I64" i="1" s="1"/>
  <c r="E46" i="1"/>
  <c r="F46" i="1" s="1"/>
  <c r="I46" i="1" s="1"/>
  <c r="E20" i="1"/>
  <c r="F20" i="1" s="1"/>
  <c r="I20" i="1" s="1"/>
  <c r="E61" i="1"/>
  <c r="F61" i="1" s="1"/>
  <c r="I61" i="1" s="1"/>
  <c r="E15" i="1"/>
  <c r="F15" i="1" s="1"/>
  <c r="I15" i="1" s="1"/>
  <c r="E19" i="1"/>
  <c r="F19" i="1" s="1"/>
  <c r="E29" i="1"/>
  <c r="F29" i="1" s="1"/>
  <c r="I29" i="1" s="1"/>
  <c r="E33" i="1"/>
  <c r="F33" i="1" s="1"/>
  <c r="I33" i="1" s="1"/>
  <c r="E45" i="1"/>
  <c r="F45" i="1" s="1"/>
  <c r="I45" i="1" s="1"/>
  <c r="E49" i="1"/>
  <c r="F49" i="1" s="1"/>
  <c r="I49" i="1" s="1"/>
  <c r="E58" i="1"/>
  <c r="F58" i="1" s="1"/>
  <c r="I58" i="1" s="1"/>
  <c r="E18" i="1"/>
  <c r="F18" i="1" s="1"/>
  <c r="I18" i="1" s="1"/>
  <c r="H17" i="1"/>
  <c r="H13" i="1"/>
  <c r="H16" i="1"/>
  <c r="H19" i="1"/>
  <c r="H14" i="1"/>
  <c r="F16" i="5" l="1"/>
  <c r="F17" i="5" s="1"/>
  <c r="E53" i="1"/>
  <c r="E68" i="1"/>
  <c r="E38" i="1"/>
  <c r="B17" i="5"/>
  <c r="R11" i="2"/>
  <c r="F24" i="2"/>
  <c r="I13" i="1"/>
  <c r="I14" i="1"/>
  <c r="I17" i="1"/>
  <c r="I19" i="1"/>
  <c r="I16" i="1"/>
  <c r="F38" i="1" l="1"/>
  <c r="I38" i="1"/>
  <c r="F68" i="1"/>
  <c r="I68" i="1"/>
  <c r="F53" i="1"/>
  <c r="I53" i="1"/>
  <c r="E23" i="1"/>
  <c r="I23" i="1" l="1"/>
  <c r="K18" i="5"/>
  <c r="K19" i="5" s="1"/>
  <c r="C18" i="5"/>
  <c r="C19" i="5" s="1"/>
  <c r="D18" i="5"/>
  <c r="D19" i="5" s="1"/>
  <c r="E18" i="5"/>
  <c r="E19" i="5" s="1"/>
  <c r="H18" i="5"/>
  <c r="H19" i="5" s="1"/>
  <c r="I18" i="5"/>
  <c r="I19" i="5" s="1"/>
  <c r="F18" i="5"/>
  <c r="F19" i="5" s="1"/>
  <c r="G18" i="5"/>
  <c r="G19" i="5" s="1"/>
  <c r="J18" i="5"/>
  <c r="J19" i="5" s="1"/>
  <c r="B18" i="5"/>
  <c r="B19" i="5" s="1"/>
  <c r="J26" i="2"/>
  <c r="K26" i="2" s="1"/>
  <c r="F20" i="5" l="1"/>
  <c r="G20" i="5" s="1"/>
</calcChain>
</file>

<file path=xl/sharedStrings.xml><?xml version="1.0" encoding="utf-8"?>
<sst xmlns="http://schemas.openxmlformats.org/spreadsheetml/2006/main" count="392" uniqueCount="124">
  <si>
    <t>Vi/Si</t>
  </si>
  <si>
    <t>Qi=100*Vi/Si</t>
  </si>
  <si>
    <t>Wi*Qi</t>
  </si>
  <si>
    <t xml:space="preserve"> рН</t>
  </si>
  <si>
    <t xml:space="preserve">Oksidlanish qobiliyati </t>
  </si>
  <si>
    <t>NO₃⁻</t>
  </si>
  <si>
    <t>Umumiy qattiqlik</t>
  </si>
  <si>
    <t>Quruq qoldiq</t>
  </si>
  <si>
    <t>Cl⁻</t>
  </si>
  <si>
    <t>SO₄²⁻</t>
  </si>
  <si>
    <t>Fe⁺²,³</t>
  </si>
  <si>
    <t>F⁻</t>
  </si>
  <si>
    <t>Cu⁺²</t>
  </si>
  <si>
    <t>WQI=</t>
  </si>
  <si>
    <t>Fevral</t>
  </si>
  <si>
    <t>Standatrs(Si)</t>
  </si>
  <si>
    <t>Observed(Vi)</t>
  </si>
  <si>
    <t>ki=Vi/Si</t>
  </si>
  <si>
    <t>Sum_ki</t>
  </si>
  <si>
    <t>Weight (Wi=ki/Sum_ki)</t>
  </si>
  <si>
    <t>Water Quality Index Level</t>
  </si>
  <si>
    <t>Water Quality Status</t>
  </si>
  <si>
    <t>Possible usage</t>
  </si>
  <si>
    <t>0-25</t>
  </si>
  <si>
    <t>26-50</t>
  </si>
  <si>
    <t>51-75</t>
  </si>
  <si>
    <t>76-100</t>
  </si>
  <si>
    <t>&gt;100</t>
  </si>
  <si>
    <t xml:space="preserve">Excellent water quality </t>
  </si>
  <si>
    <t>A</t>
  </si>
  <si>
    <t xml:space="preserve">Dringking, Irrigation and Industrial </t>
  </si>
  <si>
    <t xml:space="preserve">Good water quality </t>
  </si>
  <si>
    <t>B</t>
  </si>
  <si>
    <t xml:space="preserve">Domestic, Irrigation and Industrial </t>
  </si>
  <si>
    <t>Poor water quality</t>
  </si>
  <si>
    <t>C</t>
  </si>
  <si>
    <t xml:space="preserve">Irrigation and Industrial </t>
  </si>
  <si>
    <t>Very poor water quality</t>
  </si>
  <si>
    <t>D</t>
  </si>
  <si>
    <t xml:space="preserve">Irrigation </t>
  </si>
  <si>
    <t>Unsuitable for dringking and fish culture</t>
  </si>
  <si>
    <t>E</t>
  </si>
  <si>
    <t>Restricted use for irrigation</t>
  </si>
  <si>
    <t>May</t>
  </si>
  <si>
    <t>Avgust</t>
  </si>
  <si>
    <t>Noyabr</t>
  </si>
  <si>
    <t>WQI</t>
  </si>
  <si>
    <t>Grade</t>
  </si>
  <si>
    <t>Weighted avarare WQI</t>
  </si>
  <si>
    <t>Data</t>
  </si>
  <si>
    <t xml:space="preserve">Noyabr </t>
  </si>
  <si>
    <t xml:space="preserve">WHO Standard </t>
  </si>
  <si>
    <t>6.5 - 9.0</t>
  </si>
  <si>
    <t>1 200</t>
  </si>
  <si>
    <t>Units</t>
  </si>
  <si>
    <t>pH</t>
  </si>
  <si>
    <t>mg/l</t>
  </si>
  <si>
    <t xml:space="preserve">O‘zMSt 134:2024 </t>
  </si>
  <si>
    <t xml:space="preserve">Jami Parametrlar soni </t>
  </si>
  <si>
    <t>Hisobga olinadigan parametrlar</t>
  </si>
  <si>
    <t>Buzulgan paramertlar soni</t>
  </si>
  <si>
    <t>Buzulgan parametrlar</t>
  </si>
  <si>
    <t>Buzulgan testlar soni</t>
  </si>
  <si>
    <t>Jami testlar soni</t>
  </si>
  <si>
    <r>
      <t>F</t>
    </r>
    <r>
      <rPr>
        <sz val="11"/>
        <color theme="1"/>
        <rFont val="Calibri"/>
        <family val="2"/>
      </rPr>
      <t>₁</t>
    </r>
    <r>
      <rPr>
        <sz val="11"/>
        <color theme="1"/>
        <rFont val="Calibri"/>
        <family val="2"/>
        <scheme val="minor"/>
      </rPr>
      <t>=</t>
    </r>
  </si>
  <si>
    <t>F₂=</t>
  </si>
  <si>
    <t>F₃=</t>
  </si>
  <si>
    <t>Bu yerga tegmang. Buzulgan parametrlar hisoblanyapti</t>
  </si>
  <si>
    <t>nse=</t>
  </si>
  <si>
    <t>CCME WQI=</t>
  </si>
  <si>
    <t>WQI range</t>
  </si>
  <si>
    <t>Ranking of water quality</t>
  </si>
  <si>
    <t>Remarks</t>
  </si>
  <si>
    <t>95-100</t>
  </si>
  <si>
    <t>Excellent</t>
  </si>
  <si>
    <t>Water quality is protected with a virtual absence of threat or impairment; conditions very close to natural or pristine levels.</t>
  </si>
  <si>
    <t>80-94</t>
  </si>
  <si>
    <t>Good</t>
  </si>
  <si>
    <t>Water quality is protected with only a minor degree of threat or impairment; conditions rarely depart from natural or desirable levels.</t>
  </si>
  <si>
    <t>65-79</t>
  </si>
  <si>
    <t>Fair</t>
  </si>
  <si>
    <t>Water quality is usually protected but occasionally threatened or impaired; conditions sometimes depart from natural or desirable levels.</t>
  </si>
  <si>
    <t>45-64</t>
  </si>
  <si>
    <t>Marginal</t>
  </si>
  <si>
    <t>Water quality is frequently threatened or impaired; conditions often depart from natural or desirable levels.</t>
  </si>
  <si>
    <t>0-44</t>
  </si>
  <si>
    <t>Poor</t>
  </si>
  <si>
    <t>Water quality is almost always threatened or impaired; conditions usually depart from natural or desirable levels.</t>
  </si>
  <si>
    <t>Bu yerga tegmang</t>
  </si>
  <si>
    <t>Paramertlarni bu yerga kiriting</t>
  </si>
  <si>
    <t xml:space="preserve">Fevral </t>
  </si>
  <si>
    <t>Oy</t>
  </si>
  <si>
    <t>1/si</t>
  </si>
  <si>
    <t>qi</t>
  </si>
  <si>
    <t>edial</t>
  </si>
  <si>
    <t>K=</t>
  </si>
  <si>
    <t>WAWQI=</t>
  </si>
  <si>
    <t>qi/si</t>
  </si>
  <si>
    <t>DWAWQI=</t>
  </si>
  <si>
    <r>
      <rPr>
        <i/>
        <sz val="11"/>
        <color theme="1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>i=</t>
    </r>
  </si>
  <si>
    <t>year</t>
  </si>
  <si>
    <t>Bo'ston</t>
  </si>
  <si>
    <t>Ellik qala</t>
  </si>
  <si>
    <t>Location</t>
  </si>
  <si>
    <t>81-100</t>
  </si>
  <si>
    <t>51-80</t>
  </si>
  <si>
    <t>30-50</t>
  </si>
  <si>
    <t>0-29</t>
  </si>
  <si>
    <t>Interpretation</t>
  </si>
  <si>
    <t>Water quality is excellent. Water in this category meets all safety standards recommended for human consumption by organizations worldwide.</t>
  </si>
  <si>
    <t>Water quality is fair, generally safe for human consumption but may require some treatment to address minor issues.</t>
  </si>
  <si>
    <t>Water quality is marginal. This type of water partially meets the needs of aquatic organisms and ecosystems, but it requires serious measures to improve water quality for human consumption.</t>
  </si>
  <si>
    <t>Water quality is poor or unsuitable. Water in this category may support tolerant organisms, but strict measures are needed to enhance water quality for sensitive organisms and agro-ecosystems.</t>
  </si>
  <si>
    <t>O‘zMSt Low</t>
  </si>
  <si>
    <t>Enter data</t>
  </si>
  <si>
    <t>(xi)data</t>
  </si>
  <si>
    <t>(x(st)i)edial value</t>
  </si>
  <si>
    <t>(x(up)i)O‘zMSt Up</t>
  </si>
  <si>
    <t>|xi-x(st)i|=</t>
  </si>
  <si>
    <t>|x(up)i-x(st)i|=</t>
  </si>
  <si>
    <t>SIi=</t>
  </si>
  <si>
    <t>e^SIi-1=</t>
  </si>
  <si>
    <r>
      <rPr>
        <i/>
        <sz val="11"/>
        <color theme="1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>i * SIi=</t>
    </r>
  </si>
  <si>
    <t>sum (e^SIi-1)=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</si>
</sst>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/>
      <name val="Calibri"/>
      <family val="2"/>
    </font>
    <font>
      <b/>
      <sz val="12"/>
      <color rgb="FF000000"/>
      <name val="Times New Roman"/>
      <family val="1"/>
    </font>
    <font>
      <sz val="11"/>
      <color rgb="FFF7B9B7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848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ABAD"/>
        <bgColor indexed="64"/>
      </patternFill>
    </fill>
    <fill>
      <patternFill patternType="solid">
        <fgColor rgb="FFF7B9B7"/>
        <bgColor indexed="64"/>
      </patternFill>
    </fill>
    <fill>
      <patternFill patternType="solid">
        <fgColor rgb="FFFF928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4" fillId="11" borderId="0" applyNumberFormat="0" applyBorder="0" applyAlignment="0" applyProtection="0"/>
  </cellStyleXfs>
  <cellXfs count="13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0" fillId="5" borderId="3" xfId="0" applyFill="1" applyBorder="1"/>
    <xf numFmtId="0" fontId="0" fillId="0" borderId="0" xfId="0"/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wrapText="1"/>
    </xf>
    <xf numFmtId="0" fontId="0" fillId="8" borderId="1" xfId="0" applyFill="1" applyBorder="1" applyAlignment="1">
      <alignment horizontal="left" vertical="top"/>
    </xf>
    <xf numFmtId="0" fontId="0" fillId="0" borderId="2" xfId="0" applyFill="1" applyBorder="1"/>
    <xf numFmtId="0" fontId="0" fillId="0" borderId="1" xfId="0" applyBorder="1" applyAlignment="1">
      <alignment horizontal="center" vertical="center" wrapText="1"/>
    </xf>
    <xf numFmtId="0" fontId="0" fillId="13" borderId="1" xfId="0" applyFill="1" applyBorder="1"/>
    <xf numFmtId="0" fontId="0" fillId="16" borderId="1" xfId="0" applyFill="1" applyBorder="1"/>
    <xf numFmtId="0" fontId="0" fillId="0" borderId="11" xfId="0" applyBorder="1"/>
    <xf numFmtId="0" fontId="0" fillId="0" borderId="12" xfId="0" applyBorder="1"/>
    <xf numFmtId="0" fontId="0" fillId="0" borderId="8" xfId="0" applyBorder="1"/>
    <xf numFmtId="0" fontId="0" fillId="0" borderId="0" xfId="0" applyBorder="1"/>
    <xf numFmtId="0" fontId="0" fillId="0" borderId="14" xfId="0" applyBorder="1"/>
    <xf numFmtId="0" fontId="0" fillId="0" borderId="3" xfId="0" applyBorder="1"/>
    <xf numFmtId="0" fontId="0" fillId="9" borderId="1" xfId="0" applyFill="1" applyBorder="1"/>
    <xf numFmtId="0" fontId="0" fillId="14" borderId="1" xfId="0" applyFill="1" applyBorder="1" applyProtection="1"/>
    <xf numFmtId="0" fontId="0" fillId="18" borderId="10" xfId="0" applyFill="1" applyBorder="1" applyProtection="1"/>
    <xf numFmtId="0" fontId="0" fillId="18" borderId="11" xfId="0" applyFill="1" applyBorder="1" applyProtection="1"/>
    <xf numFmtId="0" fontId="0" fillId="18" borderId="12" xfId="0" applyFill="1" applyBorder="1" applyProtection="1"/>
    <xf numFmtId="0" fontId="0" fillId="13" borderId="1" xfId="0" applyFill="1" applyBorder="1" applyProtection="1"/>
    <xf numFmtId="0" fontId="0" fillId="18" borderId="8" xfId="0" applyFill="1" applyBorder="1" applyProtection="1"/>
    <xf numFmtId="0" fontId="0" fillId="15" borderId="1" xfId="0" applyFill="1" applyBorder="1" applyProtection="1"/>
    <xf numFmtId="0" fontId="0" fillId="0" borderId="1" xfId="0" applyBorder="1" applyProtection="1"/>
    <xf numFmtId="0" fontId="0" fillId="6" borderId="1" xfId="0" applyFill="1" applyBorder="1" applyProtection="1"/>
    <xf numFmtId="0" fontId="0" fillId="18" borderId="9" xfId="0" applyFill="1" applyBorder="1" applyProtection="1"/>
    <xf numFmtId="0" fontId="0" fillId="18" borderId="0" xfId="0" applyFill="1" applyBorder="1" applyProtection="1"/>
    <xf numFmtId="0" fontId="0" fillId="0" borderId="9" xfId="0" applyBorder="1" applyAlignment="1" applyProtection="1"/>
    <xf numFmtId="0" fontId="0" fillId="0" borderId="9" xfId="0" applyBorder="1" applyProtection="1"/>
    <xf numFmtId="0" fontId="0" fillId="0" borderId="2" xfId="0" applyBorder="1" applyProtection="1"/>
    <xf numFmtId="0" fontId="0" fillId="0" borderId="5" xfId="0" applyBorder="1" applyProtection="1"/>
    <xf numFmtId="0" fontId="0" fillId="0" borderId="6" xfId="0" applyBorder="1" applyProtection="1"/>
    <xf numFmtId="0" fontId="4" fillId="11" borderId="1" xfId="2" applyBorder="1" applyProtection="1"/>
    <xf numFmtId="0" fontId="0" fillId="0" borderId="0" xfId="0" applyFill="1" applyBorder="1" applyAlignment="1" applyProtection="1">
      <alignment horizontal="right"/>
    </xf>
    <xf numFmtId="0" fontId="3" fillId="10" borderId="1" xfId="1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 applyAlignment="1" applyProtection="1">
      <alignment horizontal="right"/>
    </xf>
    <xf numFmtId="0" fontId="0" fillId="18" borderId="13" xfId="0" applyFill="1" applyBorder="1" applyProtection="1"/>
    <xf numFmtId="0" fontId="0" fillId="18" borderId="14" xfId="0" applyFill="1" applyBorder="1" applyProtection="1"/>
    <xf numFmtId="0" fontId="0" fillId="18" borderId="3" xfId="0" applyFill="1" applyBorder="1" applyProtection="1"/>
    <xf numFmtId="0" fontId="5" fillId="12" borderId="9" xfId="0" applyFont="1" applyFill="1" applyBorder="1" applyProtection="1"/>
    <xf numFmtId="0" fontId="5" fillId="12" borderId="0" xfId="0" applyFont="1" applyFill="1" applyBorder="1" applyProtection="1"/>
    <xf numFmtId="0" fontId="7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17" borderId="10" xfId="0" applyFill="1" applyBorder="1" applyProtection="1"/>
    <xf numFmtId="0" fontId="0" fillId="17" borderId="11" xfId="0" applyFill="1" applyBorder="1" applyProtection="1"/>
    <xf numFmtId="0" fontId="0" fillId="17" borderId="12" xfId="0" applyFill="1" applyBorder="1" applyProtection="1"/>
    <xf numFmtId="0" fontId="0" fillId="17" borderId="8" xfId="0" applyFill="1" applyBorder="1" applyProtection="1"/>
    <xf numFmtId="0" fontId="0" fillId="17" borderId="8" xfId="0" applyFill="1" applyBorder="1"/>
    <xf numFmtId="0" fontId="0" fillId="17" borderId="3" xfId="0" applyFill="1" applyBorder="1"/>
    <xf numFmtId="0" fontId="0" fillId="17" borderId="0" xfId="0" applyFill="1" applyBorder="1"/>
    <xf numFmtId="0" fontId="0" fillId="17" borderId="14" xfId="0" applyFill="1" applyBorder="1"/>
    <xf numFmtId="0" fontId="8" fillId="17" borderId="8" xfId="0" applyFont="1" applyFill="1" applyBorder="1" applyProtection="1"/>
    <xf numFmtId="0" fontId="0" fillId="0" borderId="0" xfId="0"/>
    <xf numFmtId="0" fontId="0" fillId="0" borderId="0" xfId="0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1" fillId="18" borderId="10" xfId="0" applyFont="1" applyFill="1" applyBorder="1" applyProtection="1"/>
    <xf numFmtId="0" fontId="1" fillId="0" borderId="0" xfId="0" applyFont="1"/>
    <xf numFmtId="0" fontId="0" fillId="0" borderId="9" xfId="0" applyFill="1" applyBorder="1"/>
    <xf numFmtId="0" fontId="0" fillId="0" borderId="4" xfId="0" applyBorder="1"/>
    <xf numFmtId="0" fontId="0" fillId="18" borderId="0" xfId="0" applyFill="1" applyBorder="1"/>
    <xf numFmtId="0" fontId="0" fillId="18" borderId="13" xfId="0" applyFill="1" applyBorder="1"/>
    <xf numFmtId="0" fontId="0" fillId="18" borderId="14" xfId="0" applyFill="1" applyBorder="1"/>
    <xf numFmtId="0" fontId="0" fillId="18" borderId="3" xfId="0" applyFill="1" applyBorder="1"/>
    <xf numFmtId="0" fontId="0" fillId="4" borderId="2" xfId="0" applyFill="1" applyBorder="1"/>
    <xf numFmtId="0" fontId="0" fillId="4" borderId="6" xfId="0" applyFill="1" applyBorder="1"/>
    <xf numFmtId="0" fontId="1" fillId="0" borderId="7" xfId="0" applyFont="1" applyBorder="1" applyAlignment="1">
      <alignment horizontal="center" vertical="center" wrapText="1"/>
    </xf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9" xfId="0" applyBorder="1"/>
    <xf numFmtId="0" fontId="1" fillId="0" borderId="7" xfId="0" applyFont="1" applyBorder="1" applyAlignment="1">
      <alignment vertical="center" wrapText="1"/>
    </xf>
    <xf numFmtId="0" fontId="0" fillId="0" borderId="10" xfId="0" applyBorder="1"/>
    <xf numFmtId="0" fontId="0" fillId="0" borderId="13" xfId="0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/>
    <xf numFmtId="0" fontId="1" fillId="0" borderId="7" xfId="0" applyFont="1" applyFill="1" applyBorder="1" applyAlignment="1">
      <alignment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1" xfId="0" applyFill="1" applyBorder="1"/>
    <xf numFmtId="0" fontId="0" fillId="0" borderId="12" xfId="0" applyFill="1" applyBorder="1"/>
    <xf numFmtId="0" fontId="0" fillId="0" borderId="0" xfId="0" applyFill="1" applyBorder="1"/>
    <xf numFmtId="0" fontId="0" fillId="0" borderId="8" xfId="0" applyFill="1" applyBorder="1"/>
    <xf numFmtId="0" fontId="0" fillId="0" borderId="14" xfId="0" applyFill="1" applyBorder="1"/>
    <xf numFmtId="0" fontId="0" fillId="0" borderId="3" xfId="0" applyFill="1" applyBorder="1"/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 wrapText="1"/>
    </xf>
    <xf numFmtId="0" fontId="0" fillId="13" borderId="1" xfId="0" applyFill="1" applyBorder="1" applyAlignment="1">
      <alignment horizontal="left" vertical="center" wrapText="1"/>
    </xf>
    <xf numFmtId="0" fontId="0" fillId="13" borderId="1" xfId="0" applyFill="1" applyBorder="1" applyAlignment="1">
      <alignment horizontal="center" vertical="center"/>
    </xf>
    <xf numFmtId="0" fontId="0" fillId="0" borderId="1" xfId="0" applyBorder="1" applyAlignment="1" applyProtection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 wrapText="1"/>
    </xf>
    <xf numFmtId="0" fontId="0" fillId="16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0" borderId="9" xfId="0" applyBorder="1" applyAlignment="1" applyProtection="1">
      <alignment horizontal="center"/>
    </xf>
    <xf numFmtId="0" fontId="0" fillId="0" borderId="8" xfId="0" applyBorder="1" applyAlignment="1" applyProtection="1">
      <alignment horizontal="center"/>
    </xf>
    <xf numFmtId="0" fontId="0" fillId="0" borderId="9" xfId="0" applyFill="1" applyBorder="1" applyAlignment="1" applyProtection="1">
      <alignment horizontal="center"/>
    </xf>
    <xf numFmtId="0" fontId="0" fillId="0" borderId="8" xfId="0" applyFill="1" applyBorder="1" applyAlignment="1" applyProtection="1">
      <alignment horizontal="center"/>
    </xf>
    <xf numFmtId="0" fontId="0" fillId="17" borderId="1" xfId="0" applyFont="1" applyFill="1" applyBorder="1" applyAlignment="1">
      <alignment horizontal="center" vertical="center" wrapText="1"/>
    </xf>
    <xf numFmtId="0" fontId="0" fillId="17" borderId="1" xfId="0" applyFill="1" applyBorder="1" applyAlignment="1">
      <alignment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2" xfId="0" applyBorder="1" applyAlignment="1" applyProtection="1">
      <alignment horizontal="center"/>
    </xf>
    <xf numFmtId="0" fontId="0" fillId="0" borderId="5" xfId="0" applyBorder="1" applyAlignment="1" applyProtection="1">
      <alignment horizontal="center"/>
    </xf>
    <xf numFmtId="0" fontId="0" fillId="17" borderId="1" xfId="0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9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/>
    <xf numFmtId="0" fontId="0" fillId="5" borderId="4" xfId="0" applyFill="1" applyBorder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42"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28F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28F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28F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28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b/>
        <i/>
      </font>
    </dxf>
    <dxf>
      <font>
        <b/>
        <i/>
      </font>
    </dxf>
    <dxf>
      <font>
        <color rgb="FF9C0006"/>
      </font>
      <fill>
        <patternFill>
          <bgColor rgb="FFFFC7CE"/>
        </patternFill>
      </fill>
    </dxf>
    <dxf>
      <font>
        <b/>
        <i/>
      </font>
    </dxf>
    <dxf>
      <font>
        <b/>
        <i/>
      </font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7B9B7"/>
        </patternFill>
      </fill>
    </dxf>
    <dxf>
      <font>
        <color rgb="FFFF0000"/>
      </font>
      <fill>
        <patternFill>
          <fgColor rgb="FFFF7C8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575"/>
        </patternFill>
      </fill>
    </dxf>
    <dxf>
      <font>
        <b/>
        <i/>
      </font>
    </dxf>
  </dxfs>
  <tableStyles count="0" defaultTableStyle="TableStyleMedium2" defaultPivotStyle="PivotStyleLight16"/>
  <colors>
    <mruColors>
      <color rgb="FFFF7575"/>
      <color rgb="FFFF928F"/>
      <color rgb="FFF7B9B7"/>
      <color rgb="FFFFABAD"/>
      <color rgb="FFFF7C80"/>
      <color rgb="FFFDADAD"/>
      <color rgb="FFFC8484"/>
      <color rgb="FFFF5B5B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205740</xdr:colOff>
      <xdr:row>1</xdr:row>
      <xdr:rowOff>167640</xdr:rowOff>
    </xdr:from>
    <xdr:ext cx="2346960" cy="48404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412090F-18B0-48C4-B003-CE9CD2082C81}"/>
                </a:ext>
              </a:extLst>
            </xdr:cNvPr>
            <xdr:cNvSpPr txBox="1"/>
          </xdr:nvSpPr>
          <xdr:spPr>
            <a:xfrm>
              <a:off x="8001000" y="350520"/>
              <a:ext cx="2346960" cy="4840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𝑆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400" b="0" i="0">
                            <a:latin typeface="Cambria Math" panose="02040503050406030204" pitchFamily="18" charset="0"/>
                          </a:rPr>
                          <m:t>min</m:t>
                        </m:r>
                      </m:fName>
                      <m:e>
                        <m:d>
                          <m:d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1, </m:t>
                            </m:r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|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d>
                                      <m:d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𝑠𝑡</m:t>
                                        </m:r>
                                      </m:e>
                                    </m:d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| 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|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𝑝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)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d>
                                      <m:d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𝑠𝑡</m:t>
                                        </m:r>
                                      </m:e>
                                    </m:d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|</m:t>
                                </m:r>
                              </m:den>
                            </m:f>
                          </m:e>
                        </m:d>
                      </m:e>
                    </m:func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412090F-18B0-48C4-B003-CE9CD2082C81}"/>
                </a:ext>
              </a:extLst>
            </xdr:cNvPr>
            <xdr:cNvSpPr txBox="1"/>
          </xdr:nvSpPr>
          <xdr:spPr>
            <a:xfrm>
              <a:off x="8001000" y="350520"/>
              <a:ext cx="2346960" cy="4840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〖𝑆𝐼〗_𝑖=min⁡(1,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(〖|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〗_𝑖−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𝑥(𝑠𝑡)_𝑖)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 )/(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|𝑥(𝑢〖𝑝)〗_𝑖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−𝑥(𝑠𝑡)_𝑖 |)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14</xdr:col>
      <xdr:colOff>1310640</xdr:colOff>
      <xdr:row>1</xdr:row>
      <xdr:rowOff>160020</xdr:rowOff>
    </xdr:from>
    <xdr:ext cx="1531620" cy="4808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66E5014-8CF0-40E8-ABD9-5800AA9F685C}"/>
                </a:ext>
              </a:extLst>
            </xdr:cNvPr>
            <xdr:cNvSpPr txBox="1"/>
          </xdr:nvSpPr>
          <xdr:spPr>
            <a:xfrm>
              <a:off x="10325100" y="342900"/>
              <a:ext cx="1531620" cy="4808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sSub>
                              <m:sSub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𝐼</m:t>
                                </m:r>
                              </m:e>
                              <m:sub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sup>
                        </m:s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  <m:e>
                            <m:sSup>
                              <m:sSup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p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𝑆𝐼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𝑘</m:t>
                                    </m:r>
                                  </m:sub>
                                </m:sSub>
                              </m:sup>
                            </m:s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−1</m:t>
                            </m:r>
                          </m:e>
                        </m:nary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66E5014-8CF0-40E8-ABD9-5800AA9F685C}"/>
                </a:ext>
              </a:extLst>
            </xdr:cNvPr>
            <xdr:cNvSpPr txBox="1"/>
          </xdr:nvSpPr>
          <xdr:spPr>
            <a:xfrm>
              <a:off x="10325100" y="342900"/>
              <a:ext cx="1531620" cy="4808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𝑤_𝑖=(𝑒^(〖𝑆𝐼〗_𝑖 )−1)/(∑_(𝑘=1)^𝑛▒〖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𝑒^(〖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)−1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15</xdr:col>
      <xdr:colOff>1661160</xdr:colOff>
      <xdr:row>1</xdr:row>
      <xdr:rowOff>114300</xdr:rowOff>
    </xdr:from>
    <xdr:ext cx="2758440" cy="58817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3157F87-B8D7-420E-B505-70EF219A31B4}"/>
                </a:ext>
              </a:extLst>
            </xdr:cNvPr>
            <xdr:cNvSpPr txBox="1"/>
          </xdr:nvSpPr>
          <xdr:spPr>
            <a:xfrm>
              <a:off x="12207240" y="297180"/>
              <a:ext cx="2758440" cy="5881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𝐷𝑊𝐴𝑊𝑄𝐼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=100−</m:t>
                    </m:r>
                    <m:nary>
                      <m:naryPr>
                        <m:chr m:val="∑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sSub>
                          <m:sSub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sSub>
                          <m:sSub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𝑆𝐼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100</m:t>
                        </m:r>
                      </m:e>
                    </m:nary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3157F87-B8D7-420E-B505-70EF219A31B4}"/>
                </a:ext>
              </a:extLst>
            </xdr:cNvPr>
            <xdr:cNvSpPr txBox="1"/>
          </xdr:nvSpPr>
          <xdr:spPr>
            <a:xfrm>
              <a:off x="12207240" y="297180"/>
              <a:ext cx="2758440" cy="5881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𝐷𝑊𝐴𝑊𝑄𝐼=100−∑_(𝑖=1)^𝑛▒〖𝑤_𝑖 〖𝑆𝐼〗_𝑖 100〗</a:t>
              </a:r>
              <a:endParaRPr lang="en-US" sz="14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1089660</xdr:colOff>
      <xdr:row>3</xdr:row>
      <xdr:rowOff>118110</xdr:rowOff>
    </xdr:from>
    <xdr:ext cx="1866900" cy="5881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F7CD507-A908-4581-B380-90B87A4AD9B8}"/>
                </a:ext>
              </a:extLst>
            </xdr:cNvPr>
            <xdr:cNvSpPr txBox="1"/>
          </xdr:nvSpPr>
          <xdr:spPr>
            <a:xfrm>
              <a:off x="5753100" y="811530"/>
              <a:ext cx="1866900" cy="5881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𝑊𝑄𝐼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sSub>
                          <m:sSub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sSub>
                          <m:sSub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𝑄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F7CD507-A908-4581-B380-90B87A4AD9B8}"/>
                </a:ext>
              </a:extLst>
            </xdr:cNvPr>
            <xdr:cNvSpPr txBox="1"/>
          </xdr:nvSpPr>
          <xdr:spPr>
            <a:xfrm>
              <a:off x="5753100" y="811530"/>
              <a:ext cx="1866900" cy="5881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𝑊𝑄𝐼=∑24_(𝑖=1)^𝑛▒〖𝑤_𝑖 𝑄_𝑖 〗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3</xdr:col>
      <xdr:colOff>670560</xdr:colOff>
      <xdr:row>4</xdr:row>
      <xdr:rowOff>22860</xdr:rowOff>
    </xdr:from>
    <xdr:ext cx="1866900" cy="4056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C874625-DEEB-4322-9003-F13C390CC58A}"/>
                </a:ext>
              </a:extLst>
            </xdr:cNvPr>
            <xdr:cNvSpPr txBox="1"/>
          </xdr:nvSpPr>
          <xdr:spPr>
            <a:xfrm>
              <a:off x="3710940" y="899160"/>
              <a:ext cx="1866900" cy="4056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𝑣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den>
                    </m:f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100</m:t>
                    </m:r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C874625-DEEB-4322-9003-F13C390CC58A}"/>
                </a:ext>
              </a:extLst>
            </xdr:cNvPr>
            <xdr:cNvSpPr txBox="1"/>
          </xdr:nvSpPr>
          <xdr:spPr>
            <a:xfrm>
              <a:off x="3710940" y="899160"/>
              <a:ext cx="1866900" cy="4056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𝑄_𝑖=𝑣_𝑖/𝑆_𝑖 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en-US" sz="1400" b="0" i="0">
                  <a:latin typeface="Cambria Math" panose="02040503050406030204" pitchFamily="18" charset="0"/>
                </a:rPr>
                <a:t>100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1</xdr:col>
      <xdr:colOff>662940</xdr:colOff>
      <xdr:row>4</xdr:row>
      <xdr:rowOff>0</xdr:rowOff>
    </xdr:from>
    <xdr:ext cx="1531620" cy="4591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B5AAD23-AC08-4F25-A200-BC3945E587B1}"/>
                </a:ext>
              </a:extLst>
            </xdr:cNvPr>
            <xdr:cNvSpPr txBox="1"/>
          </xdr:nvSpPr>
          <xdr:spPr>
            <a:xfrm>
              <a:off x="2148840" y="876300"/>
              <a:ext cx="1531620" cy="459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num>
                      <m:den>
                        <m:nary>
                          <m:naryPr>
                            <m:chr m:val="∑"/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  <m:e>
                            <m:sSub>
                              <m:sSub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</m:e>
                              <m:sub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B5AAD23-AC08-4F25-A200-BC3945E587B1}"/>
                </a:ext>
              </a:extLst>
            </xdr:cNvPr>
            <xdr:cNvSpPr txBox="1"/>
          </xdr:nvSpPr>
          <xdr:spPr>
            <a:xfrm>
              <a:off x="2148840" y="876300"/>
              <a:ext cx="1531620" cy="459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𝑤_𝑖=𝑘_𝑖/(∑24_(𝑖=1)^𝑛▒𝑘_𝑖 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0</xdr:col>
      <xdr:colOff>365760</xdr:colOff>
      <xdr:row>4</xdr:row>
      <xdr:rowOff>38100</xdr:rowOff>
    </xdr:from>
    <xdr:ext cx="1531620" cy="4056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74DC40B8-C77A-40C7-9045-DFFE236F4554}"/>
                </a:ext>
              </a:extLst>
            </xdr:cNvPr>
            <xdr:cNvSpPr txBox="1"/>
          </xdr:nvSpPr>
          <xdr:spPr>
            <a:xfrm>
              <a:off x="365760" y="914400"/>
              <a:ext cx="1531620" cy="4056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𝑣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74DC40B8-C77A-40C7-9045-DFFE236F4554}"/>
                </a:ext>
              </a:extLst>
            </xdr:cNvPr>
            <xdr:cNvSpPr txBox="1"/>
          </xdr:nvSpPr>
          <xdr:spPr>
            <a:xfrm>
              <a:off x="365760" y="914400"/>
              <a:ext cx="1531620" cy="4056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𝑘_𝑖=𝑣_𝑖/𝑆_𝑖 </a:t>
              </a:r>
              <a:endParaRPr lang="en-US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F9D4D-5F64-4E4D-9E00-369DDD129C44}">
  <dimension ref="A2:P21"/>
  <sheetViews>
    <sheetView tabSelected="1" workbookViewId="0">
      <selection activeCell="A20" sqref="A20"/>
    </sheetView>
  </sheetViews>
  <sheetFormatPr defaultRowHeight="14.4" x14ac:dyDescent="0.3"/>
  <cols>
    <col min="1" max="1" width="14.5546875" customWidth="1"/>
    <col min="5" max="5" width="10.21875" customWidth="1"/>
    <col min="15" max="15" width="22.33203125" customWidth="1"/>
    <col min="16" max="16" width="67.44140625" customWidth="1"/>
  </cols>
  <sheetData>
    <row r="2" spans="1:16" x14ac:dyDescent="0.3">
      <c r="A2" s="71" t="s">
        <v>89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</row>
    <row r="3" spans="1:16" x14ac:dyDescent="0.3">
      <c r="A3" s="19" t="s">
        <v>49</v>
      </c>
      <c r="B3" s="19" t="s">
        <v>3</v>
      </c>
      <c r="C3" s="19" t="s">
        <v>4</v>
      </c>
      <c r="D3" s="19" t="s">
        <v>5</v>
      </c>
      <c r="E3" s="19" t="s">
        <v>6</v>
      </c>
      <c r="F3" s="19" t="s">
        <v>7</v>
      </c>
      <c r="G3" s="19" t="s">
        <v>8</v>
      </c>
      <c r="H3" s="19" t="s">
        <v>9</v>
      </c>
      <c r="I3" s="19" t="s">
        <v>10</v>
      </c>
      <c r="J3" s="19" t="s">
        <v>11</v>
      </c>
      <c r="K3" s="19" t="s">
        <v>12</v>
      </c>
      <c r="L3" s="66"/>
    </row>
    <row r="4" spans="1:16" x14ac:dyDescent="0.3">
      <c r="A4" s="5" t="s">
        <v>114</v>
      </c>
      <c r="B4" s="25">
        <v>7.9</v>
      </c>
      <c r="C4" s="25">
        <v>7</v>
      </c>
      <c r="D4" s="25">
        <v>12.4</v>
      </c>
      <c r="E4" s="25">
        <v>11</v>
      </c>
      <c r="F4" s="25">
        <v>1400</v>
      </c>
      <c r="G4" s="25">
        <v>140.6</v>
      </c>
      <c r="H4" s="25">
        <v>168.3</v>
      </c>
      <c r="I4" s="25">
        <v>7.0000000000000007E-2</v>
      </c>
      <c r="J4" s="25">
        <v>0.05</v>
      </c>
      <c r="K4" s="26">
        <v>0.08</v>
      </c>
      <c r="L4" s="66"/>
    </row>
    <row r="5" spans="1:16" x14ac:dyDescent="0.3">
      <c r="A5" s="66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</row>
    <row r="6" spans="1:16" x14ac:dyDescent="0.3">
      <c r="A6" s="66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</row>
    <row r="7" spans="1:16" x14ac:dyDescent="0.3">
      <c r="A7" s="70" t="s">
        <v>88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1"/>
      <c r="N7" s="106" t="s">
        <v>20</v>
      </c>
      <c r="O7" s="106" t="s">
        <v>21</v>
      </c>
      <c r="P7" s="107" t="s">
        <v>108</v>
      </c>
    </row>
    <row r="8" spans="1:16" x14ac:dyDescent="0.3">
      <c r="A8" s="32" t="s">
        <v>49</v>
      </c>
      <c r="B8" s="32" t="s">
        <v>3</v>
      </c>
      <c r="C8" s="32" t="s">
        <v>4</v>
      </c>
      <c r="D8" s="32" t="s">
        <v>5</v>
      </c>
      <c r="E8" s="32" t="s">
        <v>6</v>
      </c>
      <c r="F8" s="32" t="s">
        <v>7</v>
      </c>
      <c r="G8" s="32" t="s">
        <v>8</v>
      </c>
      <c r="H8" s="32" t="s">
        <v>9</v>
      </c>
      <c r="I8" s="32" t="s">
        <v>10</v>
      </c>
      <c r="J8" s="32" t="s">
        <v>11</v>
      </c>
      <c r="K8" s="32" t="s">
        <v>12</v>
      </c>
      <c r="L8" s="33"/>
      <c r="N8" s="106"/>
      <c r="O8" s="106"/>
      <c r="P8" s="107"/>
    </row>
    <row r="9" spans="1:16" x14ac:dyDescent="0.3">
      <c r="A9" s="28" t="s">
        <v>115</v>
      </c>
      <c r="B9" s="28">
        <f>B4</f>
        <v>7.9</v>
      </c>
      <c r="C9" s="28">
        <f t="shared" ref="C9:K9" si="0">C4</f>
        <v>7</v>
      </c>
      <c r="D9" s="28">
        <f t="shared" si="0"/>
        <v>12.4</v>
      </c>
      <c r="E9" s="28">
        <f t="shared" si="0"/>
        <v>11</v>
      </c>
      <c r="F9" s="28">
        <f t="shared" si="0"/>
        <v>1400</v>
      </c>
      <c r="G9" s="28">
        <f t="shared" si="0"/>
        <v>140.6</v>
      </c>
      <c r="H9" s="28">
        <f t="shared" si="0"/>
        <v>168.3</v>
      </c>
      <c r="I9" s="28">
        <f t="shared" si="0"/>
        <v>7.0000000000000007E-2</v>
      </c>
      <c r="J9" s="28">
        <f t="shared" si="0"/>
        <v>0.05</v>
      </c>
      <c r="K9" s="28">
        <f t="shared" si="0"/>
        <v>0.08</v>
      </c>
      <c r="L9" s="33"/>
      <c r="N9" s="108" t="s">
        <v>104</v>
      </c>
      <c r="O9" s="108" t="s">
        <v>77</v>
      </c>
      <c r="P9" s="109" t="s">
        <v>109</v>
      </c>
    </row>
    <row r="10" spans="1:16" x14ac:dyDescent="0.3">
      <c r="A10" s="28" t="s">
        <v>116</v>
      </c>
      <c r="B10" s="28">
        <v>7.5</v>
      </c>
      <c r="C10" s="28">
        <v>0</v>
      </c>
      <c r="D10" s="28">
        <v>0</v>
      </c>
      <c r="E10" s="28">
        <v>7</v>
      </c>
      <c r="F10" s="28">
        <v>875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33"/>
      <c r="N10" s="108"/>
      <c r="O10" s="108"/>
      <c r="P10" s="109"/>
    </row>
    <row r="11" spans="1:16" x14ac:dyDescent="0.3">
      <c r="A11" s="35" t="s">
        <v>54</v>
      </c>
      <c r="B11" s="35" t="s">
        <v>55</v>
      </c>
      <c r="C11" s="105" t="s">
        <v>56</v>
      </c>
      <c r="D11" s="105"/>
      <c r="E11" s="105"/>
      <c r="F11" s="105"/>
      <c r="G11" s="105"/>
      <c r="H11" s="105"/>
      <c r="I11" s="105"/>
      <c r="J11" s="105"/>
      <c r="K11" s="105"/>
      <c r="L11" s="33"/>
      <c r="N11" s="108"/>
      <c r="O11" s="108"/>
      <c r="P11" s="109"/>
    </row>
    <row r="12" spans="1:16" x14ac:dyDescent="0.3">
      <c r="A12" s="36" t="s">
        <v>117</v>
      </c>
      <c r="B12" s="36">
        <v>9</v>
      </c>
      <c r="C12" s="36">
        <v>5</v>
      </c>
      <c r="D12" s="36">
        <v>45</v>
      </c>
      <c r="E12" s="36">
        <v>10</v>
      </c>
      <c r="F12" s="36">
        <v>1500</v>
      </c>
      <c r="G12" s="36">
        <v>350</v>
      </c>
      <c r="H12" s="36">
        <v>500</v>
      </c>
      <c r="I12" s="36">
        <v>0.3</v>
      </c>
      <c r="J12" s="36">
        <v>0.7</v>
      </c>
      <c r="K12" s="36">
        <v>1</v>
      </c>
      <c r="L12" s="33"/>
      <c r="N12" s="101" t="s">
        <v>105</v>
      </c>
      <c r="O12" s="101" t="s">
        <v>80</v>
      </c>
      <c r="P12" s="102" t="s">
        <v>110</v>
      </c>
    </row>
    <row r="13" spans="1:16" ht="16.2" customHeight="1" x14ac:dyDescent="0.3">
      <c r="A13" s="36" t="s">
        <v>113</v>
      </c>
      <c r="B13" s="36">
        <v>6</v>
      </c>
      <c r="C13" s="36">
        <v>0</v>
      </c>
      <c r="D13" s="36">
        <v>0</v>
      </c>
      <c r="E13" s="36">
        <v>4</v>
      </c>
      <c r="F13" s="36">
        <v>250</v>
      </c>
      <c r="G13" s="36">
        <v>0</v>
      </c>
      <c r="H13" s="36">
        <v>0</v>
      </c>
      <c r="I13" s="36">
        <v>0</v>
      </c>
      <c r="J13" s="36">
        <v>0</v>
      </c>
      <c r="K13" s="36">
        <v>0</v>
      </c>
      <c r="L13" s="33"/>
      <c r="N13" s="101"/>
      <c r="O13" s="101"/>
      <c r="P13" s="102"/>
    </row>
    <row r="14" spans="1:16" ht="14.4" customHeight="1" x14ac:dyDescent="0.3">
      <c r="A14" s="1" t="s">
        <v>118</v>
      </c>
      <c r="B14" s="67">
        <f>ABS(B9-B10)</f>
        <v>0.40000000000000036</v>
      </c>
      <c r="C14" s="67">
        <f>ABS(C9-C10)</f>
        <v>7</v>
      </c>
      <c r="D14" s="67">
        <f t="shared" ref="D14:K14" si="1">ABS(D9-D10)</f>
        <v>12.4</v>
      </c>
      <c r="E14" s="67">
        <f t="shared" si="1"/>
        <v>4</v>
      </c>
      <c r="F14" s="67">
        <f t="shared" si="1"/>
        <v>525</v>
      </c>
      <c r="G14" s="67">
        <f t="shared" si="1"/>
        <v>140.6</v>
      </c>
      <c r="H14" s="67">
        <f t="shared" si="1"/>
        <v>168.3</v>
      </c>
      <c r="I14" s="67">
        <f t="shared" si="1"/>
        <v>7.0000000000000007E-2</v>
      </c>
      <c r="J14" s="67">
        <f t="shared" si="1"/>
        <v>0.05</v>
      </c>
      <c r="K14" s="67">
        <f t="shared" si="1"/>
        <v>0.08</v>
      </c>
      <c r="L14" s="33"/>
      <c r="N14" s="104" t="s">
        <v>106</v>
      </c>
      <c r="O14" s="104" t="s">
        <v>83</v>
      </c>
      <c r="P14" s="103" t="s">
        <v>111</v>
      </c>
    </row>
    <row r="15" spans="1:16" x14ac:dyDescent="0.3">
      <c r="A15" s="1" t="s">
        <v>119</v>
      </c>
      <c r="B15" s="67">
        <f>ABS(B12-B10)</f>
        <v>1.5</v>
      </c>
      <c r="C15" s="67">
        <f t="shared" ref="C15:K15" si="2">ABS(C12-C10)</f>
        <v>5</v>
      </c>
      <c r="D15" s="67">
        <f t="shared" si="2"/>
        <v>45</v>
      </c>
      <c r="E15" s="67">
        <f t="shared" si="2"/>
        <v>3</v>
      </c>
      <c r="F15" s="67">
        <f t="shared" si="2"/>
        <v>625</v>
      </c>
      <c r="G15" s="67">
        <f t="shared" si="2"/>
        <v>350</v>
      </c>
      <c r="H15" s="67">
        <f t="shared" si="2"/>
        <v>500</v>
      </c>
      <c r="I15" s="67">
        <f t="shared" si="2"/>
        <v>0.3</v>
      </c>
      <c r="J15" s="67">
        <f t="shared" si="2"/>
        <v>0.7</v>
      </c>
      <c r="K15" s="67">
        <f t="shared" si="2"/>
        <v>1</v>
      </c>
      <c r="L15" s="33"/>
      <c r="N15" s="104"/>
      <c r="O15" s="104"/>
      <c r="P15" s="103"/>
    </row>
    <row r="16" spans="1:16" s="66" customFormat="1" x14ac:dyDescent="0.3">
      <c r="A16" s="83" t="s">
        <v>120</v>
      </c>
      <c r="B16" s="67">
        <f>MIN(1,B14/B15)</f>
        <v>0.26666666666666689</v>
      </c>
      <c r="C16" s="67">
        <f t="shared" ref="C16:K16" si="3">MIN(1,C14/C15)</f>
        <v>1</v>
      </c>
      <c r="D16" s="67">
        <f t="shared" si="3"/>
        <v>0.27555555555555555</v>
      </c>
      <c r="E16" s="67">
        <f t="shared" si="3"/>
        <v>1</v>
      </c>
      <c r="F16" s="67">
        <f t="shared" si="3"/>
        <v>0.84</v>
      </c>
      <c r="G16" s="67">
        <f t="shared" si="3"/>
        <v>0.40171428571428569</v>
      </c>
      <c r="H16" s="67">
        <f t="shared" si="3"/>
        <v>0.33660000000000001</v>
      </c>
      <c r="I16" s="67">
        <f t="shared" si="3"/>
        <v>0.23333333333333336</v>
      </c>
      <c r="J16" s="67">
        <f t="shared" si="3"/>
        <v>7.1428571428571438E-2</v>
      </c>
      <c r="K16" s="67">
        <f t="shared" si="3"/>
        <v>0.08</v>
      </c>
      <c r="L16" s="33"/>
      <c r="N16" s="104"/>
      <c r="O16" s="104"/>
      <c r="P16" s="103"/>
    </row>
    <row r="17" spans="1:16" s="89" customFormat="1" x14ac:dyDescent="0.3">
      <c r="A17" s="83" t="s">
        <v>121</v>
      </c>
      <c r="B17" s="67">
        <f>EXP(B16)-1</f>
        <v>0.30560517206495241</v>
      </c>
      <c r="C17" s="67">
        <f t="shared" ref="C17:K17" si="4">EXP(C16)-1</f>
        <v>1.7182818284590451</v>
      </c>
      <c r="D17" s="67">
        <f t="shared" si="4"/>
        <v>0.31726228400404666</v>
      </c>
      <c r="E17" s="67">
        <f t="shared" si="4"/>
        <v>1.7182818284590451</v>
      </c>
      <c r="F17" s="67">
        <f t="shared" si="4"/>
        <v>1.3163669767810915</v>
      </c>
      <c r="G17" s="67">
        <f t="shared" si="4"/>
        <v>0.49438430473074657</v>
      </c>
      <c r="H17" s="67">
        <f t="shared" si="4"/>
        <v>0.40017888015722525</v>
      </c>
      <c r="I17" s="67">
        <f t="shared" si="4"/>
        <v>0.26280234329380137</v>
      </c>
      <c r="J17" s="67">
        <f t="shared" si="4"/>
        <v>7.4041430716295764E-2</v>
      </c>
      <c r="K17" s="67">
        <f t="shared" si="4"/>
        <v>8.3287067674958637E-2</v>
      </c>
      <c r="L17" s="33"/>
      <c r="N17" s="99" t="s">
        <v>107</v>
      </c>
      <c r="O17" s="99" t="s">
        <v>86</v>
      </c>
      <c r="P17" s="100" t="s">
        <v>112</v>
      </c>
    </row>
    <row r="18" spans="1:16" s="66" customFormat="1" x14ac:dyDescent="0.3">
      <c r="A18" s="83" t="s">
        <v>99</v>
      </c>
      <c r="B18" s="67">
        <f>B17/$B$20</f>
        <v>4.5677532646444099E-2</v>
      </c>
      <c r="C18" s="67">
        <f t="shared" ref="C18:K18" si="5">C17/$B$20</f>
        <v>0.25682443063675742</v>
      </c>
      <c r="D18" s="67">
        <f t="shared" si="5"/>
        <v>4.741987263226103E-2</v>
      </c>
      <c r="E18" s="67">
        <f t="shared" si="5"/>
        <v>0.25682443063675742</v>
      </c>
      <c r="F18" s="67">
        <f t="shared" si="5"/>
        <v>0.19675189117492983</v>
      </c>
      <c r="G18" s="67">
        <f t="shared" si="5"/>
        <v>7.3893563602479465E-2</v>
      </c>
      <c r="H18" s="67">
        <f t="shared" si="5"/>
        <v>5.981307102654039E-2</v>
      </c>
      <c r="I18" s="67">
        <f t="shared" si="5"/>
        <v>3.9279972044495674E-2</v>
      </c>
      <c r="J18" s="67">
        <f t="shared" si="5"/>
        <v>1.1066664369195367E-2</v>
      </c>
      <c r="K18" s="67">
        <f t="shared" si="5"/>
        <v>1.244857123013925E-2</v>
      </c>
      <c r="L18" s="33"/>
      <c r="N18" s="99"/>
      <c r="O18" s="99"/>
      <c r="P18" s="100"/>
    </row>
    <row r="19" spans="1:16" x14ac:dyDescent="0.3">
      <c r="A19" s="72" t="s">
        <v>122</v>
      </c>
      <c r="B19" s="67">
        <f>B16*B18*100</f>
        <v>1.2180675372385104</v>
      </c>
      <c r="C19" s="67">
        <f t="shared" ref="C19:K19" si="6">C16*C18*100</f>
        <v>25.682443063675741</v>
      </c>
      <c r="D19" s="67">
        <f t="shared" si="6"/>
        <v>1.3066809347556374</v>
      </c>
      <c r="E19" s="67">
        <f t="shared" si="6"/>
        <v>25.682443063675741</v>
      </c>
      <c r="F19" s="67">
        <f t="shared" si="6"/>
        <v>16.527158858694104</v>
      </c>
      <c r="G19" s="67">
        <f t="shared" si="6"/>
        <v>2.9684100121453181</v>
      </c>
      <c r="H19" s="67">
        <f t="shared" si="6"/>
        <v>2.0133079707533494</v>
      </c>
      <c r="I19" s="67">
        <f t="shared" si="6"/>
        <v>0.91653268103823249</v>
      </c>
      <c r="J19" s="67">
        <f t="shared" si="6"/>
        <v>7.9047602637109776E-2</v>
      </c>
      <c r="K19" s="67">
        <f t="shared" si="6"/>
        <v>9.9588569841114014E-2</v>
      </c>
      <c r="L19" s="33"/>
      <c r="N19" s="99"/>
      <c r="O19" s="99"/>
      <c r="P19" s="100"/>
    </row>
    <row r="20" spans="1:16" x14ac:dyDescent="0.3">
      <c r="A20" s="83" t="s">
        <v>123</v>
      </c>
      <c r="B20" s="73">
        <f>SUM(B17:K17)</f>
        <v>6.6904921163412086</v>
      </c>
      <c r="C20" s="74"/>
      <c r="D20" s="74"/>
      <c r="E20" s="78" t="s">
        <v>98</v>
      </c>
      <c r="F20" s="79">
        <f>100-MAX(0,SUM(B19:K19))</f>
        <v>23.506319705545152</v>
      </c>
      <c r="G20" s="5" t="str">
        <f>IF(F20&gt;80,O$9,IF(F20&gt;51,O$12,IF(F20&gt;29,O$14,O$17)))</f>
        <v>Poor</v>
      </c>
      <c r="H20" s="74"/>
      <c r="I20" s="74"/>
      <c r="J20" s="74"/>
      <c r="K20" s="74"/>
      <c r="L20" s="33"/>
    </row>
    <row r="21" spans="1:16" x14ac:dyDescent="0.3">
      <c r="A21" s="75"/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7"/>
    </row>
  </sheetData>
  <mergeCells count="16">
    <mergeCell ref="C11:K11"/>
    <mergeCell ref="O7:O8"/>
    <mergeCell ref="P7:P8"/>
    <mergeCell ref="N7:N8"/>
    <mergeCell ref="N9:N11"/>
    <mergeCell ref="O9:O11"/>
    <mergeCell ref="P9:P11"/>
    <mergeCell ref="N17:N19"/>
    <mergeCell ref="O17:O19"/>
    <mergeCell ref="P17:P19"/>
    <mergeCell ref="N12:N13"/>
    <mergeCell ref="O12:O13"/>
    <mergeCell ref="P12:P13"/>
    <mergeCell ref="P14:P16"/>
    <mergeCell ref="O14:O16"/>
    <mergeCell ref="N14:N16"/>
  </mergeCells>
  <conditionalFormatting sqref="B4:K4">
    <cfRule type="cellIs" dxfId="41" priority="2" operator="greaterThan">
      <formula>B$12</formula>
    </cfRule>
  </conditionalFormatting>
  <conditionalFormatting sqref="B9:K9">
    <cfRule type="cellIs" dxfId="40" priority="1" operator="notBetween">
      <formula>B$13</formula>
      <formula>B$12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5A670-05F6-4D6A-912C-9B5A1D982AEA}">
  <dimension ref="A2:X27"/>
  <sheetViews>
    <sheetView workbookViewId="0">
      <selection activeCell="B18" sqref="B18:K18"/>
    </sheetView>
  </sheetViews>
  <sheetFormatPr defaultRowHeight="14.4" x14ac:dyDescent="0.3"/>
  <cols>
    <col min="1" max="1" width="14.6640625" customWidth="1"/>
    <col min="3" max="3" width="18.109375" customWidth="1"/>
    <col min="5" max="5" width="15.6640625" customWidth="1"/>
    <col min="6" max="6" width="12.109375" customWidth="1"/>
    <col min="12" max="12" width="5.5546875" customWidth="1"/>
    <col min="13" max="13" width="5.5546875" style="13" customWidth="1"/>
    <col min="14" max="14" width="10.6640625" customWidth="1"/>
    <col min="15" max="15" width="8.88671875" customWidth="1"/>
    <col min="16" max="16" width="12.6640625" customWidth="1"/>
    <col min="24" max="24" width="5.6640625" customWidth="1"/>
  </cols>
  <sheetData>
    <row r="2" spans="1:24" x14ac:dyDescent="0.3">
      <c r="A2" t="s">
        <v>89</v>
      </c>
      <c r="N2" s="56" t="s">
        <v>67</v>
      </c>
      <c r="O2" s="57"/>
      <c r="P2" s="57"/>
      <c r="Q2" s="57"/>
      <c r="R2" s="57"/>
      <c r="S2" s="57"/>
      <c r="T2" s="57"/>
      <c r="U2" s="57"/>
      <c r="V2" s="57"/>
      <c r="W2" s="57"/>
      <c r="X2" s="58"/>
    </row>
    <row r="3" spans="1:24" x14ac:dyDescent="0.3">
      <c r="A3" s="19" t="s">
        <v>49</v>
      </c>
      <c r="B3" s="19" t="s">
        <v>3</v>
      </c>
      <c r="C3" s="19" t="s">
        <v>4</v>
      </c>
      <c r="D3" s="19" t="s">
        <v>5</v>
      </c>
      <c r="E3" s="19" t="s">
        <v>6</v>
      </c>
      <c r="F3" s="19" t="s">
        <v>7</v>
      </c>
      <c r="G3" s="19" t="s">
        <v>8</v>
      </c>
      <c r="H3" s="19" t="s">
        <v>9</v>
      </c>
      <c r="I3" s="19" t="s">
        <v>10</v>
      </c>
      <c r="J3" s="19" t="s">
        <v>11</v>
      </c>
      <c r="K3" s="19" t="s">
        <v>12</v>
      </c>
      <c r="N3" s="52">
        <f t="shared" ref="N3:W6" si="0">IF(B12&gt;B$18,1,0)</f>
        <v>0</v>
      </c>
      <c r="O3" s="53">
        <f t="shared" si="0"/>
        <v>0</v>
      </c>
      <c r="P3" s="53">
        <f t="shared" si="0"/>
        <v>0</v>
      </c>
      <c r="Q3" s="53">
        <f t="shared" si="0"/>
        <v>1</v>
      </c>
      <c r="R3" s="53">
        <f t="shared" si="0"/>
        <v>1</v>
      </c>
      <c r="S3" s="53">
        <f t="shared" si="0"/>
        <v>1</v>
      </c>
      <c r="T3" s="53">
        <f t="shared" si="0"/>
        <v>1</v>
      </c>
      <c r="U3" s="53">
        <f t="shared" si="0"/>
        <v>0</v>
      </c>
      <c r="V3" s="53">
        <f t="shared" si="0"/>
        <v>0</v>
      </c>
      <c r="W3" s="53">
        <f t="shared" si="0"/>
        <v>0</v>
      </c>
      <c r="X3" s="64">
        <v>1</v>
      </c>
    </row>
    <row r="4" spans="1:24" x14ac:dyDescent="0.3">
      <c r="A4" s="5" t="s">
        <v>14</v>
      </c>
      <c r="B4" s="21">
        <v>8.5</v>
      </c>
      <c r="C4" s="21">
        <v>4.3</v>
      </c>
      <c r="D4" s="21">
        <v>9</v>
      </c>
      <c r="E4" s="21">
        <v>15.3</v>
      </c>
      <c r="F4" s="21">
        <v>2600</v>
      </c>
      <c r="G4" s="21">
        <v>367</v>
      </c>
      <c r="H4" s="21">
        <v>679</v>
      </c>
      <c r="I4" s="21">
        <v>0.12</v>
      </c>
      <c r="J4" s="21">
        <v>0.42</v>
      </c>
      <c r="K4" s="22">
        <v>0.28999999999999998</v>
      </c>
      <c r="N4" s="52">
        <f t="shared" si="0"/>
        <v>0</v>
      </c>
      <c r="O4" s="53">
        <f t="shared" si="0"/>
        <v>0</v>
      </c>
      <c r="P4" s="53">
        <f t="shared" si="0"/>
        <v>0</v>
      </c>
      <c r="Q4" s="53">
        <f>IF(E13&gt;E$18,1,0)</f>
        <v>1</v>
      </c>
      <c r="R4" s="53">
        <f t="shared" si="0"/>
        <v>1</v>
      </c>
      <c r="S4" s="53">
        <f t="shared" si="0"/>
        <v>1</v>
      </c>
      <c r="T4" s="53">
        <f t="shared" si="0"/>
        <v>0</v>
      </c>
      <c r="U4" s="53">
        <f t="shared" si="0"/>
        <v>0</v>
      </c>
      <c r="V4" s="53">
        <f t="shared" si="0"/>
        <v>0</v>
      </c>
      <c r="W4" s="53">
        <f t="shared" si="0"/>
        <v>0</v>
      </c>
      <c r="X4" s="64">
        <v>1</v>
      </c>
    </row>
    <row r="5" spans="1:24" x14ac:dyDescent="0.3">
      <c r="A5" s="27" t="s">
        <v>43</v>
      </c>
      <c r="B5" s="24">
        <v>8</v>
      </c>
      <c r="C5" s="24">
        <v>2.9</v>
      </c>
      <c r="D5" s="24">
        <v>13</v>
      </c>
      <c r="E5" s="24">
        <v>12</v>
      </c>
      <c r="F5" s="24">
        <v>2100</v>
      </c>
      <c r="G5" s="24">
        <v>352</v>
      </c>
      <c r="H5" s="24">
        <v>410</v>
      </c>
      <c r="I5" s="24">
        <v>0.28000000000000003</v>
      </c>
      <c r="J5" s="24">
        <v>0.31</v>
      </c>
      <c r="K5" s="23">
        <v>0.3</v>
      </c>
      <c r="N5" s="52">
        <f t="shared" si="0"/>
        <v>0</v>
      </c>
      <c r="O5" s="53">
        <f t="shared" si="0"/>
        <v>0</v>
      </c>
      <c r="P5" s="53">
        <f t="shared" si="0"/>
        <v>0</v>
      </c>
      <c r="Q5" s="53">
        <f t="shared" si="0"/>
        <v>1</v>
      </c>
      <c r="R5" s="53">
        <f t="shared" si="0"/>
        <v>1</v>
      </c>
      <c r="S5" s="53">
        <f t="shared" si="0"/>
        <v>1</v>
      </c>
      <c r="T5" s="53">
        <f t="shared" si="0"/>
        <v>0</v>
      </c>
      <c r="U5" s="53">
        <f t="shared" si="0"/>
        <v>0</v>
      </c>
      <c r="V5" s="53">
        <f t="shared" si="0"/>
        <v>0</v>
      </c>
      <c r="W5" s="53">
        <f t="shared" si="0"/>
        <v>0</v>
      </c>
      <c r="X5" s="64">
        <v>1</v>
      </c>
    </row>
    <row r="6" spans="1:24" x14ac:dyDescent="0.3">
      <c r="A6" s="5" t="s">
        <v>44</v>
      </c>
      <c r="B6" s="24">
        <v>7.5</v>
      </c>
      <c r="C6" s="24">
        <v>2.6</v>
      </c>
      <c r="D6" s="24">
        <v>9</v>
      </c>
      <c r="E6" s="24">
        <v>15</v>
      </c>
      <c r="F6" s="24">
        <v>1550</v>
      </c>
      <c r="G6" s="24">
        <v>351</v>
      </c>
      <c r="H6" s="24">
        <v>450</v>
      </c>
      <c r="I6" s="24">
        <v>0.26</v>
      </c>
      <c r="J6" s="24">
        <v>0.25</v>
      </c>
      <c r="K6" s="23">
        <v>0.28000000000000003</v>
      </c>
      <c r="N6" s="52">
        <f t="shared" si="0"/>
        <v>0</v>
      </c>
      <c r="O6" s="53">
        <f t="shared" si="0"/>
        <v>0</v>
      </c>
      <c r="P6" s="53">
        <f t="shared" si="0"/>
        <v>0</v>
      </c>
      <c r="Q6" s="53">
        <f t="shared" si="0"/>
        <v>1</v>
      </c>
      <c r="R6" s="53">
        <f t="shared" si="0"/>
        <v>1</v>
      </c>
      <c r="S6" s="53">
        <f t="shared" si="0"/>
        <v>1</v>
      </c>
      <c r="T6" s="53">
        <f t="shared" si="0"/>
        <v>1</v>
      </c>
      <c r="U6" s="53">
        <f t="shared" si="0"/>
        <v>0</v>
      </c>
      <c r="V6" s="53">
        <f t="shared" si="0"/>
        <v>0</v>
      </c>
      <c r="W6" s="53">
        <f t="shared" si="0"/>
        <v>0</v>
      </c>
      <c r="X6" s="64">
        <v>1</v>
      </c>
    </row>
    <row r="7" spans="1:24" x14ac:dyDescent="0.3">
      <c r="A7" s="27" t="s">
        <v>50</v>
      </c>
      <c r="B7" s="25">
        <v>8.1999999999999993</v>
      </c>
      <c r="C7" s="25">
        <v>3.3</v>
      </c>
      <c r="D7" s="25">
        <v>13</v>
      </c>
      <c r="E7" s="25">
        <v>22</v>
      </c>
      <c r="F7" s="25">
        <v>2430</v>
      </c>
      <c r="G7" s="25">
        <v>357</v>
      </c>
      <c r="H7" s="25">
        <v>570</v>
      </c>
      <c r="I7" s="25">
        <v>0.28999999999999998</v>
      </c>
      <c r="J7" s="25">
        <v>0.31</v>
      </c>
      <c r="K7" s="26">
        <v>0.28999999999999998</v>
      </c>
      <c r="N7" s="52">
        <f>B12*N3</f>
        <v>0</v>
      </c>
      <c r="O7" s="53">
        <f t="shared" ref="N7:W10" si="1">C12*O3</f>
        <v>0</v>
      </c>
      <c r="P7" s="53">
        <f t="shared" si="1"/>
        <v>0</v>
      </c>
      <c r="Q7" s="53">
        <f t="shared" si="1"/>
        <v>15.3</v>
      </c>
      <c r="R7" s="53">
        <f t="shared" si="1"/>
        <v>2600</v>
      </c>
      <c r="S7" s="53">
        <f t="shared" si="1"/>
        <v>367</v>
      </c>
      <c r="T7" s="53">
        <f t="shared" si="1"/>
        <v>679</v>
      </c>
      <c r="U7" s="53">
        <f t="shared" si="1"/>
        <v>0</v>
      </c>
      <c r="V7" s="53">
        <f t="shared" si="1"/>
        <v>0</v>
      </c>
      <c r="W7" s="53">
        <f t="shared" si="1"/>
        <v>0</v>
      </c>
      <c r="X7" s="59"/>
    </row>
    <row r="8" spans="1:24" x14ac:dyDescent="0.3">
      <c r="N8" s="52">
        <f t="shared" si="1"/>
        <v>0</v>
      </c>
      <c r="O8" s="53">
        <f t="shared" si="1"/>
        <v>0</v>
      </c>
      <c r="P8" s="53">
        <f t="shared" si="1"/>
        <v>0</v>
      </c>
      <c r="Q8" s="53">
        <f t="shared" si="1"/>
        <v>12</v>
      </c>
      <c r="R8" s="53">
        <f t="shared" si="1"/>
        <v>2100</v>
      </c>
      <c r="S8" s="53">
        <f t="shared" si="1"/>
        <v>352</v>
      </c>
      <c r="T8" s="53">
        <f t="shared" si="1"/>
        <v>0</v>
      </c>
      <c r="U8" s="53">
        <f t="shared" si="1"/>
        <v>0</v>
      </c>
      <c r="V8" s="53">
        <f t="shared" si="1"/>
        <v>0</v>
      </c>
      <c r="W8" s="53">
        <f t="shared" si="1"/>
        <v>0</v>
      </c>
      <c r="X8" s="59"/>
    </row>
    <row r="9" spans="1:24" x14ac:dyDescent="0.3">
      <c r="N9" s="52">
        <f t="shared" si="1"/>
        <v>0</v>
      </c>
      <c r="O9" s="53">
        <f t="shared" si="1"/>
        <v>0</v>
      </c>
      <c r="P9" s="53">
        <f t="shared" si="1"/>
        <v>0</v>
      </c>
      <c r="Q9" s="53">
        <f t="shared" si="1"/>
        <v>15</v>
      </c>
      <c r="R9" s="53">
        <f t="shared" si="1"/>
        <v>1550</v>
      </c>
      <c r="S9" s="53">
        <f t="shared" si="1"/>
        <v>351</v>
      </c>
      <c r="T9" s="53">
        <f t="shared" si="1"/>
        <v>0</v>
      </c>
      <c r="U9" s="53">
        <f t="shared" si="1"/>
        <v>0</v>
      </c>
      <c r="V9" s="53">
        <f t="shared" si="1"/>
        <v>0</v>
      </c>
      <c r="W9" s="53">
        <f t="shared" si="1"/>
        <v>0</v>
      </c>
      <c r="X9" s="59"/>
    </row>
    <row r="10" spans="1:24" x14ac:dyDescent="0.3">
      <c r="A10" s="29" t="s">
        <v>88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1"/>
      <c r="N10" s="52">
        <f t="shared" si="1"/>
        <v>0</v>
      </c>
      <c r="O10" s="53">
        <f t="shared" si="1"/>
        <v>0</v>
      </c>
      <c r="P10" s="53">
        <f t="shared" si="1"/>
        <v>0</v>
      </c>
      <c r="Q10" s="53">
        <f t="shared" si="1"/>
        <v>22</v>
      </c>
      <c r="R10" s="53">
        <f t="shared" si="1"/>
        <v>2430</v>
      </c>
      <c r="S10" s="53">
        <f t="shared" si="1"/>
        <v>357</v>
      </c>
      <c r="T10" s="53">
        <f t="shared" si="1"/>
        <v>570</v>
      </c>
      <c r="U10" s="53">
        <f t="shared" si="1"/>
        <v>0</v>
      </c>
      <c r="V10" s="53">
        <f t="shared" si="1"/>
        <v>0</v>
      </c>
      <c r="W10" s="53">
        <f t="shared" si="1"/>
        <v>0</v>
      </c>
      <c r="X10" s="59"/>
    </row>
    <row r="11" spans="1:24" x14ac:dyDescent="0.3">
      <c r="A11" s="32" t="s">
        <v>49</v>
      </c>
      <c r="B11" s="32" t="s">
        <v>3</v>
      </c>
      <c r="C11" s="32" t="s">
        <v>4</v>
      </c>
      <c r="D11" s="32" t="s">
        <v>5</v>
      </c>
      <c r="E11" s="32" t="s">
        <v>6</v>
      </c>
      <c r="F11" s="32" t="s">
        <v>7</v>
      </c>
      <c r="G11" s="32" t="s">
        <v>8</v>
      </c>
      <c r="H11" s="32" t="s">
        <v>9</v>
      </c>
      <c r="I11" s="32" t="s">
        <v>10</v>
      </c>
      <c r="J11" s="32" t="s">
        <v>11</v>
      </c>
      <c r="K11" s="32" t="s">
        <v>12</v>
      </c>
      <c r="L11" s="33"/>
      <c r="N11" s="52">
        <f>SUM(N7:N10)/B18</f>
        <v>0</v>
      </c>
      <c r="O11" s="53">
        <f t="shared" ref="O11:W11" si="2">SUM(O7:O10)/C18</f>
        <v>0</v>
      </c>
      <c r="P11" s="53">
        <f t="shared" si="2"/>
        <v>0</v>
      </c>
      <c r="Q11" s="53">
        <f t="shared" si="2"/>
        <v>6.43</v>
      </c>
      <c r="R11" s="53">
        <f t="shared" si="2"/>
        <v>5.7866666666666671</v>
      </c>
      <c r="S11" s="53">
        <f t="shared" si="2"/>
        <v>4.0771428571428574</v>
      </c>
      <c r="T11" s="53">
        <f t="shared" si="2"/>
        <v>2.4980000000000002</v>
      </c>
      <c r="U11" s="53">
        <f t="shared" si="2"/>
        <v>0</v>
      </c>
      <c r="V11" s="53">
        <f t="shared" si="2"/>
        <v>0</v>
      </c>
      <c r="W11" s="53">
        <f t="shared" si="2"/>
        <v>0</v>
      </c>
      <c r="X11" s="59"/>
    </row>
    <row r="12" spans="1:24" ht="14.4" customHeight="1" x14ac:dyDescent="0.3">
      <c r="A12" s="28" t="s">
        <v>14</v>
      </c>
      <c r="B12" s="28">
        <f t="shared" ref="B12:K12" si="3">B4*B20</f>
        <v>8.5</v>
      </c>
      <c r="C12" s="28">
        <f t="shared" si="3"/>
        <v>4.3</v>
      </c>
      <c r="D12" s="28">
        <f t="shared" si="3"/>
        <v>9</v>
      </c>
      <c r="E12" s="28">
        <f t="shared" si="3"/>
        <v>15.3</v>
      </c>
      <c r="F12" s="28">
        <f t="shared" si="3"/>
        <v>2600</v>
      </c>
      <c r="G12" s="28">
        <f t="shared" si="3"/>
        <v>367</v>
      </c>
      <c r="H12" s="28">
        <f t="shared" si="3"/>
        <v>679</v>
      </c>
      <c r="I12" s="28">
        <f t="shared" si="3"/>
        <v>0.12</v>
      </c>
      <c r="J12" s="28">
        <f t="shared" si="3"/>
        <v>0.42</v>
      </c>
      <c r="K12" s="28">
        <f t="shared" si="3"/>
        <v>0.28999999999999998</v>
      </c>
      <c r="L12" s="33"/>
      <c r="N12" s="20" t="s">
        <v>70</v>
      </c>
      <c r="O12" s="110" t="s">
        <v>71</v>
      </c>
      <c r="P12" s="110"/>
      <c r="Q12" s="110" t="s">
        <v>72</v>
      </c>
      <c r="R12" s="110"/>
      <c r="S12" s="110"/>
      <c r="T12" s="110"/>
      <c r="U12" s="110"/>
      <c r="V12" s="62"/>
      <c r="W12" s="62"/>
      <c r="X12" s="60"/>
    </row>
    <row r="13" spans="1:24" ht="14.4" customHeight="1" x14ac:dyDescent="0.3">
      <c r="A13" s="34" t="s">
        <v>43</v>
      </c>
      <c r="B13" s="34">
        <f t="shared" ref="B13:K13" si="4">B5*B20</f>
        <v>8</v>
      </c>
      <c r="C13" s="34">
        <f t="shared" si="4"/>
        <v>2.9</v>
      </c>
      <c r="D13" s="34">
        <f t="shared" si="4"/>
        <v>13</v>
      </c>
      <c r="E13" s="34">
        <f t="shared" si="4"/>
        <v>12</v>
      </c>
      <c r="F13" s="34">
        <f t="shared" si="4"/>
        <v>2100</v>
      </c>
      <c r="G13" s="34">
        <f t="shared" si="4"/>
        <v>352</v>
      </c>
      <c r="H13" s="34">
        <f t="shared" si="4"/>
        <v>410</v>
      </c>
      <c r="I13" s="34">
        <f t="shared" si="4"/>
        <v>0.28000000000000003</v>
      </c>
      <c r="J13" s="34">
        <f t="shared" si="4"/>
        <v>0.31</v>
      </c>
      <c r="K13" s="34">
        <f t="shared" si="4"/>
        <v>0.3</v>
      </c>
      <c r="L13" s="33"/>
      <c r="N13" s="122" t="s">
        <v>73</v>
      </c>
      <c r="O13" s="108" t="s">
        <v>74</v>
      </c>
      <c r="P13" s="108"/>
      <c r="Q13" s="123" t="s">
        <v>75</v>
      </c>
      <c r="R13" s="123"/>
      <c r="S13" s="123"/>
      <c r="T13" s="123"/>
      <c r="U13" s="123"/>
      <c r="V13" s="62"/>
      <c r="W13" s="62"/>
      <c r="X13" s="60"/>
    </row>
    <row r="14" spans="1:24" ht="13.8" customHeight="1" x14ac:dyDescent="0.3">
      <c r="A14" s="28" t="s">
        <v>44</v>
      </c>
      <c r="B14" s="28">
        <f t="shared" ref="B14:K14" si="5">B6*B20</f>
        <v>7.5</v>
      </c>
      <c r="C14" s="28">
        <f t="shared" si="5"/>
        <v>2.6</v>
      </c>
      <c r="D14" s="28">
        <f t="shared" si="5"/>
        <v>9</v>
      </c>
      <c r="E14" s="28">
        <f t="shared" si="5"/>
        <v>15</v>
      </c>
      <c r="F14" s="28">
        <f t="shared" si="5"/>
        <v>1550</v>
      </c>
      <c r="G14" s="28">
        <f t="shared" si="5"/>
        <v>351</v>
      </c>
      <c r="H14" s="28">
        <f t="shared" si="5"/>
        <v>450</v>
      </c>
      <c r="I14" s="28">
        <f t="shared" si="5"/>
        <v>0.26</v>
      </c>
      <c r="J14" s="28">
        <f t="shared" si="5"/>
        <v>0.25</v>
      </c>
      <c r="K14" s="28">
        <f t="shared" si="5"/>
        <v>0.28000000000000003</v>
      </c>
      <c r="L14" s="33"/>
      <c r="N14" s="122"/>
      <c r="O14" s="108"/>
      <c r="P14" s="108"/>
      <c r="Q14" s="123"/>
      <c r="R14" s="123"/>
      <c r="S14" s="123"/>
      <c r="T14" s="123"/>
      <c r="U14" s="123"/>
      <c r="V14" s="62"/>
      <c r="W14" s="62"/>
      <c r="X14" s="60"/>
    </row>
    <row r="15" spans="1:24" ht="14.4" customHeight="1" x14ac:dyDescent="0.3">
      <c r="A15" s="34" t="s">
        <v>50</v>
      </c>
      <c r="B15" s="34">
        <f t="shared" ref="B15:K15" si="6">B7*B20</f>
        <v>8.1999999999999993</v>
      </c>
      <c r="C15" s="34">
        <f t="shared" si="6"/>
        <v>3.3</v>
      </c>
      <c r="D15" s="34">
        <f t="shared" si="6"/>
        <v>13</v>
      </c>
      <c r="E15" s="34">
        <f t="shared" si="6"/>
        <v>22</v>
      </c>
      <c r="F15" s="34">
        <f t="shared" si="6"/>
        <v>2430</v>
      </c>
      <c r="G15" s="34">
        <f t="shared" si="6"/>
        <v>357</v>
      </c>
      <c r="H15" s="34">
        <f t="shared" si="6"/>
        <v>570</v>
      </c>
      <c r="I15" s="34">
        <f t="shared" si="6"/>
        <v>0.28999999999999998</v>
      </c>
      <c r="J15" s="34">
        <f t="shared" si="6"/>
        <v>0.31</v>
      </c>
      <c r="K15" s="34">
        <f t="shared" si="6"/>
        <v>0.28999999999999998</v>
      </c>
      <c r="L15" s="33"/>
      <c r="N15" s="129" t="s">
        <v>76</v>
      </c>
      <c r="O15" s="111" t="s">
        <v>77</v>
      </c>
      <c r="P15" s="111"/>
      <c r="Q15" s="115" t="s">
        <v>78</v>
      </c>
      <c r="R15" s="115"/>
      <c r="S15" s="115"/>
      <c r="T15" s="115"/>
      <c r="U15" s="115"/>
      <c r="V15" s="62"/>
      <c r="W15" s="62"/>
      <c r="X15" s="60"/>
    </row>
    <row r="16" spans="1:24" ht="14.4" customHeight="1" x14ac:dyDescent="0.3">
      <c r="A16" s="35" t="s">
        <v>51</v>
      </c>
      <c r="B16" s="35" t="s">
        <v>52</v>
      </c>
      <c r="C16" s="35"/>
      <c r="D16" s="35">
        <v>10</v>
      </c>
      <c r="E16" s="35"/>
      <c r="F16" s="35" t="s">
        <v>53</v>
      </c>
      <c r="G16" s="35">
        <v>200</v>
      </c>
      <c r="H16" s="35">
        <v>400</v>
      </c>
      <c r="I16" s="35">
        <v>5</v>
      </c>
      <c r="J16" s="35">
        <v>4</v>
      </c>
      <c r="K16" s="35">
        <v>0.65</v>
      </c>
      <c r="L16" s="33"/>
      <c r="N16" s="129"/>
      <c r="O16" s="111"/>
      <c r="P16" s="111"/>
      <c r="Q16" s="115"/>
      <c r="R16" s="115"/>
      <c r="S16" s="115"/>
      <c r="T16" s="115"/>
      <c r="U16" s="115"/>
      <c r="V16" s="62"/>
      <c r="W16" s="62"/>
      <c r="X16" s="60"/>
    </row>
    <row r="17" spans="1:24" ht="14.4" customHeight="1" x14ac:dyDescent="0.3">
      <c r="A17" s="35" t="s">
        <v>54</v>
      </c>
      <c r="B17" s="35" t="s">
        <v>55</v>
      </c>
      <c r="C17" s="105" t="s">
        <v>56</v>
      </c>
      <c r="D17" s="105"/>
      <c r="E17" s="105"/>
      <c r="F17" s="105"/>
      <c r="G17" s="105"/>
      <c r="H17" s="105"/>
      <c r="I17" s="105"/>
      <c r="J17" s="105"/>
      <c r="K17" s="105"/>
      <c r="L17" s="33"/>
      <c r="N17" s="127" t="s">
        <v>79</v>
      </c>
      <c r="O17" s="101" t="s">
        <v>80</v>
      </c>
      <c r="P17" s="101"/>
      <c r="Q17" s="113" t="s">
        <v>81</v>
      </c>
      <c r="R17" s="113"/>
      <c r="S17" s="113"/>
      <c r="T17" s="113"/>
      <c r="U17" s="113"/>
      <c r="V17" s="62"/>
      <c r="W17" s="62"/>
      <c r="X17" s="60"/>
    </row>
    <row r="18" spans="1:24" ht="14.4" customHeight="1" x14ac:dyDescent="0.3">
      <c r="A18" s="36" t="s">
        <v>57</v>
      </c>
      <c r="B18" s="36">
        <v>9</v>
      </c>
      <c r="C18" s="36">
        <v>10</v>
      </c>
      <c r="D18" s="36">
        <v>45</v>
      </c>
      <c r="E18" s="36">
        <v>10</v>
      </c>
      <c r="F18" s="36">
        <v>1500</v>
      </c>
      <c r="G18" s="36">
        <v>350</v>
      </c>
      <c r="H18" s="36">
        <v>500</v>
      </c>
      <c r="I18" s="36">
        <v>10</v>
      </c>
      <c r="J18" s="36">
        <v>0.7</v>
      </c>
      <c r="K18" s="36">
        <v>1</v>
      </c>
      <c r="L18" s="33"/>
      <c r="N18" s="127"/>
      <c r="O18" s="101"/>
      <c r="P18" s="101"/>
      <c r="Q18" s="113"/>
      <c r="R18" s="113"/>
      <c r="S18" s="113"/>
      <c r="T18" s="113"/>
      <c r="U18" s="113"/>
      <c r="V18" s="62"/>
      <c r="W18" s="62"/>
      <c r="X18" s="60"/>
    </row>
    <row r="19" spans="1:24" ht="14.4" customHeight="1" x14ac:dyDescent="0.3">
      <c r="A19" s="37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3"/>
      <c r="N19" s="128" t="s">
        <v>82</v>
      </c>
      <c r="O19" s="112" t="s">
        <v>83</v>
      </c>
      <c r="P19" s="112"/>
      <c r="Q19" s="114" t="s">
        <v>84</v>
      </c>
      <c r="R19" s="114"/>
      <c r="S19" s="114"/>
      <c r="T19" s="114"/>
      <c r="U19" s="114"/>
      <c r="V19" s="62"/>
      <c r="W19" s="62"/>
      <c r="X19" s="60"/>
    </row>
    <row r="20" spans="1:24" ht="15" customHeight="1" x14ac:dyDescent="0.3">
      <c r="A20" s="39" t="s">
        <v>59</v>
      </c>
      <c r="B20" s="35">
        <v>1</v>
      </c>
      <c r="C20" s="35">
        <v>1</v>
      </c>
      <c r="D20" s="35">
        <v>1</v>
      </c>
      <c r="E20" s="35">
        <v>1</v>
      </c>
      <c r="F20" s="35">
        <v>1</v>
      </c>
      <c r="G20" s="35">
        <v>1</v>
      </c>
      <c r="H20" s="35">
        <v>1</v>
      </c>
      <c r="I20" s="35">
        <v>1</v>
      </c>
      <c r="J20" s="35">
        <v>1</v>
      </c>
      <c r="K20" s="35">
        <v>1</v>
      </c>
      <c r="L20" s="33"/>
      <c r="N20" s="128"/>
      <c r="O20" s="112"/>
      <c r="P20" s="112"/>
      <c r="Q20" s="114"/>
      <c r="R20" s="114"/>
      <c r="S20" s="114"/>
      <c r="T20" s="114"/>
      <c r="U20" s="114"/>
      <c r="V20" s="62"/>
      <c r="W20" s="62"/>
      <c r="X20" s="60"/>
    </row>
    <row r="21" spans="1:24" ht="14.4" customHeight="1" x14ac:dyDescent="0.3">
      <c r="A21" s="40" t="s">
        <v>61</v>
      </c>
      <c r="B21" s="41">
        <f t="shared" ref="B21:K21" si="7">IF(OR(B12&gt;B$18,B13&gt;B$18,B14&gt;B$18,B15&gt;B$18 ),1,0)</f>
        <v>0</v>
      </c>
      <c r="C21" s="42">
        <f t="shared" si="7"/>
        <v>0</v>
      </c>
      <c r="D21" s="42">
        <f t="shared" si="7"/>
        <v>0</v>
      </c>
      <c r="E21" s="42">
        <f>IF(OR(E12&gt;E$18,E13&gt;E$18,E14&gt;E$18,E15&gt;E$18 ),1,0)</f>
        <v>1</v>
      </c>
      <c r="F21" s="42">
        <f t="shared" si="7"/>
        <v>1</v>
      </c>
      <c r="G21" s="42">
        <f t="shared" si="7"/>
        <v>1</v>
      </c>
      <c r="H21" s="42">
        <f t="shared" si="7"/>
        <v>1</v>
      </c>
      <c r="I21" s="42">
        <f t="shared" si="7"/>
        <v>0</v>
      </c>
      <c r="J21" s="42">
        <f t="shared" si="7"/>
        <v>0</v>
      </c>
      <c r="K21" s="43">
        <f t="shared" si="7"/>
        <v>0</v>
      </c>
      <c r="L21" s="33"/>
      <c r="N21" s="120" t="s">
        <v>85</v>
      </c>
      <c r="O21" s="126" t="s">
        <v>86</v>
      </c>
      <c r="P21" s="126"/>
      <c r="Q21" s="121" t="s">
        <v>87</v>
      </c>
      <c r="R21" s="121"/>
      <c r="S21" s="121"/>
      <c r="T21" s="121"/>
      <c r="U21" s="121"/>
      <c r="V21" s="62"/>
      <c r="W21" s="62"/>
      <c r="X21" s="60"/>
    </row>
    <row r="22" spans="1:24" x14ac:dyDescent="0.3">
      <c r="A22" s="37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3"/>
      <c r="N22" s="120"/>
      <c r="O22" s="126"/>
      <c r="P22" s="126"/>
      <c r="Q22" s="121"/>
      <c r="R22" s="121"/>
      <c r="S22" s="121"/>
      <c r="T22" s="121"/>
      <c r="U22" s="121"/>
      <c r="V22" s="63"/>
      <c r="W22" s="63"/>
      <c r="X22" s="61"/>
    </row>
    <row r="23" spans="1:24" x14ac:dyDescent="0.3">
      <c r="A23" s="116" t="s">
        <v>58</v>
      </c>
      <c r="B23" s="117"/>
      <c r="C23" s="44">
        <f>SUM(B20:K20)</f>
        <v>10</v>
      </c>
      <c r="D23" s="38"/>
      <c r="E23" s="45" t="s">
        <v>64</v>
      </c>
      <c r="F23" s="46">
        <f>C24/C23*100</f>
        <v>40</v>
      </c>
      <c r="G23" s="38"/>
      <c r="H23" s="38"/>
      <c r="I23" s="38"/>
      <c r="J23" s="38"/>
      <c r="K23" s="38"/>
      <c r="L23" s="33"/>
    </row>
    <row r="24" spans="1:24" x14ac:dyDescent="0.3">
      <c r="A24" s="116" t="s">
        <v>60</v>
      </c>
      <c r="B24" s="117"/>
      <c r="C24" s="44">
        <f>SUM(B21:K21)</f>
        <v>4</v>
      </c>
      <c r="D24" s="38"/>
      <c r="E24" s="47" t="s">
        <v>65</v>
      </c>
      <c r="F24" s="46">
        <f>C26/C25*100</f>
        <v>35</v>
      </c>
      <c r="G24" s="38"/>
      <c r="H24" s="38"/>
      <c r="I24" s="38"/>
      <c r="J24" s="38"/>
      <c r="K24" s="38"/>
      <c r="L24" s="33"/>
      <c r="N24" s="13"/>
      <c r="O24" s="13"/>
      <c r="P24" s="13"/>
      <c r="Q24" s="13"/>
      <c r="R24" s="13"/>
      <c r="S24" s="13"/>
      <c r="T24" s="13"/>
      <c r="U24" s="13"/>
      <c r="V24" s="13"/>
      <c r="W24" s="13"/>
    </row>
    <row r="25" spans="1:24" x14ac:dyDescent="0.3">
      <c r="A25" s="116" t="s">
        <v>63</v>
      </c>
      <c r="B25" s="117"/>
      <c r="C25" s="44">
        <f>SUM(B20:K20)*SUM(X3:X6)</f>
        <v>40</v>
      </c>
      <c r="D25" s="38"/>
      <c r="E25" s="47" t="s">
        <v>68</v>
      </c>
      <c r="F25" s="46">
        <f>(SUM(N11:W11)-C26)/C25</f>
        <v>0.11979523809523815</v>
      </c>
      <c r="G25" s="38"/>
      <c r="H25" s="38"/>
      <c r="I25" s="38"/>
      <c r="J25" s="38"/>
      <c r="K25" s="38"/>
      <c r="L25" s="33"/>
      <c r="N25" s="13"/>
      <c r="O25" s="13"/>
      <c r="P25" s="13"/>
      <c r="Q25" s="13"/>
      <c r="R25" s="13"/>
      <c r="S25" s="13"/>
      <c r="T25" s="13"/>
      <c r="U25" s="13"/>
      <c r="V25" s="13"/>
      <c r="W25" s="13"/>
    </row>
    <row r="26" spans="1:24" x14ac:dyDescent="0.3">
      <c r="A26" s="118" t="s">
        <v>62</v>
      </c>
      <c r="B26" s="119"/>
      <c r="C26" s="44">
        <f>SUM(N3:W6)</f>
        <v>14</v>
      </c>
      <c r="D26" s="38"/>
      <c r="E26" s="47" t="s">
        <v>66</v>
      </c>
      <c r="F26" s="46">
        <f>F25/(1+F25)*100</f>
        <v>10.697959235744635</v>
      </c>
      <c r="G26" s="38"/>
      <c r="H26" s="124" t="s">
        <v>69</v>
      </c>
      <c r="I26" s="125"/>
      <c r="J26" s="43">
        <f>100-SQRT(F23*F23+F24*F24+F25*F25)/1.732</f>
        <v>69.312434142376361</v>
      </c>
      <c r="K26" s="48" t="str">
        <f>IF(J26&gt;=95,"Excellent",IF(J26&gt;=80,"Good",IF(J26&gt;=65,"Fair",IF(J26&gt;=45,"Marginal","Poor"))))</f>
        <v>Fair</v>
      </c>
      <c r="L26" s="33"/>
      <c r="N26" s="13"/>
      <c r="O26" s="13"/>
      <c r="P26" s="13"/>
      <c r="Q26" s="13"/>
      <c r="R26" s="13"/>
      <c r="S26" s="13"/>
      <c r="T26" s="13"/>
      <c r="U26" s="13"/>
      <c r="V26" s="13"/>
      <c r="W26" s="13"/>
    </row>
    <row r="27" spans="1:24" x14ac:dyDescent="0.3">
      <c r="A27" s="49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1"/>
      <c r="N27" s="13"/>
      <c r="O27" s="13"/>
      <c r="P27" s="13"/>
      <c r="Q27" s="13"/>
      <c r="R27" s="13"/>
      <c r="S27" s="13"/>
      <c r="T27" s="13"/>
      <c r="U27" s="13"/>
      <c r="V27" s="13"/>
      <c r="W27" s="13"/>
    </row>
  </sheetData>
  <mergeCells count="23">
    <mergeCell ref="Q21:U22"/>
    <mergeCell ref="N13:N14"/>
    <mergeCell ref="Q13:U14"/>
    <mergeCell ref="O13:P14"/>
    <mergeCell ref="H26:I26"/>
    <mergeCell ref="O21:P22"/>
    <mergeCell ref="N17:N18"/>
    <mergeCell ref="N19:N20"/>
    <mergeCell ref="N15:N16"/>
    <mergeCell ref="C17:K17"/>
    <mergeCell ref="A23:B23"/>
    <mergeCell ref="A24:B24"/>
    <mergeCell ref="A25:B25"/>
    <mergeCell ref="A26:B26"/>
    <mergeCell ref="N21:N22"/>
    <mergeCell ref="O12:P12"/>
    <mergeCell ref="Q12:U12"/>
    <mergeCell ref="O15:P16"/>
    <mergeCell ref="O17:P18"/>
    <mergeCell ref="O19:P20"/>
    <mergeCell ref="Q17:U18"/>
    <mergeCell ref="Q19:U20"/>
    <mergeCell ref="Q15:U16"/>
  </mergeCells>
  <conditionalFormatting sqref="B21:K21">
    <cfRule type="cellIs" dxfId="39" priority="10" operator="equal">
      <formula>1</formula>
    </cfRule>
  </conditionalFormatting>
  <conditionalFormatting sqref="N3:W11">
    <cfRule type="cellIs" dxfId="38" priority="9" operator="equal">
      <formula>1</formula>
    </cfRule>
  </conditionalFormatting>
  <conditionalFormatting sqref="H26 J26:K26">
    <cfRule type="expression" dxfId="37" priority="3">
      <formula>$K$26="Poor"</formula>
    </cfRule>
    <cfRule type="expression" dxfId="36" priority="4">
      <formula>$K$26="Marginal"</formula>
    </cfRule>
    <cfRule type="expression" dxfId="35" priority="5">
      <formula>$K$26="Fair"</formula>
    </cfRule>
    <cfRule type="expression" dxfId="34" priority="6">
      <formula>$K$26="Good"</formula>
    </cfRule>
    <cfRule type="expression" dxfId="33" priority="7">
      <formula>$K$26="Excellent"</formula>
    </cfRule>
  </conditionalFormatting>
  <conditionalFormatting sqref="B12:K15">
    <cfRule type="cellIs" dxfId="32" priority="92" operator="greaterThan">
      <formula>B$18</formula>
    </cfRule>
  </conditionalFormatting>
  <conditionalFormatting sqref="B4:K7">
    <cfRule type="cellIs" dxfId="31" priority="2" operator="greaterThan">
      <formula>B$18</formula>
    </cfRule>
  </conditionalFormatting>
  <conditionalFormatting sqref="B20:K20">
    <cfRule type="cellIs" dxfId="3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124F4-7086-45D7-9F10-4F93D170AD44}">
  <dimension ref="A2:L18"/>
  <sheetViews>
    <sheetView workbookViewId="0">
      <selection activeCell="G17" sqref="G17"/>
    </sheetView>
  </sheetViews>
  <sheetFormatPr defaultRowHeight="14.4" x14ac:dyDescent="0.3"/>
  <sheetData>
    <row r="2" spans="1:12" x14ac:dyDescent="0.3">
      <c r="A2" s="71" t="s">
        <v>89</v>
      </c>
      <c r="B2" s="65"/>
      <c r="C2" s="65"/>
      <c r="D2" s="65"/>
      <c r="E2" s="65"/>
      <c r="F2" s="65"/>
      <c r="G2" s="65"/>
      <c r="H2" s="65"/>
      <c r="I2" s="65"/>
      <c r="J2" s="65"/>
      <c r="K2" s="65"/>
    </row>
    <row r="3" spans="1:12" x14ac:dyDescent="0.3">
      <c r="A3" s="19" t="s">
        <v>49</v>
      </c>
      <c r="B3" s="19" t="s">
        <v>3</v>
      </c>
      <c r="C3" s="19" t="s">
        <v>4</v>
      </c>
      <c r="D3" s="19" t="s">
        <v>5</v>
      </c>
      <c r="E3" s="19" t="s">
        <v>6</v>
      </c>
      <c r="F3" s="19" t="s">
        <v>7</v>
      </c>
      <c r="G3" s="19" t="s">
        <v>8</v>
      </c>
      <c r="H3" s="19" t="s">
        <v>9</v>
      </c>
      <c r="I3" s="19" t="s">
        <v>10</v>
      </c>
      <c r="J3" s="19" t="s">
        <v>11</v>
      </c>
      <c r="K3" s="19" t="s">
        <v>12</v>
      </c>
    </row>
    <row r="4" spans="1:12" x14ac:dyDescent="0.3">
      <c r="A4" s="5" t="s">
        <v>91</v>
      </c>
      <c r="B4" s="25">
        <v>7.9</v>
      </c>
      <c r="C4" s="25">
        <v>2.7</v>
      </c>
      <c r="D4" s="25">
        <v>12.4</v>
      </c>
      <c r="E4" s="25">
        <v>9</v>
      </c>
      <c r="F4" s="25">
        <v>1356</v>
      </c>
      <c r="G4" s="25">
        <v>140.6</v>
      </c>
      <c r="H4" s="25">
        <v>168.3</v>
      </c>
      <c r="I4" s="25">
        <v>7.0000000000000007E-2</v>
      </c>
      <c r="J4" s="25">
        <v>0.05</v>
      </c>
      <c r="K4" s="26">
        <v>0.08</v>
      </c>
    </row>
    <row r="7" spans="1:12" x14ac:dyDescent="0.3">
      <c r="A7" s="70" t="s">
        <v>88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1"/>
    </row>
    <row r="8" spans="1:12" x14ac:dyDescent="0.3">
      <c r="A8" s="32" t="s">
        <v>49</v>
      </c>
      <c r="B8" s="32" t="s">
        <v>3</v>
      </c>
      <c r="C8" s="32" t="s">
        <v>4</v>
      </c>
      <c r="D8" s="32" t="s">
        <v>5</v>
      </c>
      <c r="E8" s="32" t="s">
        <v>6</v>
      </c>
      <c r="F8" s="32" t="s">
        <v>7</v>
      </c>
      <c r="G8" s="32" t="s">
        <v>8</v>
      </c>
      <c r="H8" s="32" t="s">
        <v>9</v>
      </c>
      <c r="I8" s="32" t="s">
        <v>10</v>
      </c>
      <c r="J8" s="32" t="s">
        <v>11</v>
      </c>
      <c r="K8" s="32" t="s">
        <v>12</v>
      </c>
      <c r="L8" s="33"/>
    </row>
    <row r="9" spans="1:12" x14ac:dyDescent="0.3">
      <c r="A9" s="28" t="s">
        <v>91</v>
      </c>
      <c r="B9" s="28">
        <f>B4</f>
        <v>7.9</v>
      </c>
      <c r="C9" s="28">
        <f t="shared" ref="C9:K9" si="0">C4</f>
        <v>2.7</v>
      </c>
      <c r="D9" s="28">
        <f t="shared" si="0"/>
        <v>12.4</v>
      </c>
      <c r="E9" s="28">
        <f t="shared" si="0"/>
        <v>9</v>
      </c>
      <c r="F9" s="28">
        <f t="shared" si="0"/>
        <v>1356</v>
      </c>
      <c r="G9" s="28">
        <f t="shared" si="0"/>
        <v>140.6</v>
      </c>
      <c r="H9" s="28">
        <f t="shared" si="0"/>
        <v>168.3</v>
      </c>
      <c r="I9" s="28">
        <f t="shared" si="0"/>
        <v>7.0000000000000007E-2</v>
      </c>
      <c r="J9" s="28">
        <f t="shared" si="0"/>
        <v>0.05</v>
      </c>
      <c r="K9" s="28">
        <f t="shared" si="0"/>
        <v>0.08</v>
      </c>
      <c r="L9" s="33"/>
    </row>
    <row r="10" spans="1:12" s="65" customFormat="1" x14ac:dyDescent="0.3">
      <c r="A10" s="28" t="s">
        <v>94</v>
      </c>
      <c r="B10" s="28">
        <v>7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33"/>
    </row>
    <row r="11" spans="1:12" x14ac:dyDescent="0.3">
      <c r="A11" s="35" t="s">
        <v>54</v>
      </c>
      <c r="B11" s="35" t="s">
        <v>55</v>
      </c>
      <c r="C11" s="105" t="s">
        <v>56</v>
      </c>
      <c r="D11" s="105"/>
      <c r="E11" s="105"/>
      <c r="F11" s="105"/>
      <c r="G11" s="105"/>
      <c r="H11" s="105"/>
      <c r="I11" s="105"/>
      <c r="J11" s="105"/>
      <c r="K11" s="105"/>
      <c r="L11" s="33"/>
    </row>
    <row r="12" spans="1:12" x14ac:dyDescent="0.3">
      <c r="A12" s="36" t="s">
        <v>57</v>
      </c>
      <c r="B12" s="36">
        <v>9</v>
      </c>
      <c r="C12" s="36">
        <v>10</v>
      </c>
      <c r="D12" s="36">
        <v>45</v>
      </c>
      <c r="E12" s="36">
        <v>10</v>
      </c>
      <c r="F12" s="36">
        <v>1500</v>
      </c>
      <c r="G12" s="36">
        <v>350</v>
      </c>
      <c r="H12" s="36">
        <v>500</v>
      </c>
      <c r="I12" s="36">
        <v>10</v>
      </c>
      <c r="J12" s="36">
        <v>0.7</v>
      </c>
      <c r="K12" s="36">
        <v>1</v>
      </c>
      <c r="L12" s="33"/>
    </row>
    <row r="13" spans="1:12" x14ac:dyDescent="0.3">
      <c r="A13" s="37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3"/>
    </row>
    <row r="14" spans="1:12" x14ac:dyDescent="0.3">
      <c r="A14" s="1" t="s">
        <v>92</v>
      </c>
      <c r="B14" s="67">
        <f>1/B12</f>
        <v>0.1111111111111111</v>
      </c>
      <c r="C14" s="68">
        <f t="shared" ref="C14:K14" si="1">1/C12</f>
        <v>0.1</v>
      </c>
      <c r="D14" s="68">
        <f t="shared" si="1"/>
        <v>2.2222222222222223E-2</v>
      </c>
      <c r="E14" s="68">
        <f t="shared" si="1"/>
        <v>0.1</v>
      </c>
      <c r="F14" s="68">
        <f t="shared" si="1"/>
        <v>6.6666666666666664E-4</v>
      </c>
      <c r="G14" s="68">
        <f t="shared" si="1"/>
        <v>2.8571428571428571E-3</v>
      </c>
      <c r="H14" s="68">
        <f t="shared" si="1"/>
        <v>2E-3</v>
      </c>
      <c r="I14" s="68">
        <f t="shared" si="1"/>
        <v>0.1</v>
      </c>
      <c r="J14" s="68">
        <f t="shared" si="1"/>
        <v>1.4285714285714286</v>
      </c>
      <c r="K14" s="69">
        <f t="shared" si="1"/>
        <v>1</v>
      </c>
      <c r="L14" s="33"/>
    </row>
    <row r="15" spans="1:12" x14ac:dyDescent="0.3">
      <c r="A15" s="1" t="s">
        <v>93</v>
      </c>
      <c r="B15" s="67">
        <f>(B9-B10)/(B12-B10)</f>
        <v>0.45000000000000018</v>
      </c>
      <c r="C15" s="68">
        <f t="shared" ref="C15:K15" si="2">(C9-C10)/(C12-C10)</f>
        <v>0.27</v>
      </c>
      <c r="D15" s="68">
        <f t="shared" si="2"/>
        <v>0.27555555555555555</v>
      </c>
      <c r="E15" s="68">
        <f t="shared" si="2"/>
        <v>0.9</v>
      </c>
      <c r="F15" s="68">
        <f t="shared" si="2"/>
        <v>0.90400000000000003</v>
      </c>
      <c r="G15" s="68">
        <f t="shared" si="2"/>
        <v>0.40171428571428569</v>
      </c>
      <c r="H15" s="68">
        <f t="shared" si="2"/>
        <v>0.33660000000000001</v>
      </c>
      <c r="I15" s="68">
        <f t="shared" si="2"/>
        <v>7.000000000000001E-3</v>
      </c>
      <c r="J15" s="68">
        <f t="shared" si="2"/>
        <v>7.1428571428571438E-2</v>
      </c>
      <c r="K15" s="69">
        <f t="shared" si="2"/>
        <v>0.08</v>
      </c>
      <c r="L15" s="33"/>
    </row>
    <row r="16" spans="1:12" x14ac:dyDescent="0.3">
      <c r="A16" s="72" t="s">
        <v>97</v>
      </c>
      <c r="B16" s="67">
        <f>B15*B14*100</f>
        <v>5.0000000000000018</v>
      </c>
      <c r="C16" s="68">
        <f t="shared" ref="C16:K16" si="3">C15*C14*100</f>
        <v>2.7</v>
      </c>
      <c r="D16" s="68">
        <f t="shared" si="3"/>
        <v>0.61234567901234571</v>
      </c>
      <c r="E16" s="68">
        <f t="shared" si="3"/>
        <v>9.0000000000000018</v>
      </c>
      <c r="F16" s="68">
        <f t="shared" si="3"/>
        <v>6.026666666666667E-2</v>
      </c>
      <c r="G16" s="68">
        <f t="shared" si="3"/>
        <v>0.11477551020408162</v>
      </c>
      <c r="H16" s="68">
        <f t="shared" si="3"/>
        <v>6.7320000000000005E-2</v>
      </c>
      <c r="I16" s="68">
        <f t="shared" si="3"/>
        <v>7.0000000000000007E-2</v>
      </c>
      <c r="J16" s="68">
        <f t="shared" si="3"/>
        <v>10.204081632653063</v>
      </c>
      <c r="K16" s="69">
        <f t="shared" si="3"/>
        <v>8</v>
      </c>
      <c r="L16" s="33"/>
    </row>
    <row r="17" spans="1:12" x14ac:dyDescent="0.3">
      <c r="A17" s="1" t="s">
        <v>95</v>
      </c>
      <c r="B17" s="73">
        <f>SUM(B14:K14)</f>
        <v>2.8674285714285714</v>
      </c>
      <c r="C17" s="74"/>
      <c r="D17" s="74"/>
      <c r="E17" s="78" t="s">
        <v>96</v>
      </c>
      <c r="F17" s="79">
        <f>SUM(B16:K16)*B17</f>
        <v>102.73649465912825</v>
      </c>
      <c r="G17" s="74"/>
      <c r="H17" s="74"/>
      <c r="I17" s="74"/>
      <c r="J17" s="74"/>
      <c r="K17" s="74"/>
      <c r="L17" s="33"/>
    </row>
    <row r="18" spans="1:12" x14ac:dyDescent="0.3">
      <c r="A18" s="75"/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7"/>
    </row>
  </sheetData>
  <mergeCells count="1">
    <mergeCell ref="C11:K11"/>
  </mergeCells>
  <conditionalFormatting sqref="B4:K4">
    <cfRule type="cellIs" dxfId="29" priority="1" operator="greaterThan">
      <formula>B$12</formula>
    </cfRule>
  </conditionalFormatting>
  <conditionalFormatting sqref="B9:K10">
    <cfRule type="cellIs" dxfId="28" priority="2" operator="greaterThan">
      <formula>B$12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7E5E3-DC64-4EF6-A324-999723402EA5}">
  <dimension ref="A2:M53"/>
  <sheetViews>
    <sheetView workbookViewId="0">
      <selection activeCell="D57" sqref="D57"/>
    </sheetView>
  </sheetViews>
  <sheetFormatPr defaultRowHeight="14.4" x14ac:dyDescent="0.3"/>
  <cols>
    <col min="2" max="2" width="8.88671875" style="81"/>
  </cols>
  <sheetData>
    <row r="2" spans="1:13" ht="43.2" x14ac:dyDescent="0.3">
      <c r="A2" s="54" t="s">
        <v>103</v>
      </c>
      <c r="B2" s="54" t="s">
        <v>100</v>
      </c>
      <c r="C2" s="55" t="s">
        <v>49</v>
      </c>
      <c r="D2" s="55" t="s">
        <v>3</v>
      </c>
      <c r="E2" s="55" t="s">
        <v>4</v>
      </c>
      <c r="F2" s="55" t="s">
        <v>5</v>
      </c>
      <c r="G2" s="55" t="s">
        <v>6</v>
      </c>
      <c r="H2" s="55" t="s">
        <v>7</v>
      </c>
      <c r="I2" s="55" t="s">
        <v>8</v>
      </c>
      <c r="J2" s="55" t="s">
        <v>9</v>
      </c>
      <c r="K2" s="55" t="s">
        <v>10</v>
      </c>
      <c r="L2" s="55" t="s">
        <v>11</v>
      </c>
      <c r="M2" s="55" t="s">
        <v>12</v>
      </c>
    </row>
    <row r="3" spans="1:13" ht="15" customHeight="1" x14ac:dyDescent="0.3">
      <c r="A3" s="84" t="s">
        <v>101</v>
      </c>
      <c r="B3" s="80">
        <v>2020</v>
      </c>
      <c r="C3" s="3" t="s">
        <v>90</v>
      </c>
      <c r="D3" s="21">
        <v>7.9</v>
      </c>
      <c r="E3" s="21">
        <v>1.6</v>
      </c>
      <c r="F3" s="21">
        <v>9.3000000000000007</v>
      </c>
      <c r="G3" s="21">
        <v>10.1</v>
      </c>
      <c r="H3" s="21">
        <v>1386.4</v>
      </c>
      <c r="I3" s="21">
        <v>210.5</v>
      </c>
      <c r="J3" s="21">
        <v>153.19999999999999</v>
      </c>
      <c r="K3" s="21">
        <v>0.1</v>
      </c>
      <c r="L3" s="21">
        <v>0.08</v>
      </c>
      <c r="M3" s="22">
        <v>0.11</v>
      </c>
    </row>
    <row r="4" spans="1:13" x14ac:dyDescent="0.3">
      <c r="A4" s="84" t="s">
        <v>101</v>
      </c>
      <c r="B4" s="80">
        <v>2020</v>
      </c>
      <c r="C4" s="3" t="s">
        <v>43</v>
      </c>
      <c r="D4" s="24">
        <v>7.9</v>
      </c>
      <c r="E4" s="24">
        <v>1.9</v>
      </c>
      <c r="F4" s="24">
        <v>9.9</v>
      </c>
      <c r="G4" s="24">
        <v>13.2</v>
      </c>
      <c r="H4" s="24">
        <v>1589.2</v>
      </c>
      <c r="I4" s="24">
        <v>275.10000000000002</v>
      </c>
      <c r="J4" s="24">
        <v>204.6</v>
      </c>
      <c r="K4" s="24">
        <v>0.12</v>
      </c>
      <c r="L4" s="24">
        <v>0.14000000000000001</v>
      </c>
      <c r="M4" s="23">
        <v>0.18</v>
      </c>
    </row>
    <row r="5" spans="1:13" x14ac:dyDescent="0.3">
      <c r="A5" s="84" t="s">
        <v>101</v>
      </c>
      <c r="B5" s="80">
        <v>2020</v>
      </c>
      <c r="C5" s="3" t="s">
        <v>44</v>
      </c>
      <c r="D5" s="24">
        <v>7.7</v>
      </c>
      <c r="E5" s="24">
        <v>1.7</v>
      </c>
      <c r="F5" s="24">
        <v>9.6</v>
      </c>
      <c r="G5" s="24">
        <v>11.2</v>
      </c>
      <c r="H5" s="24">
        <v>1522.8</v>
      </c>
      <c r="I5" s="24">
        <v>262.3</v>
      </c>
      <c r="J5" s="24">
        <v>168.5</v>
      </c>
      <c r="K5" s="24">
        <v>0.16</v>
      </c>
      <c r="L5" s="24">
        <v>0.14000000000000001</v>
      </c>
      <c r="M5" s="23">
        <v>0.12</v>
      </c>
    </row>
    <row r="6" spans="1:13" x14ac:dyDescent="0.3">
      <c r="A6" s="84" t="s">
        <v>101</v>
      </c>
      <c r="B6" s="80">
        <v>2020</v>
      </c>
      <c r="C6" s="3" t="s">
        <v>50</v>
      </c>
      <c r="D6" s="25">
        <v>8.3000000000000007</v>
      </c>
      <c r="E6" s="25">
        <v>1.8</v>
      </c>
      <c r="F6" s="25">
        <v>9.5</v>
      </c>
      <c r="G6" s="25">
        <v>13.5</v>
      </c>
      <c r="H6" s="25">
        <v>1569.9</v>
      </c>
      <c r="I6" s="25">
        <v>270.2</v>
      </c>
      <c r="J6" s="25">
        <v>206.8</v>
      </c>
      <c r="K6" s="25">
        <v>0.11</v>
      </c>
      <c r="L6" s="25">
        <v>0.16</v>
      </c>
      <c r="M6" s="26">
        <v>0.15</v>
      </c>
    </row>
    <row r="7" spans="1:13" ht="14.4" customHeight="1" x14ac:dyDescent="0.3">
      <c r="A7" s="84" t="s">
        <v>101</v>
      </c>
      <c r="B7" s="80">
        <v>2021</v>
      </c>
      <c r="C7" s="3" t="s">
        <v>90</v>
      </c>
      <c r="D7" s="21">
        <v>7.6</v>
      </c>
      <c r="E7" s="21">
        <v>1.5</v>
      </c>
      <c r="F7" s="21">
        <v>9.6999999999999993</v>
      </c>
      <c r="G7" s="21">
        <v>10.9</v>
      </c>
      <c r="H7" s="21">
        <v>1022.3</v>
      </c>
      <c r="I7" s="21">
        <v>221</v>
      </c>
      <c r="J7" s="21">
        <v>272.2</v>
      </c>
      <c r="K7" s="21">
        <v>0.09</v>
      </c>
      <c r="L7" s="21">
        <v>0.15</v>
      </c>
      <c r="M7" s="22">
        <v>0.19</v>
      </c>
    </row>
    <row r="8" spans="1:13" x14ac:dyDescent="0.3">
      <c r="A8" s="84" t="s">
        <v>101</v>
      </c>
      <c r="B8" s="80">
        <v>2021</v>
      </c>
      <c r="C8" s="3" t="s">
        <v>43</v>
      </c>
      <c r="D8" s="24">
        <v>7.8</v>
      </c>
      <c r="E8" s="24">
        <v>1.8</v>
      </c>
      <c r="F8" s="24">
        <v>9.8000000000000007</v>
      </c>
      <c r="G8" s="24">
        <v>12.1</v>
      </c>
      <c r="H8" s="24">
        <v>1580.1</v>
      </c>
      <c r="I8" s="24">
        <v>266</v>
      </c>
      <c r="J8" s="24">
        <v>296.2</v>
      </c>
      <c r="K8" s="24">
        <v>0.1</v>
      </c>
      <c r="L8" s="24">
        <v>0.11</v>
      </c>
      <c r="M8" s="23">
        <v>0.17</v>
      </c>
    </row>
    <row r="9" spans="1:13" x14ac:dyDescent="0.3">
      <c r="A9" s="84" t="s">
        <v>101</v>
      </c>
      <c r="B9" s="80">
        <v>2021</v>
      </c>
      <c r="C9" s="3" t="s">
        <v>44</v>
      </c>
      <c r="D9" s="24">
        <v>7.7</v>
      </c>
      <c r="E9" s="24">
        <v>2.2000000000000002</v>
      </c>
      <c r="F9" s="24">
        <v>9.8000000000000007</v>
      </c>
      <c r="G9" s="24">
        <v>12.4</v>
      </c>
      <c r="H9" s="24">
        <v>1428.7</v>
      </c>
      <c r="I9" s="24">
        <v>297</v>
      </c>
      <c r="J9" s="24">
        <v>289.60000000000002</v>
      </c>
      <c r="K9" s="24">
        <v>0.2</v>
      </c>
      <c r="L9" s="24">
        <v>0.14000000000000001</v>
      </c>
      <c r="M9" s="23">
        <v>0.16</v>
      </c>
    </row>
    <row r="10" spans="1:13" x14ac:dyDescent="0.3">
      <c r="A10" s="84" t="s">
        <v>101</v>
      </c>
      <c r="B10" s="80">
        <v>2021</v>
      </c>
      <c r="C10" s="3" t="s">
        <v>50</v>
      </c>
      <c r="D10" s="25">
        <v>8.6999999999999993</v>
      </c>
      <c r="E10" s="25">
        <v>2.5</v>
      </c>
      <c r="F10" s="25">
        <v>9.6</v>
      </c>
      <c r="G10" s="25">
        <v>13.6</v>
      </c>
      <c r="H10" s="25">
        <v>1479.2</v>
      </c>
      <c r="I10" s="25">
        <v>294.8</v>
      </c>
      <c r="J10" s="25">
        <v>293.39999999999998</v>
      </c>
      <c r="K10" s="25">
        <v>0.16</v>
      </c>
      <c r="L10" s="25">
        <v>0.15</v>
      </c>
      <c r="M10" s="26">
        <v>0.14000000000000001</v>
      </c>
    </row>
    <row r="11" spans="1:13" ht="14.4" customHeight="1" x14ac:dyDescent="0.3">
      <c r="A11" s="84" t="s">
        <v>101</v>
      </c>
      <c r="B11" s="80">
        <v>2022</v>
      </c>
      <c r="C11" s="3" t="s">
        <v>90</v>
      </c>
      <c r="D11" s="21">
        <v>7.4</v>
      </c>
      <c r="E11" s="21">
        <v>2.7</v>
      </c>
      <c r="F11" s="21">
        <v>10.8</v>
      </c>
      <c r="G11" s="21">
        <v>18.5</v>
      </c>
      <c r="H11" s="21">
        <v>1590</v>
      </c>
      <c r="I11" s="21">
        <v>297.5</v>
      </c>
      <c r="J11" s="21">
        <v>368.4</v>
      </c>
      <c r="K11" s="21">
        <v>0.2</v>
      </c>
      <c r="L11" s="21">
        <v>0.1</v>
      </c>
      <c r="M11" s="22">
        <v>0.2</v>
      </c>
    </row>
    <row r="12" spans="1:13" x14ac:dyDescent="0.3">
      <c r="A12" s="84" t="s">
        <v>101</v>
      </c>
      <c r="B12" s="80">
        <v>2022</v>
      </c>
      <c r="C12" s="3" t="s">
        <v>43</v>
      </c>
      <c r="D12" s="24">
        <v>8.1999999999999993</v>
      </c>
      <c r="E12" s="24">
        <v>2.8</v>
      </c>
      <c r="F12" s="24">
        <v>12.5</v>
      </c>
      <c r="G12" s="24">
        <v>16.5</v>
      </c>
      <c r="H12" s="24">
        <v>1543.2</v>
      </c>
      <c r="I12" s="24">
        <v>45.5</v>
      </c>
      <c r="J12" s="24">
        <v>389.4</v>
      </c>
      <c r="K12" s="24">
        <v>0.3</v>
      </c>
      <c r="L12" s="24">
        <v>0.05</v>
      </c>
      <c r="M12" s="23">
        <v>0.3</v>
      </c>
    </row>
    <row r="13" spans="1:13" x14ac:dyDescent="0.3">
      <c r="A13" s="84" t="s">
        <v>101</v>
      </c>
      <c r="B13" s="80">
        <v>2022</v>
      </c>
      <c r="C13" s="3" t="s">
        <v>44</v>
      </c>
      <c r="D13" s="24">
        <v>7.6</v>
      </c>
      <c r="E13" s="24">
        <v>2.6</v>
      </c>
      <c r="F13" s="24">
        <v>14.2</v>
      </c>
      <c r="G13" s="24">
        <v>21.3</v>
      </c>
      <c r="H13" s="24">
        <v>1560</v>
      </c>
      <c r="I13" s="24">
        <v>356</v>
      </c>
      <c r="J13" s="24">
        <v>272</v>
      </c>
      <c r="K13" s="24">
        <v>0.18</v>
      </c>
      <c r="L13" s="24">
        <v>0.14000000000000001</v>
      </c>
      <c r="M13" s="23">
        <v>0.19</v>
      </c>
    </row>
    <row r="14" spans="1:13" x14ac:dyDescent="0.3">
      <c r="A14" s="84" t="s">
        <v>101</v>
      </c>
      <c r="B14" s="80">
        <v>2022</v>
      </c>
      <c r="C14" s="3" t="s">
        <v>50</v>
      </c>
      <c r="D14" s="25">
        <v>6.9</v>
      </c>
      <c r="E14" s="25">
        <v>2.5</v>
      </c>
      <c r="F14" s="25">
        <v>10.3</v>
      </c>
      <c r="G14" s="25">
        <v>18.7</v>
      </c>
      <c r="H14" s="25">
        <v>1548.4</v>
      </c>
      <c r="I14" s="25">
        <v>260</v>
      </c>
      <c r="J14" s="25">
        <v>320</v>
      </c>
      <c r="K14" s="25">
        <v>0.11</v>
      </c>
      <c r="L14" s="25">
        <v>0.11</v>
      </c>
      <c r="M14" s="26">
        <v>0.13</v>
      </c>
    </row>
    <row r="15" spans="1:13" ht="14.4" customHeight="1" x14ac:dyDescent="0.3">
      <c r="A15" s="84" t="s">
        <v>101</v>
      </c>
      <c r="B15" s="80">
        <v>2023</v>
      </c>
      <c r="C15" s="3" t="s">
        <v>90</v>
      </c>
      <c r="D15" s="21">
        <v>7.5</v>
      </c>
      <c r="E15" s="21">
        <v>2.1</v>
      </c>
      <c r="F15" s="21">
        <v>9.9</v>
      </c>
      <c r="G15" s="21">
        <v>13.8</v>
      </c>
      <c r="H15" s="21">
        <v>1510.3</v>
      </c>
      <c r="I15" s="21">
        <v>206</v>
      </c>
      <c r="J15" s="21">
        <v>321.60000000000002</v>
      </c>
      <c r="K15" s="21">
        <v>0.11</v>
      </c>
      <c r="L15" s="21">
        <v>7.0000000000000007E-2</v>
      </c>
      <c r="M15" s="22">
        <v>0.12</v>
      </c>
    </row>
    <row r="16" spans="1:13" x14ac:dyDescent="0.3">
      <c r="A16" s="84" t="s">
        <v>101</v>
      </c>
      <c r="B16" s="80">
        <v>2023</v>
      </c>
      <c r="C16" s="3" t="s">
        <v>43</v>
      </c>
      <c r="D16" s="24">
        <v>7.8</v>
      </c>
      <c r="E16" s="24">
        <v>2.4</v>
      </c>
      <c r="F16" s="24">
        <v>13.2</v>
      </c>
      <c r="G16" s="24">
        <v>11.6</v>
      </c>
      <c r="H16" s="24">
        <v>1545</v>
      </c>
      <c r="I16" s="24">
        <v>210</v>
      </c>
      <c r="J16" s="24">
        <v>230.4</v>
      </c>
      <c r="K16" s="24">
        <v>0.05</v>
      </c>
      <c r="L16" s="24">
        <v>0.08</v>
      </c>
      <c r="M16" s="23">
        <v>0.08</v>
      </c>
    </row>
    <row r="17" spans="1:13" x14ac:dyDescent="0.3">
      <c r="A17" s="84" t="s">
        <v>101</v>
      </c>
      <c r="B17" s="80">
        <v>2023</v>
      </c>
      <c r="C17" s="3" t="s">
        <v>44</v>
      </c>
      <c r="D17" s="24">
        <v>7.7</v>
      </c>
      <c r="E17" s="24">
        <v>1.8</v>
      </c>
      <c r="F17" s="24">
        <v>13.6</v>
      </c>
      <c r="G17" s="24">
        <v>10.6</v>
      </c>
      <c r="H17" s="24">
        <v>1570</v>
      </c>
      <c r="I17" s="24">
        <v>143.5</v>
      </c>
      <c r="J17" s="24">
        <v>158.4</v>
      </c>
      <c r="K17" s="24">
        <v>7.0000000000000007E-2</v>
      </c>
      <c r="L17" s="24">
        <v>0.06</v>
      </c>
      <c r="M17" s="23">
        <v>0.06</v>
      </c>
    </row>
    <row r="18" spans="1:13" x14ac:dyDescent="0.3">
      <c r="A18" s="84" t="s">
        <v>101</v>
      </c>
      <c r="B18" s="80">
        <v>2023</v>
      </c>
      <c r="C18" s="3" t="s">
        <v>50</v>
      </c>
      <c r="D18" s="25">
        <v>7.9</v>
      </c>
      <c r="E18" s="25">
        <v>2.7</v>
      </c>
      <c r="F18" s="25">
        <v>12.4</v>
      </c>
      <c r="G18" s="25">
        <v>13.9</v>
      </c>
      <c r="H18" s="25">
        <v>1690</v>
      </c>
      <c r="I18" s="25">
        <v>140.6</v>
      </c>
      <c r="J18" s="25">
        <v>168.3</v>
      </c>
      <c r="K18" s="25">
        <v>7.0000000000000007E-2</v>
      </c>
      <c r="L18" s="25">
        <v>0.05</v>
      </c>
      <c r="M18" s="26">
        <v>0.08</v>
      </c>
    </row>
    <row r="19" spans="1:13" x14ac:dyDescent="0.3">
      <c r="A19" s="84" t="s">
        <v>102</v>
      </c>
      <c r="B19" s="80">
        <v>2017</v>
      </c>
      <c r="C19" s="3" t="s">
        <v>90</v>
      </c>
      <c r="D19" s="21">
        <v>8.5</v>
      </c>
      <c r="E19" s="21">
        <v>2.85</v>
      </c>
      <c r="F19" s="21">
        <v>14.3</v>
      </c>
      <c r="G19" s="21">
        <v>14</v>
      </c>
      <c r="H19" s="21">
        <v>1625</v>
      </c>
      <c r="I19" s="21">
        <v>356</v>
      </c>
      <c r="J19" s="21">
        <v>345</v>
      </c>
      <c r="K19" s="21">
        <v>0.24</v>
      </c>
      <c r="L19" s="21">
        <v>0.33</v>
      </c>
      <c r="M19" s="22">
        <v>0.33</v>
      </c>
    </row>
    <row r="20" spans="1:13" x14ac:dyDescent="0.3">
      <c r="A20" s="84" t="s">
        <v>102</v>
      </c>
      <c r="B20" s="80">
        <v>2017</v>
      </c>
      <c r="C20" s="3" t="s">
        <v>43</v>
      </c>
      <c r="D20" s="24">
        <v>8</v>
      </c>
      <c r="E20" s="24">
        <v>2.75</v>
      </c>
      <c r="F20" s="24">
        <v>16.3</v>
      </c>
      <c r="G20" s="24">
        <v>13</v>
      </c>
      <c r="H20" s="24">
        <v>1550</v>
      </c>
      <c r="I20" s="24">
        <v>353</v>
      </c>
      <c r="J20" s="24">
        <v>395.4</v>
      </c>
      <c r="K20" s="24">
        <v>0.25</v>
      </c>
      <c r="L20" s="24">
        <v>0.32</v>
      </c>
      <c r="M20" s="23">
        <v>0.31</v>
      </c>
    </row>
    <row r="21" spans="1:13" x14ac:dyDescent="0.3">
      <c r="A21" s="84" t="s">
        <v>102</v>
      </c>
      <c r="B21" s="80">
        <v>2017</v>
      </c>
      <c r="C21" s="3" t="s">
        <v>44</v>
      </c>
      <c r="D21" s="24">
        <v>8.3000000000000007</v>
      </c>
      <c r="E21" s="24">
        <v>2.86</v>
      </c>
      <c r="F21" s="24">
        <v>12.7</v>
      </c>
      <c r="G21" s="24">
        <v>14</v>
      </c>
      <c r="H21" s="24">
        <v>1590</v>
      </c>
      <c r="I21" s="24">
        <v>351</v>
      </c>
      <c r="J21" s="24">
        <v>378</v>
      </c>
      <c r="K21" s="24">
        <v>0.28999999999999998</v>
      </c>
      <c r="L21" s="24">
        <v>0.31</v>
      </c>
      <c r="M21" s="23">
        <v>0.3</v>
      </c>
    </row>
    <row r="22" spans="1:13" x14ac:dyDescent="0.3">
      <c r="A22" s="84" t="s">
        <v>102</v>
      </c>
      <c r="B22" s="80">
        <v>2017</v>
      </c>
      <c r="C22" s="3" t="s">
        <v>50</v>
      </c>
      <c r="D22" s="25">
        <v>8</v>
      </c>
      <c r="E22" s="25">
        <v>2.9</v>
      </c>
      <c r="F22" s="25">
        <v>11.9</v>
      </c>
      <c r="G22" s="25">
        <v>14</v>
      </c>
      <c r="H22" s="25">
        <v>1623</v>
      </c>
      <c r="I22" s="25">
        <v>355</v>
      </c>
      <c r="J22" s="25">
        <v>458</v>
      </c>
      <c r="K22" s="25">
        <v>0.33</v>
      </c>
      <c r="L22" s="25">
        <v>0.34</v>
      </c>
      <c r="M22" s="26">
        <v>0.32</v>
      </c>
    </row>
    <row r="23" spans="1:13" ht="14.4" customHeight="1" x14ac:dyDescent="0.3">
      <c r="A23" s="84" t="s">
        <v>102</v>
      </c>
      <c r="B23" s="80">
        <v>2018</v>
      </c>
      <c r="C23" s="3" t="s">
        <v>90</v>
      </c>
      <c r="D23" s="21">
        <v>8.6999999999999993</v>
      </c>
      <c r="E23" s="21">
        <v>4.4000000000000004</v>
      </c>
      <c r="F23" s="21">
        <v>15.6</v>
      </c>
      <c r="G23" s="21">
        <v>18</v>
      </c>
      <c r="H23" s="21">
        <v>1990</v>
      </c>
      <c r="I23" s="21">
        <v>520</v>
      </c>
      <c r="J23" s="21">
        <v>358.1</v>
      </c>
      <c r="K23" s="21">
        <v>0.28000000000000003</v>
      </c>
      <c r="L23" s="21">
        <v>0.19</v>
      </c>
      <c r="M23" s="22">
        <v>0.2</v>
      </c>
    </row>
    <row r="24" spans="1:13" x14ac:dyDescent="0.3">
      <c r="A24" s="84" t="s">
        <v>102</v>
      </c>
      <c r="B24" s="80">
        <v>2018</v>
      </c>
      <c r="C24" s="3" t="s">
        <v>43</v>
      </c>
      <c r="D24" s="24">
        <v>8.9</v>
      </c>
      <c r="E24" s="24">
        <v>4</v>
      </c>
      <c r="F24" s="24">
        <v>14</v>
      </c>
      <c r="G24" s="24">
        <v>15</v>
      </c>
      <c r="H24" s="24">
        <v>1836</v>
      </c>
      <c r="I24" s="24">
        <v>412</v>
      </c>
      <c r="J24" s="24">
        <v>504.1</v>
      </c>
      <c r="K24" s="24">
        <v>0.26</v>
      </c>
      <c r="L24" s="24">
        <v>0.18</v>
      </c>
      <c r="M24" s="23">
        <v>0.19</v>
      </c>
    </row>
    <row r="25" spans="1:13" x14ac:dyDescent="0.3">
      <c r="A25" s="84" t="s">
        <v>102</v>
      </c>
      <c r="B25" s="80">
        <v>2018</v>
      </c>
      <c r="C25" s="3" t="s">
        <v>44</v>
      </c>
      <c r="D25" s="24">
        <v>8</v>
      </c>
      <c r="E25" s="24">
        <v>3.6</v>
      </c>
      <c r="F25" s="24">
        <v>12.2</v>
      </c>
      <c r="G25" s="24">
        <v>14</v>
      </c>
      <c r="H25" s="24">
        <v>1597</v>
      </c>
      <c r="I25" s="24">
        <v>356</v>
      </c>
      <c r="J25" s="24">
        <v>477.3</v>
      </c>
      <c r="K25" s="24">
        <v>0.25</v>
      </c>
      <c r="L25" s="24">
        <v>0.17</v>
      </c>
      <c r="M25" s="23">
        <v>0.16</v>
      </c>
    </row>
    <row r="26" spans="1:13" x14ac:dyDescent="0.3">
      <c r="A26" s="84" t="s">
        <v>102</v>
      </c>
      <c r="B26" s="80">
        <v>2018</v>
      </c>
      <c r="C26" s="3" t="s">
        <v>50</v>
      </c>
      <c r="D26" s="25">
        <v>8.9</v>
      </c>
      <c r="E26" s="25">
        <v>4.3</v>
      </c>
      <c r="F26" s="25">
        <v>14.9</v>
      </c>
      <c r="G26" s="25">
        <v>29</v>
      </c>
      <c r="H26" s="25">
        <v>1890</v>
      </c>
      <c r="I26" s="25">
        <v>451</v>
      </c>
      <c r="J26" s="25">
        <v>456.4</v>
      </c>
      <c r="K26" s="25">
        <v>0.27</v>
      </c>
      <c r="L26" s="25">
        <v>0.18</v>
      </c>
      <c r="M26" s="26">
        <v>0.18</v>
      </c>
    </row>
    <row r="27" spans="1:13" ht="14.4" customHeight="1" x14ac:dyDescent="0.3">
      <c r="A27" s="84" t="s">
        <v>102</v>
      </c>
      <c r="B27" s="80">
        <v>2019</v>
      </c>
      <c r="C27" s="3" t="s">
        <v>90</v>
      </c>
      <c r="D27" s="21">
        <v>8.5</v>
      </c>
      <c r="E27" s="21">
        <v>2.21</v>
      </c>
      <c r="F27" s="21">
        <v>11.8</v>
      </c>
      <c r="G27" s="21">
        <v>19</v>
      </c>
      <c r="H27" s="21">
        <v>1708</v>
      </c>
      <c r="I27" s="21">
        <v>385</v>
      </c>
      <c r="J27" s="21">
        <v>458.1</v>
      </c>
      <c r="K27" s="21">
        <v>0.19</v>
      </c>
      <c r="L27" s="21">
        <v>0.2</v>
      </c>
      <c r="M27" s="22">
        <v>0.19</v>
      </c>
    </row>
    <row r="28" spans="1:13" x14ac:dyDescent="0.3">
      <c r="A28" s="84" t="s">
        <v>102</v>
      </c>
      <c r="B28" s="80">
        <v>2019</v>
      </c>
      <c r="C28" s="3" t="s">
        <v>43</v>
      </c>
      <c r="D28" s="24">
        <v>8</v>
      </c>
      <c r="E28" s="24">
        <v>2.2000000000000002</v>
      </c>
      <c r="F28" s="24">
        <v>13</v>
      </c>
      <c r="G28" s="24">
        <v>17</v>
      </c>
      <c r="H28" s="24">
        <v>1602</v>
      </c>
      <c r="I28" s="24">
        <v>361</v>
      </c>
      <c r="J28" s="24">
        <v>534.1</v>
      </c>
      <c r="K28" s="24">
        <v>0.16</v>
      </c>
      <c r="L28" s="24">
        <v>0.1</v>
      </c>
      <c r="M28" s="23">
        <v>0.17</v>
      </c>
    </row>
    <row r="29" spans="1:13" x14ac:dyDescent="0.3">
      <c r="A29" s="84" t="s">
        <v>102</v>
      </c>
      <c r="B29" s="80">
        <v>2019</v>
      </c>
      <c r="C29" s="3" t="s">
        <v>44</v>
      </c>
      <c r="D29" s="24">
        <v>7.5</v>
      </c>
      <c r="E29" s="24">
        <v>2.19</v>
      </c>
      <c r="F29" s="24">
        <v>12.7</v>
      </c>
      <c r="G29" s="24">
        <v>16</v>
      </c>
      <c r="H29" s="24">
        <v>1500</v>
      </c>
      <c r="I29" s="24">
        <v>352</v>
      </c>
      <c r="J29" s="24">
        <v>397.3</v>
      </c>
      <c r="K29" s="24">
        <v>0.15</v>
      </c>
      <c r="L29" s="24">
        <v>0.4</v>
      </c>
      <c r="M29" s="23">
        <v>0.16</v>
      </c>
    </row>
    <row r="30" spans="1:13" x14ac:dyDescent="0.3">
      <c r="A30" s="84" t="s">
        <v>102</v>
      </c>
      <c r="B30" s="80">
        <v>2019</v>
      </c>
      <c r="C30" s="3" t="s">
        <v>50</v>
      </c>
      <c r="D30" s="25">
        <v>8.3000000000000007</v>
      </c>
      <c r="E30" s="25">
        <v>2.2200000000000002</v>
      </c>
      <c r="F30" s="25">
        <v>10.4</v>
      </c>
      <c r="G30" s="25">
        <v>18</v>
      </c>
      <c r="H30" s="25">
        <v>1623</v>
      </c>
      <c r="I30" s="25">
        <v>374</v>
      </c>
      <c r="J30" s="25">
        <v>356</v>
      </c>
      <c r="K30" s="25">
        <v>0.18</v>
      </c>
      <c r="L30" s="25">
        <v>0.2</v>
      </c>
      <c r="M30" s="26">
        <v>0.18</v>
      </c>
    </row>
    <row r="31" spans="1:13" ht="14.4" customHeight="1" x14ac:dyDescent="0.3">
      <c r="A31" s="84" t="s">
        <v>102</v>
      </c>
      <c r="B31" s="80">
        <v>2020</v>
      </c>
      <c r="C31" s="3" t="s">
        <v>90</v>
      </c>
      <c r="D31" s="21">
        <v>8.5</v>
      </c>
      <c r="E31" s="21">
        <v>3.5</v>
      </c>
      <c r="F31" s="21">
        <v>14</v>
      </c>
      <c r="G31" s="21">
        <v>18</v>
      </c>
      <c r="H31" s="21">
        <v>1550</v>
      </c>
      <c r="I31" s="21">
        <v>359</v>
      </c>
      <c r="J31" s="21">
        <v>450</v>
      </c>
      <c r="K31" s="21">
        <v>0.28999999999999998</v>
      </c>
      <c r="L31" s="21">
        <v>0.32</v>
      </c>
      <c r="M31" s="22">
        <v>0.33</v>
      </c>
    </row>
    <row r="32" spans="1:13" x14ac:dyDescent="0.3">
      <c r="A32" s="84" t="s">
        <v>102</v>
      </c>
      <c r="B32" s="80">
        <v>2020</v>
      </c>
      <c r="C32" s="3" t="s">
        <v>43</v>
      </c>
      <c r="D32" s="24">
        <v>8</v>
      </c>
      <c r="E32" s="24">
        <v>2.9</v>
      </c>
      <c r="F32" s="24">
        <v>13</v>
      </c>
      <c r="G32" s="24">
        <v>12</v>
      </c>
      <c r="H32" s="24">
        <v>2100</v>
      </c>
      <c r="I32" s="24">
        <v>352</v>
      </c>
      <c r="J32" s="24">
        <v>410</v>
      </c>
      <c r="K32" s="24">
        <v>0.28000000000000003</v>
      </c>
      <c r="L32" s="24">
        <v>0.31</v>
      </c>
      <c r="M32" s="23">
        <v>0.3</v>
      </c>
    </row>
    <row r="33" spans="1:13" x14ac:dyDescent="0.3">
      <c r="A33" s="84" t="s">
        <v>102</v>
      </c>
      <c r="B33" s="80">
        <v>2020</v>
      </c>
      <c r="C33" s="3" t="s">
        <v>44</v>
      </c>
      <c r="D33" s="24">
        <v>7.5</v>
      </c>
      <c r="E33" s="24">
        <v>2.6</v>
      </c>
      <c r="F33" s="24">
        <v>9</v>
      </c>
      <c r="G33" s="24">
        <v>15</v>
      </c>
      <c r="H33" s="24">
        <v>1550</v>
      </c>
      <c r="I33" s="24">
        <v>351</v>
      </c>
      <c r="J33" s="24">
        <v>450</v>
      </c>
      <c r="K33" s="24">
        <v>0.26</v>
      </c>
      <c r="L33" s="24">
        <v>0.25</v>
      </c>
      <c r="M33" s="23">
        <v>0.28000000000000003</v>
      </c>
    </row>
    <row r="34" spans="1:13" x14ac:dyDescent="0.3">
      <c r="A34" s="84" t="s">
        <v>102</v>
      </c>
      <c r="B34" s="80">
        <v>2020</v>
      </c>
      <c r="C34" s="3" t="s">
        <v>50</v>
      </c>
      <c r="D34" s="25">
        <v>8.1999999999999993</v>
      </c>
      <c r="E34" s="25">
        <v>3.3</v>
      </c>
      <c r="F34" s="25">
        <v>13</v>
      </c>
      <c r="G34" s="25">
        <v>22</v>
      </c>
      <c r="H34" s="25">
        <v>2430</v>
      </c>
      <c r="I34" s="25">
        <v>357</v>
      </c>
      <c r="J34" s="25">
        <v>570</v>
      </c>
      <c r="K34" s="25">
        <v>0.28999999999999998</v>
      </c>
      <c r="L34" s="25">
        <v>0.31</v>
      </c>
      <c r="M34" s="26">
        <v>0.28999999999999998</v>
      </c>
    </row>
    <row r="35" spans="1:13" ht="14.4" customHeight="1" x14ac:dyDescent="0.3">
      <c r="A35" s="84" t="s">
        <v>102</v>
      </c>
      <c r="B35" s="80">
        <v>2021</v>
      </c>
      <c r="C35" s="3" t="s">
        <v>90</v>
      </c>
      <c r="D35" s="21">
        <v>7.5</v>
      </c>
      <c r="E35" s="21">
        <v>4.18</v>
      </c>
      <c r="F35" s="21">
        <v>7.9</v>
      </c>
      <c r="G35" s="21">
        <v>20.3</v>
      </c>
      <c r="H35" s="21">
        <v>3027</v>
      </c>
      <c r="I35" s="21">
        <v>621</v>
      </c>
      <c r="J35" s="21">
        <v>570</v>
      </c>
      <c r="K35" s="21">
        <v>0.3</v>
      </c>
      <c r="L35" s="21">
        <v>0.37</v>
      </c>
      <c r="M35" s="22">
        <v>0.34</v>
      </c>
    </row>
    <row r="36" spans="1:13" x14ac:dyDescent="0.3">
      <c r="A36" s="84" t="s">
        <v>102</v>
      </c>
      <c r="B36" s="80">
        <v>2021</v>
      </c>
      <c r="C36" s="3" t="s">
        <v>43</v>
      </c>
      <c r="D36" s="24">
        <v>7.5</v>
      </c>
      <c r="E36" s="24">
        <v>3.2</v>
      </c>
      <c r="F36" s="24">
        <v>14</v>
      </c>
      <c r="G36" s="24">
        <v>9.5</v>
      </c>
      <c r="H36" s="24">
        <v>910</v>
      </c>
      <c r="I36" s="24">
        <v>347</v>
      </c>
      <c r="J36" s="24">
        <v>420</v>
      </c>
      <c r="K36" s="24">
        <v>0.18</v>
      </c>
      <c r="L36" s="24">
        <v>0.19</v>
      </c>
      <c r="M36" s="23">
        <v>0.18</v>
      </c>
    </row>
    <row r="37" spans="1:13" x14ac:dyDescent="0.3">
      <c r="A37" s="84" t="s">
        <v>102</v>
      </c>
      <c r="B37" s="80">
        <v>2021</v>
      </c>
      <c r="C37" s="3" t="s">
        <v>44</v>
      </c>
      <c r="D37" s="24">
        <v>6</v>
      </c>
      <c r="E37" s="24">
        <v>5.12</v>
      </c>
      <c r="F37" s="24">
        <v>12.6</v>
      </c>
      <c r="G37" s="24">
        <v>9.6999999999999993</v>
      </c>
      <c r="H37" s="24">
        <v>940</v>
      </c>
      <c r="I37" s="24">
        <v>345</v>
      </c>
      <c r="J37" s="24">
        <v>427</v>
      </c>
      <c r="K37" s="24">
        <v>0.18</v>
      </c>
      <c r="L37" s="24">
        <v>0.16</v>
      </c>
      <c r="M37" s="23">
        <v>0.15</v>
      </c>
    </row>
    <row r="38" spans="1:13" x14ac:dyDescent="0.3">
      <c r="A38" s="84" t="s">
        <v>102</v>
      </c>
      <c r="B38" s="80">
        <v>2021</v>
      </c>
      <c r="C38" s="3" t="s">
        <v>50</v>
      </c>
      <c r="D38" s="25">
        <v>7.5</v>
      </c>
      <c r="E38" s="25">
        <v>2.1</v>
      </c>
      <c r="F38" s="25">
        <v>13.3</v>
      </c>
      <c r="G38" s="25">
        <v>22</v>
      </c>
      <c r="H38" s="25">
        <v>2710</v>
      </c>
      <c r="I38" s="25">
        <v>574</v>
      </c>
      <c r="J38" s="25">
        <v>590</v>
      </c>
      <c r="K38" s="25">
        <v>0.15</v>
      </c>
      <c r="L38" s="25">
        <v>0.11</v>
      </c>
      <c r="M38" s="26">
        <v>0.15</v>
      </c>
    </row>
    <row r="39" spans="1:13" ht="14.4" customHeight="1" x14ac:dyDescent="0.3">
      <c r="A39" s="84" t="s">
        <v>102</v>
      </c>
      <c r="B39" s="80">
        <v>2022</v>
      </c>
      <c r="C39" s="18" t="s">
        <v>90</v>
      </c>
      <c r="D39" s="21">
        <v>8.5</v>
      </c>
      <c r="E39" s="21">
        <v>3.5</v>
      </c>
      <c r="F39" s="21">
        <v>14</v>
      </c>
      <c r="G39" s="21">
        <v>18</v>
      </c>
      <c r="H39" s="21">
        <v>2400</v>
      </c>
      <c r="I39" s="21">
        <v>359</v>
      </c>
      <c r="J39" s="21">
        <v>450</v>
      </c>
      <c r="K39" s="21">
        <v>0.28999999999999998</v>
      </c>
      <c r="L39" s="21">
        <v>0.32</v>
      </c>
      <c r="M39" s="22">
        <v>0.33</v>
      </c>
    </row>
    <row r="40" spans="1:13" x14ac:dyDescent="0.3">
      <c r="A40" s="84" t="s">
        <v>102</v>
      </c>
      <c r="B40" s="80">
        <v>2022</v>
      </c>
      <c r="C40" s="18" t="s">
        <v>43</v>
      </c>
      <c r="D40" s="24">
        <v>8</v>
      </c>
      <c r="E40" s="24">
        <v>2.9</v>
      </c>
      <c r="F40" s="24">
        <v>13</v>
      </c>
      <c r="G40" s="24">
        <v>12</v>
      </c>
      <c r="H40" s="24">
        <v>2100</v>
      </c>
      <c r="I40" s="24">
        <v>352</v>
      </c>
      <c r="J40" s="24">
        <v>410</v>
      </c>
      <c r="K40" s="24">
        <v>0.28000000000000003</v>
      </c>
      <c r="L40" s="24">
        <v>0.31</v>
      </c>
      <c r="M40" s="23">
        <v>0.3</v>
      </c>
    </row>
    <row r="41" spans="1:13" x14ac:dyDescent="0.3">
      <c r="A41" s="84" t="s">
        <v>102</v>
      </c>
      <c r="B41" s="80">
        <v>2022</v>
      </c>
      <c r="C41" s="18" t="s">
        <v>44</v>
      </c>
      <c r="D41" s="24">
        <v>7.5</v>
      </c>
      <c r="E41" s="24">
        <v>2.6</v>
      </c>
      <c r="F41" s="24">
        <v>9</v>
      </c>
      <c r="G41" s="24">
        <v>15</v>
      </c>
      <c r="H41" s="24">
        <v>1550</v>
      </c>
      <c r="I41" s="24">
        <v>351</v>
      </c>
      <c r="J41" s="24">
        <v>450</v>
      </c>
      <c r="K41" s="24">
        <v>0.26</v>
      </c>
      <c r="L41" s="24">
        <v>0.25</v>
      </c>
      <c r="M41" s="23">
        <v>0.28000000000000003</v>
      </c>
    </row>
    <row r="42" spans="1:13" x14ac:dyDescent="0.3">
      <c r="A42" s="84" t="s">
        <v>102</v>
      </c>
      <c r="B42" s="80">
        <v>2022</v>
      </c>
      <c r="C42" s="18" t="s">
        <v>50</v>
      </c>
      <c r="D42" s="25">
        <v>8.1999999999999993</v>
      </c>
      <c r="E42" s="25">
        <v>3.3</v>
      </c>
      <c r="F42" s="25">
        <v>13</v>
      </c>
      <c r="G42" s="25">
        <v>22</v>
      </c>
      <c r="H42" s="25">
        <v>2430</v>
      </c>
      <c r="I42" s="25">
        <v>357</v>
      </c>
      <c r="J42" s="25">
        <v>570</v>
      </c>
      <c r="K42" s="25">
        <v>0.28999999999999998</v>
      </c>
      <c r="L42" s="25">
        <v>0.31</v>
      </c>
      <c r="M42" s="26">
        <v>0.28999999999999998</v>
      </c>
    </row>
    <row r="43" spans="1:13" ht="14.4" customHeight="1" x14ac:dyDescent="0.3">
      <c r="A43" s="84" t="s">
        <v>102</v>
      </c>
      <c r="B43" s="80">
        <v>2023</v>
      </c>
      <c r="C43" s="18" t="s">
        <v>90</v>
      </c>
      <c r="D43" s="21">
        <v>8.5</v>
      </c>
      <c r="E43" s="21">
        <v>4.3</v>
      </c>
      <c r="F43" s="21">
        <v>9</v>
      </c>
      <c r="G43" s="21">
        <v>15.3</v>
      </c>
      <c r="H43" s="21">
        <v>2600</v>
      </c>
      <c r="I43" s="21">
        <v>367</v>
      </c>
      <c r="J43" s="21">
        <v>679</v>
      </c>
      <c r="K43" s="21">
        <v>0.12</v>
      </c>
      <c r="L43" s="21">
        <v>0.42</v>
      </c>
      <c r="M43" s="22">
        <v>0.28999999999999998</v>
      </c>
    </row>
    <row r="44" spans="1:13" x14ac:dyDescent="0.3">
      <c r="A44" s="84" t="s">
        <v>102</v>
      </c>
      <c r="B44" s="80">
        <v>2023</v>
      </c>
      <c r="C44" s="18" t="s">
        <v>43</v>
      </c>
      <c r="D44" s="24">
        <v>8</v>
      </c>
      <c r="E44" s="24">
        <v>2.9</v>
      </c>
      <c r="F44" s="24">
        <v>13</v>
      </c>
      <c r="G44" s="24">
        <v>12</v>
      </c>
      <c r="H44" s="24">
        <v>2100</v>
      </c>
      <c r="I44" s="24">
        <v>352</v>
      </c>
      <c r="J44" s="24">
        <v>410</v>
      </c>
      <c r="K44" s="24">
        <v>0.28000000000000003</v>
      </c>
      <c r="L44" s="24">
        <v>0.31</v>
      </c>
      <c r="M44" s="23">
        <v>0.3</v>
      </c>
    </row>
    <row r="45" spans="1:13" x14ac:dyDescent="0.3">
      <c r="A45" s="84" t="s">
        <v>102</v>
      </c>
      <c r="B45" s="80">
        <v>2023</v>
      </c>
      <c r="C45" s="18" t="s">
        <v>44</v>
      </c>
      <c r="D45" s="24">
        <v>7.5</v>
      </c>
      <c r="E45" s="24">
        <v>2.6</v>
      </c>
      <c r="F45" s="24">
        <v>9</v>
      </c>
      <c r="G45" s="24">
        <v>15</v>
      </c>
      <c r="H45" s="24">
        <v>1550</v>
      </c>
      <c r="I45" s="24">
        <v>351</v>
      </c>
      <c r="J45" s="24">
        <v>450</v>
      </c>
      <c r="K45" s="24">
        <v>0.26</v>
      </c>
      <c r="L45" s="24">
        <v>0.25</v>
      </c>
      <c r="M45" s="23">
        <v>0.28000000000000003</v>
      </c>
    </row>
    <row r="46" spans="1:13" x14ac:dyDescent="0.3">
      <c r="A46" s="84" t="s">
        <v>102</v>
      </c>
      <c r="B46" s="80">
        <v>2023</v>
      </c>
      <c r="C46" s="18" t="s">
        <v>50</v>
      </c>
      <c r="D46" s="25">
        <v>8.1999999999999993</v>
      </c>
      <c r="E46" s="25">
        <v>3.3</v>
      </c>
      <c r="F46" s="25">
        <v>13</v>
      </c>
      <c r="G46" s="25">
        <v>22</v>
      </c>
      <c r="H46" s="25">
        <v>2430</v>
      </c>
      <c r="I46" s="25">
        <v>357</v>
      </c>
      <c r="J46" s="25">
        <v>570</v>
      </c>
      <c r="K46" s="25">
        <v>0.28999999999999998</v>
      </c>
      <c r="L46" s="25">
        <v>0.31</v>
      </c>
      <c r="M46" s="26">
        <v>0.28999999999999998</v>
      </c>
    </row>
    <row r="47" spans="1:13" ht="14.4" customHeight="1" x14ac:dyDescent="0.3">
      <c r="A47" s="84" t="s">
        <v>102</v>
      </c>
      <c r="B47" s="80">
        <v>2024</v>
      </c>
      <c r="C47" s="82" t="s">
        <v>90</v>
      </c>
      <c r="D47" s="85">
        <v>9.3000000000000007</v>
      </c>
      <c r="E47" s="21">
        <v>4.0999999999999996</v>
      </c>
      <c r="F47" s="21">
        <v>9</v>
      </c>
      <c r="G47" s="21">
        <v>17</v>
      </c>
      <c r="H47" s="21">
        <v>2400</v>
      </c>
      <c r="I47" s="21">
        <v>370</v>
      </c>
      <c r="J47" s="21">
        <v>450</v>
      </c>
      <c r="K47" s="21">
        <v>0.1</v>
      </c>
      <c r="L47" s="21">
        <v>0.32</v>
      </c>
      <c r="M47" s="22">
        <v>0.12</v>
      </c>
    </row>
    <row r="48" spans="1:13" x14ac:dyDescent="0.3">
      <c r="A48" s="84" t="s">
        <v>102</v>
      </c>
      <c r="B48" s="80">
        <v>2024</v>
      </c>
      <c r="C48" s="82" t="s">
        <v>43</v>
      </c>
      <c r="D48" s="83">
        <v>8.9</v>
      </c>
      <c r="E48" s="24">
        <v>4.5999999999999996</v>
      </c>
      <c r="F48" s="24">
        <v>9</v>
      </c>
      <c r="G48" s="24">
        <v>15</v>
      </c>
      <c r="H48" s="24">
        <v>2100</v>
      </c>
      <c r="I48" s="24">
        <v>352</v>
      </c>
      <c r="J48" s="24">
        <v>410</v>
      </c>
      <c r="K48" s="24">
        <v>0.17</v>
      </c>
      <c r="L48" s="24">
        <v>0.41</v>
      </c>
      <c r="M48" s="23">
        <v>0.14000000000000001</v>
      </c>
    </row>
    <row r="49" spans="1:13" x14ac:dyDescent="0.3">
      <c r="A49" s="87" t="s">
        <v>102</v>
      </c>
      <c r="B49" s="88">
        <v>2024</v>
      </c>
      <c r="C49" s="82" t="s">
        <v>44</v>
      </c>
      <c r="D49" s="86">
        <v>9.5</v>
      </c>
      <c r="E49" s="25">
        <v>4.4000000000000004</v>
      </c>
      <c r="F49" s="25">
        <v>9</v>
      </c>
      <c r="G49" s="25">
        <v>13.3</v>
      </c>
      <c r="H49" s="25">
        <v>1550</v>
      </c>
      <c r="I49" s="25">
        <v>351</v>
      </c>
      <c r="J49" s="25">
        <v>450</v>
      </c>
      <c r="K49" s="25">
        <v>0.15</v>
      </c>
      <c r="L49" s="25">
        <v>0.25</v>
      </c>
      <c r="M49" s="26">
        <v>0.43</v>
      </c>
    </row>
    <row r="50" spans="1:13" x14ac:dyDescent="0.3">
      <c r="A50" s="90" t="s">
        <v>102</v>
      </c>
      <c r="B50" s="91">
        <v>2023</v>
      </c>
      <c r="C50" s="92" t="s">
        <v>90</v>
      </c>
      <c r="D50" s="93">
        <v>8.5</v>
      </c>
      <c r="E50" s="93">
        <v>4.3</v>
      </c>
      <c r="F50" s="93">
        <v>9</v>
      </c>
      <c r="G50" s="93">
        <v>15.3</v>
      </c>
      <c r="H50" s="93">
        <v>2600</v>
      </c>
      <c r="I50" s="93">
        <v>367</v>
      </c>
      <c r="J50" s="93">
        <v>679</v>
      </c>
      <c r="K50" s="93">
        <v>0.12</v>
      </c>
      <c r="L50" s="93">
        <v>0.42</v>
      </c>
      <c r="M50" s="94">
        <v>0.28999999999999998</v>
      </c>
    </row>
    <row r="51" spans="1:13" x14ac:dyDescent="0.3">
      <c r="A51" s="90" t="s">
        <v>102</v>
      </c>
      <c r="B51" s="91">
        <v>2023</v>
      </c>
      <c r="C51" s="92" t="s">
        <v>43</v>
      </c>
      <c r="D51" s="95">
        <v>8</v>
      </c>
      <c r="E51" s="95">
        <v>2.9</v>
      </c>
      <c r="F51" s="95">
        <v>13</v>
      </c>
      <c r="G51" s="95">
        <v>12</v>
      </c>
      <c r="H51" s="95">
        <v>2100</v>
      </c>
      <c r="I51" s="95">
        <v>352</v>
      </c>
      <c r="J51" s="95">
        <v>410</v>
      </c>
      <c r="K51" s="95">
        <v>0.28000000000000003</v>
      </c>
      <c r="L51" s="95">
        <v>0.31</v>
      </c>
      <c r="M51" s="96">
        <v>0.3</v>
      </c>
    </row>
    <row r="52" spans="1:13" x14ac:dyDescent="0.3">
      <c r="A52" s="90" t="s">
        <v>102</v>
      </c>
      <c r="B52" s="91">
        <v>2023</v>
      </c>
      <c r="C52" s="92" t="s">
        <v>44</v>
      </c>
      <c r="D52" s="95">
        <v>7.5</v>
      </c>
      <c r="E52" s="95">
        <v>2.6</v>
      </c>
      <c r="F52" s="95">
        <v>9</v>
      </c>
      <c r="G52" s="95">
        <v>15</v>
      </c>
      <c r="H52" s="95">
        <v>1550</v>
      </c>
      <c r="I52" s="95">
        <v>351</v>
      </c>
      <c r="J52" s="95">
        <v>450</v>
      </c>
      <c r="K52" s="95">
        <v>0.26</v>
      </c>
      <c r="L52" s="95">
        <v>0.25</v>
      </c>
      <c r="M52" s="96">
        <v>0.28000000000000003</v>
      </c>
    </row>
    <row r="53" spans="1:13" x14ac:dyDescent="0.3">
      <c r="A53" s="90" t="s">
        <v>102</v>
      </c>
      <c r="B53" s="55">
        <v>2023</v>
      </c>
      <c r="C53" s="92" t="s">
        <v>50</v>
      </c>
      <c r="D53" s="97">
        <v>8.1999999999999993</v>
      </c>
      <c r="E53" s="97">
        <v>3.3</v>
      </c>
      <c r="F53" s="97">
        <v>13</v>
      </c>
      <c r="G53" s="97">
        <v>22</v>
      </c>
      <c r="H53" s="97">
        <v>2430</v>
      </c>
      <c r="I53" s="97">
        <v>357</v>
      </c>
      <c r="J53" s="97">
        <v>570</v>
      </c>
      <c r="K53" s="97">
        <v>0.28999999999999998</v>
      </c>
      <c r="L53" s="97">
        <v>0.31</v>
      </c>
      <c r="M53" s="98">
        <v>0.28999999999999998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8EF8A-5A5D-482C-B4E2-F1CD0C1710B7}">
  <dimension ref="A1:Q68"/>
  <sheetViews>
    <sheetView topLeftCell="A4" workbookViewId="0">
      <selection activeCell="F23" sqref="F23:H23"/>
    </sheetView>
  </sheetViews>
  <sheetFormatPr defaultRowHeight="14.4" x14ac:dyDescent="0.3"/>
  <cols>
    <col min="1" max="1" width="21.6640625" customWidth="1"/>
    <col min="2" max="2" width="11.5546875" customWidth="1"/>
    <col min="3" max="3" width="11.109375" customWidth="1"/>
    <col min="4" max="4" width="14.77734375" customWidth="1"/>
    <col min="6" max="6" width="19.5546875" customWidth="1"/>
    <col min="7" max="7" width="10.77734375" customWidth="1"/>
    <col min="8" max="8" width="11.5546875" customWidth="1"/>
    <col min="10" max="10" width="7.33203125" customWidth="1"/>
    <col min="11" max="11" width="13.33203125" customWidth="1"/>
    <col min="12" max="12" width="20.21875" customWidth="1"/>
    <col min="13" max="13" width="13.109375" customWidth="1"/>
    <col min="14" max="14" width="28.5546875" customWidth="1"/>
  </cols>
  <sheetData>
    <row r="1" spans="1:17" ht="25.8" customHeight="1" x14ac:dyDescent="0.45">
      <c r="A1" s="131" t="s">
        <v>48</v>
      </c>
      <c r="B1" s="131"/>
      <c r="C1" s="131"/>
      <c r="D1" s="131"/>
      <c r="E1" s="131"/>
      <c r="F1" s="131"/>
      <c r="G1" s="131"/>
      <c r="H1" s="131"/>
      <c r="I1" s="131"/>
    </row>
    <row r="2" spans="1:17" x14ac:dyDescent="0.3">
      <c r="K2" s="106" t="s">
        <v>20</v>
      </c>
      <c r="L2" s="106" t="s">
        <v>21</v>
      </c>
      <c r="M2" s="107" t="s">
        <v>47</v>
      </c>
      <c r="N2" s="107" t="s">
        <v>22</v>
      </c>
    </row>
    <row r="3" spans="1:17" x14ac:dyDescent="0.3">
      <c r="K3" s="106"/>
      <c r="L3" s="106"/>
      <c r="M3" s="107"/>
      <c r="N3" s="107"/>
    </row>
    <row r="4" spans="1:17" x14ac:dyDescent="0.3">
      <c r="K4" s="4" t="s">
        <v>23</v>
      </c>
      <c r="L4" s="5" t="s">
        <v>28</v>
      </c>
      <c r="M4" s="4" t="s">
        <v>29</v>
      </c>
      <c r="N4" s="5" t="s">
        <v>30</v>
      </c>
    </row>
    <row r="5" spans="1:17" x14ac:dyDescent="0.3">
      <c r="K5" s="6" t="s">
        <v>24</v>
      </c>
      <c r="L5" s="7" t="s">
        <v>31</v>
      </c>
      <c r="M5" s="6" t="s">
        <v>32</v>
      </c>
      <c r="N5" s="7" t="s">
        <v>33</v>
      </c>
    </row>
    <row r="6" spans="1:17" x14ac:dyDescent="0.3">
      <c r="K6" s="8" t="s">
        <v>25</v>
      </c>
      <c r="L6" s="9" t="s">
        <v>34</v>
      </c>
      <c r="M6" s="8" t="s">
        <v>35</v>
      </c>
      <c r="N6" s="9" t="s">
        <v>36</v>
      </c>
    </row>
    <row r="7" spans="1:17" x14ac:dyDescent="0.3">
      <c r="K7" s="10" t="s">
        <v>26</v>
      </c>
      <c r="L7" s="11" t="s">
        <v>37</v>
      </c>
      <c r="M7" s="10" t="s">
        <v>38</v>
      </c>
      <c r="N7" s="11" t="s">
        <v>39</v>
      </c>
    </row>
    <row r="8" spans="1:17" ht="30.6" customHeight="1" x14ac:dyDescent="0.3">
      <c r="K8" s="14" t="s">
        <v>27</v>
      </c>
      <c r="L8" s="15" t="s">
        <v>40</v>
      </c>
      <c r="M8" s="14" t="s">
        <v>41</v>
      </c>
      <c r="N8" s="16" t="s">
        <v>42</v>
      </c>
    </row>
    <row r="10" spans="1:17" ht="16.2" customHeight="1" x14ac:dyDescent="0.3">
      <c r="A10" s="132" t="s">
        <v>14</v>
      </c>
      <c r="B10" s="132"/>
      <c r="C10" s="132"/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</row>
    <row r="11" spans="1:17" ht="16.2" customHeight="1" x14ac:dyDescent="0.3">
      <c r="B11" t="s">
        <v>16</v>
      </c>
      <c r="C11" t="s">
        <v>15</v>
      </c>
      <c r="D11" t="s">
        <v>17</v>
      </c>
      <c r="E11" t="s">
        <v>18</v>
      </c>
      <c r="F11" t="s">
        <v>19</v>
      </c>
      <c r="G11" t="s">
        <v>0</v>
      </c>
      <c r="H11" t="s">
        <v>1</v>
      </c>
      <c r="I11" t="s">
        <v>2</v>
      </c>
    </row>
    <row r="12" spans="1:17" ht="16.2" customHeight="1" x14ac:dyDescent="0.3">
      <c r="A12" s="2" t="s">
        <v>3</v>
      </c>
      <c r="B12" s="1">
        <v>7.9</v>
      </c>
      <c r="C12" s="1">
        <v>9</v>
      </c>
      <c r="D12">
        <f>B12/C12</f>
        <v>0.87777777777777777</v>
      </c>
      <c r="E12">
        <f>SUM(D$12:D$21)</f>
        <v>4.3208253968253958</v>
      </c>
      <c r="F12">
        <f>D12/E12</f>
        <v>0.20315048565088981</v>
      </c>
      <c r="G12">
        <f t="shared" ref="G12:G21" si="0">B12/C12</f>
        <v>0.87777777777777777</v>
      </c>
      <c r="H12">
        <f>100*G12</f>
        <v>87.777777777777771</v>
      </c>
      <c r="I12">
        <f>F12*H12</f>
        <v>17.832098184911437</v>
      </c>
    </row>
    <row r="13" spans="1:17" ht="16.2" customHeight="1" x14ac:dyDescent="0.3">
      <c r="A13" s="2" t="s">
        <v>4</v>
      </c>
      <c r="B13" s="1">
        <v>1.6</v>
      </c>
      <c r="C13" s="1">
        <v>10</v>
      </c>
      <c r="D13">
        <f t="shared" ref="D13:D21" si="1">B13/C13</f>
        <v>0.16</v>
      </c>
      <c r="E13">
        <f t="shared" ref="E13:E21" si="2">SUM(D$12:D$21)</f>
        <v>4.3208253968253958</v>
      </c>
      <c r="F13">
        <f t="shared" ref="F13:F21" si="3">D13/E13</f>
        <v>3.7029961941428012E-2</v>
      </c>
      <c r="G13">
        <f t="shared" si="0"/>
        <v>0.16</v>
      </c>
      <c r="H13">
        <f t="shared" ref="H13:H21" si="4">100*G13</f>
        <v>16</v>
      </c>
      <c r="I13">
        <f t="shared" ref="I13:I21" si="5">F13*H13</f>
        <v>0.59247939106284819</v>
      </c>
    </row>
    <row r="14" spans="1:17" ht="16.2" customHeight="1" x14ac:dyDescent="0.3">
      <c r="A14" s="2" t="s">
        <v>5</v>
      </c>
      <c r="B14" s="1">
        <v>9.3000000000000007</v>
      </c>
      <c r="C14" s="1">
        <v>45</v>
      </c>
      <c r="D14">
        <f t="shared" si="1"/>
        <v>0.20666666666666669</v>
      </c>
      <c r="E14">
        <f t="shared" si="2"/>
        <v>4.3208253968253958</v>
      </c>
      <c r="F14">
        <f t="shared" si="3"/>
        <v>4.7830367507677857E-2</v>
      </c>
      <c r="G14">
        <f t="shared" si="0"/>
        <v>0.20666666666666669</v>
      </c>
      <c r="H14">
        <f t="shared" si="4"/>
        <v>20.666666666666668</v>
      </c>
      <c r="I14">
        <f t="shared" si="5"/>
        <v>0.98849426182534239</v>
      </c>
    </row>
    <row r="15" spans="1:17" ht="16.2" customHeight="1" x14ac:dyDescent="0.3">
      <c r="A15" s="2" t="s">
        <v>6</v>
      </c>
      <c r="B15" s="1">
        <v>10.1</v>
      </c>
      <c r="C15" s="1">
        <v>10</v>
      </c>
      <c r="D15">
        <f t="shared" si="1"/>
        <v>1.01</v>
      </c>
      <c r="E15">
        <f t="shared" si="2"/>
        <v>4.3208253968253958</v>
      </c>
      <c r="F15">
        <f t="shared" si="3"/>
        <v>0.23375163475526434</v>
      </c>
      <c r="G15">
        <f t="shared" si="0"/>
        <v>1.01</v>
      </c>
      <c r="H15">
        <f t="shared" si="4"/>
        <v>101</v>
      </c>
      <c r="I15">
        <f t="shared" si="5"/>
        <v>23.608915110281696</v>
      </c>
    </row>
    <row r="16" spans="1:17" ht="16.2" customHeight="1" x14ac:dyDescent="0.3">
      <c r="A16" s="2" t="s">
        <v>7</v>
      </c>
      <c r="B16" s="1">
        <v>1386.4</v>
      </c>
      <c r="C16" s="1">
        <v>1500</v>
      </c>
      <c r="D16">
        <f t="shared" si="1"/>
        <v>0.92426666666666668</v>
      </c>
      <c r="E16">
        <f t="shared" si="2"/>
        <v>4.3208253968253958</v>
      </c>
      <c r="F16">
        <f t="shared" si="3"/>
        <v>0.21390974681498248</v>
      </c>
      <c r="G16">
        <f t="shared" si="0"/>
        <v>0.92426666666666668</v>
      </c>
      <c r="H16">
        <f t="shared" si="4"/>
        <v>92.426666666666662</v>
      </c>
      <c r="I16">
        <f t="shared" si="5"/>
        <v>19.770964865619447</v>
      </c>
    </row>
    <row r="17" spans="1:17" ht="16.2" customHeight="1" x14ac:dyDescent="0.3">
      <c r="A17" s="2" t="s">
        <v>8</v>
      </c>
      <c r="B17" s="1">
        <v>210.5</v>
      </c>
      <c r="C17" s="1">
        <v>350</v>
      </c>
      <c r="D17">
        <f t="shared" si="1"/>
        <v>0.60142857142857142</v>
      </c>
      <c r="E17">
        <f t="shared" si="2"/>
        <v>4.3208253968253958</v>
      </c>
      <c r="F17">
        <f t="shared" si="3"/>
        <v>0.13919298194054638</v>
      </c>
      <c r="G17">
        <f t="shared" si="0"/>
        <v>0.60142857142857142</v>
      </c>
      <c r="H17">
        <f t="shared" si="4"/>
        <v>60.142857142857139</v>
      </c>
      <c r="I17">
        <f t="shared" si="5"/>
        <v>8.3714636281385744</v>
      </c>
    </row>
    <row r="18" spans="1:17" ht="16.2" customHeight="1" x14ac:dyDescent="0.3">
      <c r="A18" s="2" t="s">
        <v>9</v>
      </c>
      <c r="B18" s="1">
        <v>153.19999999999999</v>
      </c>
      <c r="C18" s="1">
        <v>500</v>
      </c>
      <c r="D18">
        <f t="shared" si="1"/>
        <v>0.30639999999999995</v>
      </c>
      <c r="E18">
        <f t="shared" si="2"/>
        <v>4.3208253968253958</v>
      </c>
      <c r="F18">
        <f t="shared" si="3"/>
        <v>7.091237711783463E-2</v>
      </c>
      <c r="G18">
        <f t="shared" si="0"/>
        <v>0.30639999999999995</v>
      </c>
      <c r="H18">
        <f t="shared" si="4"/>
        <v>30.639999999999993</v>
      </c>
      <c r="I18">
        <f t="shared" si="5"/>
        <v>2.1727552348904524</v>
      </c>
    </row>
    <row r="19" spans="1:17" ht="16.2" customHeight="1" x14ac:dyDescent="0.3">
      <c r="A19" s="2" t="s">
        <v>10</v>
      </c>
      <c r="B19" s="1">
        <v>0.1</v>
      </c>
      <c r="C19" s="1">
        <v>10</v>
      </c>
      <c r="D19">
        <f t="shared" si="1"/>
        <v>0.01</v>
      </c>
      <c r="E19">
        <f t="shared" si="2"/>
        <v>4.3208253968253958</v>
      </c>
      <c r="F19">
        <f t="shared" si="3"/>
        <v>2.3143726213392508E-3</v>
      </c>
      <c r="G19">
        <f t="shared" si="0"/>
        <v>0.01</v>
      </c>
      <c r="H19">
        <f t="shared" si="4"/>
        <v>1</v>
      </c>
      <c r="I19">
        <f t="shared" si="5"/>
        <v>2.3143726213392508E-3</v>
      </c>
    </row>
    <row r="20" spans="1:17" ht="16.2" customHeight="1" x14ac:dyDescent="0.3">
      <c r="A20" s="2" t="s">
        <v>11</v>
      </c>
      <c r="B20" s="1">
        <v>0.08</v>
      </c>
      <c r="C20" s="1">
        <v>0.7</v>
      </c>
      <c r="D20">
        <f t="shared" si="1"/>
        <v>0.1142857142857143</v>
      </c>
      <c r="E20">
        <f t="shared" si="2"/>
        <v>4.3208253968253958</v>
      </c>
      <c r="F20">
        <f t="shared" si="3"/>
        <v>2.6449972815305728E-2</v>
      </c>
      <c r="G20">
        <f t="shared" si="0"/>
        <v>0.1142857142857143</v>
      </c>
      <c r="H20">
        <f t="shared" si="4"/>
        <v>11.428571428571429</v>
      </c>
      <c r="I20">
        <f t="shared" si="5"/>
        <v>0.30228540360349404</v>
      </c>
    </row>
    <row r="21" spans="1:17" ht="16.2" customHeight="1" x14ac:dyDescent="0.3">
      <c r="A21" s="2" t="s">
        <v>12</v>
      </c>
      <c r="B21" s="1">
        <v>0.11</v>
      </c>
      <c r="C21" s="1">
        <v>1</v>
      </c>
      <c r="D21">
        <f t="shared" si="1"/>
        <v>0.11</v>
      </c>
      <c r="E21">
        <f t="shared" si="2"/>
        <v>4.3208253968253958</v>
      </c>
      <c r="F21">
        <f t="shared" si="3"/>
        <v>2.5458098834731758E-2</v>
      </c>
      <c r="G21">
        <f t="shared" si="0"/>
        <v>0.11</v>
      </c>
      <c r="H21">
        <f t="shared" si="4"/>
        <v>11</v>
      </c>
      <c r="I21">
        <f t="shared" si="5"/>
        <v>0.28003908718204934</v>
      </c>
    </row>
    <row r="22" spans="1:17" x14ac:dyDescent="0.3">
      <c r="D22" s="1"/>
      <c r="E22" s="1" t="s">
        <v>46</v>
      </c>
      <c r="F22" s="130" t="s">
        <v>21</v>
      </c>
      <c r="G22" s="130"/>
      <c r="H22" s="130"/>
      <c r="I22" s="1" t="s">
        <v>47</v>
      </c>
    </row>
    <row r="23" spans="1:17" x14ac:dyDescent="0.3">
      <c r="D23" s="17" t="s">
        <v>13</v>
      </c>
      <c r="E23" s="12">
        <f>SUM(I12:I21)</f>
        <v>73.921809540136664</v>
      </c>
      <c r="F23" s="134" t="str">
        <f>IF(E23&lt;26,L$4,IF(E23&lt;51,L$5,IF(E23&lt;76,L$6,IF(E23&lt;100,L$7,L$8))))</f>
        <v>Poor water quality</v>
      </c>
      <c r="G23" s="134"/>
      <c r="H23" s="134"/>
      <c r="I23" s="1" t="str">
        <f>IF(E23&lt;26,M$4,IF(E23&lt;51,M$5,IF(E23&lt;76,M$6,IF(E23&lt;100,M$7,M$8))))</f>
        <v>C</v>
      </c>
    </row>
    <row r="25" spans="1:17" x14ac:dyDescent="0.3">
      <c r="A25" s="132" t="s">
        <v>43</v>
      </c>
      <c r="B25" s="132"/>
      <c r="C25" s="132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32"/>
      <c r="O25" s="132"/>
      <c r="P25" s="132"/>
      <c r="Q25" s="132"/>
    </row>
    <row r="26" spans="1:17" x14ac:dyDescent="0.3">
      <c r="B26" t="s">
        <v>16</v>
      </c>
      <c r="C26" t="s">
        <v>15</v>
      </c>
      <c r="D26" t="s">
        <v>17</v>
      </c>
      <c r="E26" t="s">
        <v>18</v>
      </c>
      <c r="F26" t="s">
        <v>19</v>
      </c>
      <c r="G26" t="s">
        <v>0</v>
      </c>
      <c r="H26" t="s">
        <v>1</v>
      </c>
      <c r="I26" t="s">
        <v>2</v>
      </c>
      <c r="K26" s="133"/>
      <c r="L26" s="133"/>
      <c r="M26" s="133"/>
      <c r="N26" s="133"/>
    </row>
    <row r="27" spans="1:17" x14ac:dyDescent="0.3">
      <c r="A27" s="2" t="s">
        <v>3</v>
      </c>
      <c r="B27" s="1">
        <v>7.9</v>
      </c>
      <c r="C27" s="1">
        <v>9</v>
      </c>
      <c r="D27">
        <f>B27/C27</f>
        <v>0.87777777777777777</v>
      </c>
      <c r="E27">
        <f>SUM(D$12:D$21)</f>
        <v>4.3208253968253958</v>
      </c>
      <c r="F27">
        <f>D27/E27</f>
        <v>0.20315048565088981</v>
      </c>
      <c r="G27">
        <f t="shared" ref="G27:G36" si="6">B27/C27</f>
        <v>0.87777777777777777</v>
      </c>
      <c r="H27">
        <f>100*G27</f>
        <v>87.777777777777771</v>
      </c>
      <c r="I27">
        <f>F27*H27</f>
        <v>17.832098184911437</v>
      </c>
      <c r="K27" s="133"/>
      <c r="L27" s="133"/>
      <c r="M27" s="133"/>
      <c r="N27" s="133"/>
    </row>
    <row r="28" spans="1:17" x14ac:dyDescent="0.3">
      <c r="A28" s="2" t="s">
        <v>4</v>
      </c>
      <c r="B28" s="1">
        <v>1.9</v>
      </c>
      <c r="C28" s="1">
        <v>10</v>
      </c>
      <c r="D28">
        <f t="shared" ref="D28:D36" si="7">B28/C28</f>
        <v>0.19</v>
      </c>
      <c r="E28">
        <f t="shared" ref="E28:E36" si="8">SUM(D$12:D$21)</f>
        <v>4.3208253968253958</v>
      </c>
      <c r="F28">
        <f t="shared" ref="F28:F36" si="9">D28/E28</f>
        <v>4.3973079805445764E-2</v>
      </c>
      <c r="G28">
        <f t="shared" si="6"/>
        <v>0.19</v>
      </c>
      <c r="H28">
        <f t="shared" ref="H28:H36" si="10">100*G28</f>
        <v>19</v>
      </c>
      <c r="I28">
        <f t="shared" ref="I28:I36" si="11">F28*H28</f>
        <v>0.83548851630346954</v>
      </c>
    </row>
    <row r="29" spans="1:17" x14ac:dyDescent="0.3">
      <c r="A29" s="2" t="s">
        <v>5</v>
      </c>
      <c r="B29" s="1">
        <v>9.9</v>
      </c>
      <c r="C29" s="1">
        <v>45</v>
      </c>
      <c r="D29">
        <f t="shared" si="7"/>
        <v>0.22</v>
      </c>
      <c r="E29">
        <f t="shared" si="8"/>
        <v>4.3208253968253958</v>
      </c>
      <c r="F29">
        <f t="shared" si="9"/>
        <v>5.0916197669463516E-2</v>
      </c>
      <c r="G29">
        <f t="shared" si="6"/>
        <v>0.22</v>
      </c>
      <c r="H29">
        <f t="shared" si="10"/>
        <v>22</v>
      </c>
      <c r="I29">
        <f t="shared" si="11"/>
        <v>1.1201563487281974</v>
      </c>
    </row>
    <row r="30" spans="1:17" x14ac:dyDescent="0.3">
      <c r="A30" s="2" t="s">
        <v>6</v>
      </c>
      <c r="B30" s="1">
        <v>13.2</v>
      </c>
      <c r="C30" s="1">
        <v>10</v>
      </c>
      <c r="D30">
        <f t="shared" si="7"/>
        <v>1.3199999999999998</v>
      </c>
      <c r="E30">
        <f t="shared" si="8"/>
        <v>4.3208253968253958</v>
      </c>
      <c r="F30">
        <f t="shared" si="9"/>
        <v>0.30549718601678105</v>
      </c>
      <c r="G30">
        <f t="shared" si="6"/>
        <v>1.3199999999999998</v>
      </c>
      <c r="H30">
        <f t="shared" si="10"/>
        <v>131.99999999999997</v>
      </c>
      <c r="I30">
        <f t="shared" si="11"/>
        <v>40.325628554215093</v>
      </c>
    </row>
    <row r="31" spans="1:17" x14ac:dyDescent="0.3">
      <c r="A31" s="2" t="s">
        <v>7</v>
      </c>
      <c r="B31" s="1">
        <v>1589.2</v>
      </c>
      <c r="C31" s="1">
        <v>1500</v>
      </c>
      <c r="D31">
        <f t="shared" si="7"/>
        <v>1.0594666666666668</v>
      </c>
      <c r="E31">
        <f t="shared" si="8"/>
        <v>4.3208253968253958</v>
      </c>
      <c r="F31">
        <f t="shared" si="9"/>
        <v>0.24520006465548919</v>
      </c>
      <c r="G31">
        <f t="shared" si="6"/>
        <v>1.0594666666666668</v>
      </c>
      <c r="H31">
        <f t="shared" si="10"/>
        <v>105.94666666666667</v>
      </c>
      <c r="I31">
        <f t="shared" si="11"/>
        <v>25.978129516700228</v>
      </c>
    </row>
    <row r="32" spans="1:17" x14ac:dyDescent="0.3">
      <c r="A32" s="2" t="s">
        <v>8</v>
      </c>
      <c r="B32" s="1">
        <v>275.10000000000002</v>
      </c>
      <c r="C32" s="1">
        <v>350</v>
      </c>
      <c r="D32">
        <f t="shared" si="7"/>
        <v>0.78600000000000003</v>
      </c>
      <c r="E32">
        <f t="shared" si="8"/>
        <v>4.3208253968253958</v>
      </c>
      <c r="F32">
        <f t="shared" si="9"/>
        <v>0.18190968803726512</v>
      </c>
      <c r="G32">
        <f t="shared" si="6"/>
        <v>0.78600000000000003</v>
      </c>
      <c r="H32">
        <f t="shared" si="10"/>
        <v>78.600000000000009</v>
      </c>
      <c r="I32">
        <f t="shared" si="11"/>
        <v>14.29810147972904</v>
      </c>
      <c r="K32" s="133"/>
      <c r="L32" s="133"/>
      <c r="M32" s="133"/>
      <c r="N32" s="133"/>
    </row>
    <row r="33" spans="1:17" x14ac:dyDescent="0.3">
      <c r="A33" s="2" t="s">
        <v>9</v>
      </c>
      <c r="B33" s="1">
        <v>204.6</v>
      </c>
      <c r="C33" s="1">
        <v>500</v>
      </c>
      <c r="D33">
        <f t="shared" si="7"/>
        <v>0.40920000000000001</v>
      </c>
      <c r="E33">
        <f t="shared" si="8"/>
        <v>4.3208253968253958</v>
      </c>
      <c r="F33">
        <f t="shared" si="9"/>
        <v>9.4704127665202142E-2</v>
      </c>
      <c r="G33">
        <f t="shared" si="6"/>
        <v>0.40920000000000001</v>
      </c>
      <c r="H33">
        <f t="shared" si="10"/>
        <v>40.92</v>
      </c>
      <c r="I33">
        <f t="shared" si="11"/>
        <v>3.8752929040600717</v>
      </c>
      <c r="K33" s="133"/>
      <c r="L33" s="133"/>
      <c r="M33" s="133"/>
      <c r="N33" s="133"/>
    </row>
    <row r="34" spans="1:17" x14ac:dyDescent="0.3">
      <c r="A34" s="2" t="s">
        <v>10</v>
      </c>
      <c r="B34" s="1">
        <v>0.12</v>
      </c>
      <c r="C34" s="1">
        <v>10</v>
      </c>
      <c r="D34">
        <f t="shared" si="7"/>
        <v>1.2E-2</v>
      </c>
      <c r="E34">
        <f t="shared" si="8"/>
        <v>4.3208253968253958</v>
      </c>
      <c r="F34">
        <f t="shared" si="9"/>
        <v>2.7772471456071011E-3</v>
      </c>
      <c r="G34">
        <f t="shared" si="6"/>
        <v>1.2E-2</v>
      </c>
      <c r="H34">
        <f t="shared" si="10"/>
        <v>1.2</v>
      </c>
      <c r="I34">
        <f t="shared" si="11"/>
        <v>3.3326965747285213E-3</v>
      </c>
    </row>
    <row r="35" spans="1:17" x14ac:dyDescent="0.3">
      <c r="A35" s="2" t="s">
        <v>11</v>
      </c>
      <c r="B35" s="1">
        <v>0.14000000000000001</v>
      </c>
      <c r="C35" s="1">
        <v>0.7</v>
      </c>
      <c r="D35">
        <f t="shared" si="7"/>
        <v>0.20000000000000004</v>
      </c>
      <c r="E35">
        <f t="shared" si="8"/>
        <v>4.3208253968253958</v>
      </c>
      <c r="F35">
        <f t="shared" si="9"/>
        <v>4.6287452426785024E-2</v>
      </c>
      <c r="G35">
        <f t="shared" si="6"/>
        <v>0.20000000000000004</v>
      </c>
      <c r="H35">
        <f t="shared" si="10"/>
        <v>20.000000000000004</v>
      </c>
      <c r="I35">
        <f t="shared" si="11"/>
        <v>0.92574904853570061</v>
      </c>
    </row>
    <row r="36" spans="1:17" x14ac:dyDescent="0.3">
      <c r="A36" s="2" t="s">
        <v>12</v>
      </c>
      <c r="B36" s="1">
        <v>0.18</v>
      </c>
      <c r="C36" s="1">
        <v>1</v>
      </c>
      <c r="D36">
        <f t="shared" si="7"/>
        <v>0.18</v>
      </c>
      <c r="E36">
        <f t="shared" si="8"/>
        <v>4.3208253968253958</v>
      </c>
      <c r="F36">
        <f t="shared" si="9"/>
        <v>4.1658707184106511E-2</v>
      </c>
      <c r="G36">
        <f t="shared" si="6"/>
        <v>0.18</v>
      </c>
      <c r="H36">
        <f t="shared" si="10"/>
        <v>18</v>
      </c>
      <c r="I36">
        <f t="shared" si="11"/>
        <v>0.74985672931391723</v>
      </c>
    </row>
    <row r="37" spans="1:17" x14ac:dyDescent="0.3">
      <c r="D37" s="1"/>
      <c r="E37" s="1" t="s">
        <v>46</v>
      </c>
      <c r="F37" s="130" t="s">
        <v>21</v>
      </c>
      <c r="G37" s="130"/>
      <c r="H37" s="130"/>
      <c r="I37" s="1" t="s">
        <v>47</v>
      </c>
    </row>
    <row r="38" spans="1:17" x14ac:dyDescent="0.3">
      <c r="D38" s="17" t="s">
        <v>13</v>
      </c>
      <c r="E38" s="12">
        <f>SUM(I27:I36)</f>
        <v>105.9438339790719</v>
      </c>
      <c r="F38" s="134" t="str">
        <f>IF(E38&lt;26,L$4,IF(E38&lt;51,L$5,IF(E38&lt;76,L$6,IF(E38&lt;100,L$7,L$8))))</f>
        <v>Unsuitable for dringking and fish culture</v>
      </c>
      <c r="G38" s="134"/>
      <c r="H38" s="134"/>
      <c r="I38" s="1" t="str">
        <f>IF(E38&lt;26,M$4,IF(E38&lt;51,M$5,IF(E38&lt;76,M$6,IF(E38&lt;100,M$7,M$8))))</f>
        <v>E</v>
      </c>
    </row>
    <row r="40" spans="1:17" x14ac:dyDescent="0.3">
      <c r="A40" s="132" t="s">
        <v>44</v>
      </c>
      <c r="B40" s="132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</row>
    <row r="41" spans="1:17" x14ac:dyDescent="0.3">
      <c r="B41" t="s">
        <v>16</v>
      </c>
      <c r="C41" t="s">
        <v>15</v>
      </c>
      <c r="D41" t="s">
        <v>17</v>
      </c>
      <c r="E41" t="s">
        <v>18</v>
      </c>
      <c r="F41" t="s">
        <v>19</v>
      </c>
      <c r="G41" t="s">
        <v>0</v>
      </c>
      <c r="H41" t="s">
        <v>1</v>
      </c>
      <c r="I41" t="s">
        <v>2</v>
      </c>
      <c r="K41" s="133"/>
      <c r="L41" s="133"/>
      <c r="M41" s="133"/>
      <c r="N41" s="133"/>
    </row>
    <row r="42" spans="1:17" x14ac:dyDescent="0.3">
      <c r="A42" s="2" t="s">
        <v>3</v>
      </c>
      <c r="B42" s="1">
        <v>7.7</v>
      </c>
      <c r="C42" s="1">
        <v>9</v>
      </c>
      <c r="D42">
        <f>B42/C42</f>
        <v>0.85555555555555562</v>
      </c>
      <c r="E42">
        <f>SUM(D$12:D$21)</f>
        <v>4.3208253968253958</v>
      </c>
      <c r="F42">
        <f>D42/E42</f>
        <v>0.19800743538124704</v>
      </c>
      <c r="G42">
        <f t="shared" ref="G42:G51" si="12">B42/C42</f>
        <v>0.85555555555555562</v>
      </c>
      <c r="H42">
        <f>100*G42</f>
        <v>85.555555555555557</v>
      </c>
      <c r="I42">
        <f>F42*H42</f>
        <v>16.940636138173357</v>
      </c>
      <c r="K42" s="133"/>
      <c r="L42" s="133"/>
      <c r="M42" s="133"/>
      <c r="N42" s="133"/>
    </row>
    <row r="43" spans="1:17" x14ac:dyDescent="0.3">
      <c r="A43" s="2" t="s">
        <v>4</v>
      </c>
      <c r="B43" s="1">
        <v>1.7</v>
      </c>
      <c r="C43" s="1">
        <v>10</v>
      </c>
      <c r="D43">
        <f t="shared" ref="D43:D51" si="13">B43/C43</f>
        <v>0.16999999999999998</v>
      </c>
      <c r="E43">
        <f t="shared" ref="E43:E51" si="14">SUM(D$12:D$21)</f>
        <v>4.3208253968253958</v>
      </c>
      <c r="F43">
        <f t="shared" ref="F43:F51" si="15">D43/E43</f>
        <v>3.9344334562767258E-2</v>
      </c>
      <c r="G43">
        <f t="shared" si="12"/>
        <v>0.16999999999999998</v>
      </c>
      <c r="H43">
        <f t="shared" ref="H43:H51" si="16">100*G43</f>
        <v>17</v>
      </c>
      <c r="I43">
        <f t="shared" ref="I43:I51" si="17">F43*H43</f>
        <v>0.66885368756704344</v>
      </c>
    </row>
    <row r="44" spans="1:17" x14ac:dyDescent="0.3">
      <c r="A44" s="2" t="s">
        <v>5</v>
      </c>
      <c r="B44" s="1">
        <v>9.6</v>
      </c>
      <c r="C44" s="1">
        <v>45</v>
      </c>
      <c r="D44">
        <f t="shared" si="13"/>
        <v>0.21333333333333332</v>
      </c>
      <c r="E44">
        <f t="shared" si="14"/>
        <v>4.3208253968253958</v>
      </c>
      <c r="F44">
        <f t="shared" si="15"/>
        <v>4.9373282588570683E-2</v>
      </c>
      <c r="G44">
        <f t="shared" si="12"/>
        <v>0.21333333333333332</v>
      </c>
      <c r="H44">
        <f t="shared" si="16"/>
        <v>21.333333333333332</v>
      </c>
      <c r="I44">
        <f t="shared" si="17"/>
        <v>1.0532966952228411</v>
      </c>
    </row>
    <row r="45" spans="1:17" x14ac:dyDescent="0.3">
      <c r="A45" s="2" t="s">
        <v>6</v>
      </c>
      <c r="B45" s="1">
        <v>11.2</v>
      </c>
      <c r="C45" s="1">
        <v>10</v>
      </c>
      <c r="D45">
        <f t="shared" si="13"/>
        <v>1.1199999999999999</v>
      </c>
      <c r="E45">
        <f t="shared" si="14"/>
        <v>4.3208253968253958</v>
      </c>
      <c r="F45">
        <f t="shared" si="15"/>
        <v>0.25920973358999605</v>
      </c>
      <c r="G45">
        <f t="shared" si="12"/>
        <v>1.1199999999999999</v>
      </c>
      <c r="H45">
        <f t="shared" si="16"/>
        <v>111.99999999999999</v>
      </c>
      <c r="I45">
        <f t="shared" si="17"/>
        <v>29.031490162079553</v>
      </c>
    </row>
    <row r="46" spans="1:17" x14ac:dyDescent="0.3">
      <c r="A46" s="2" t="s">
        <v>7</v>
      </c>
      <c r="B46" s="1">
        <v>1522.8</v>
      </c>
      <c r="C46" s="1">
        <v>1500</v>
      </c>
      <c r="D46">
        <f t="shared" si="13"/>
        <v>1.0151999999999999</v>
      </c>
      <c r="E46">
        <f t="shared" si="14"/>
        <v>4.3208253968253958</v>
      </c>
      <c r="F46">
        <f t="shared" si="15"/>
        <v>0.23495510851836071</v>
      </c>
      <c r="G46">
        <f t="shared" si="12"/>
        <v>1.0151999999999999</v>
      </c>
      <c r="H46">
        <f t="shared" si="16"/>
        <v>101.51999999999998</v>
      </c>
      <c r="I46">
        <f t="shared" si="17"/>
        <v>23.852642616783974</v>
      </c>
    </row>
    <row r="47" spans="1:17" x14ac:dyDescent="0.3">
      <c r="A47" s="2" t="s">
        <v>8</v>
      </c>
      <c r="B47" s="1">
        <v>262.3</v>
      </c>
      <c r="C47" s="1">
        <v>350</v>
      </c>
      <c r="D47">
        <f t="shared" si="13"/>
        <v>0.74942857142857144</v>
      </c>
      <c r="E47">
        <f t="shared" si="14"/>
        <v>4.3208253968253958</v>
      </c>
      <c r="F47">
        <f t="shared" si="15"/>
        <v>0.17344569673636728</v>
      </c>
      <c r="G47">
        <f t="shared" si="12"/>
        <v>0.74942857142857144</v>
      </c>
      <c r="H47">
        <f t="shared" si="16"/>
        <v>74.94285714285715</v>
      </c>
      <c r="I47">
        <f t="shared" si="17"/>
        <v>12.998516072556898</v>
      </c>
      <c r="K47" s="133"/>
      <c r="L47" s="133"/>
      <c r="M47" s="133"/>
      <c r="N47" s="133"/>
    </row>
    <row r="48" spans="1:17" x14ac:dyDescent="0.3">
      <c r="A48" s="2" t="s">
        <v>9</v>
      </c>
      <c r="B48" s="1">
        <v>168.5</v>
      </c>
      <c r="C48" s="1">
        <v>500</v>
      </c>
      <c r="D48">
        <f t="shared" si="13"/>
        <v>0.33700000000000002</v>
      </c>
      <c r="E48">
        <f t="shared" si="14"/>
        <v>4.3208253968253958</v>
      </c>
      <c r="F48">
        <f t="shared" si="15"/>
        <v>7.7994357339132764E-2</v>
      </c>
      <c r="G48">
        <f t="shared" si="12"/>
        <v>0.33700000000000002</v>
      </c>
      <c r="H48">
        <f t="shared" si="16"/>
        <v>33.700000000000003</v>
      </c>
      <c r="I48">
        <f t="shared" si="17"/>
        <v>2.6284098423287743</v>
      </c>
      <c r="K48" s="133"/>
      <c r="L48" s="133"/>
      <c r="M48" s="133"/>
      <c r="N48" s="133"/>
    </row>
    <row r="49" spans="1:17" x14ac:dyDescent="0.3">
      <c r="A49" s="2" t="s">
        <v>10</v>
      </c>
      <c r="B49" s="1">
        <v>0.16</v>
      </c>
      <c r="C49" s="1">
        <v>10</v>
      </c>
      <c r="D49">
        <f t="shared" si="13"/>
        <v>1.6E-2</v>
      </c>
      <c r="E49">
        <f t="shared" si="14"/>
        <v>4.3208253968253958</v>
      </c>
      <c r="F49">
        <f t="shared" si="15"/>
        <v>3.7029961941428013E-3</v>
      </c>
      <c r="G49">
        <f t="shared" si="12"/>
        <v>1.6E-2</v>
      </c>
      <c r="H49">
        <f t="shared" si="16"/>
        <v>1.6</v>
      </c>
      <c r="I49">
        <f t="shared" si="17"/>
        <v>5.9247939106284826E-3</v>
      </c>
    </row>
    <row r="50" spans="1:17" x14ac:dyDescent="0.3">
      <c r="A50" s="2" t="s">
        <v>11</v>
      </c>
      <c r="B50" s="1">
        <v>0.14000000000000001</v>
      </c>
      <c r="C50" s="1">
        <v>0.7</v>
      </c>
      <c r="D50">
        <f t="shared" si="13"/>
        <v>0.20000000000000004</v>
      </c>
      <c r="E50">
        <f t="shared" si="14"/>
        <v>4.3208253968253958</v>
      </c>
      <c r="F50">
        <f t="shared" si="15"/>
        <v>4.6287452426785024E-2</v>
      </c>
      <c r="G50">
        <f t="shared" si="12"/>
        <v>0.20000000000000004</v>
      </c>
      <c r="H50">
        <f t="shared" si="16"/>
        <v>20.000000000000004</v>
      </c>
      <c r="I50">
        <f t="shared" si="17"/>
        <v>0.92574904853570061</v>
      </c>
    </row>
    <row r="51" spans="1:17" x14ac:dyDescent="0.3">
      <c r="A51" s="2" t="s">
        <v>12</v>
      </c>
      <c r="B51" s="1">
        <v>0.12</v>
      </c>
      <c r="C51" s="1">
        <v>1</v>
      </c>
      <c r="D51">
        <f t="shared" si="13"/>
        <v>0.12</v>
      </c>
      <c r="E51">
        <f t="shared" si="14"/>
        <v>4.3208253968253958</v>
      </c>
      <c r="F51">
        <f t="shared" si="15"/>
        <v>2.7772471456071011E-2</v>
      </c>
      <c r="G51">
        <f t="shared" si="12"/>
        <v>0.12</v>
      </c>
      <c r="H51">
        <f t="shared" si="16"/>
        <v>12</v>
      </c>
      <c r="I51">
        <f t="shared" si="17"/>
        <v>0.33326965747285214</v>
      </c>
    </row>
    <row r="52" spans="1:17" x14ac:dyDescent="0.3">
      <c r="D52" s="1"/>
      <c r="E52" s="1" t="s">
        <v>46</v>
      </c>
      <c r="F52" s="130" t="s">
        <v>21</v>
      </c>
      <c r="G52" s="130"/>
      <c r="H52" s="130"/>
      <c r="I52" s="1" t="s">
        <v>47</v>
      </c>
    </row>
    <row r="53" spans="1:17" x14ac:dyDescent="0.3">
      <c r="D53" s="17" t="s">
        <v>13</v>
      </c>
      <c r="E53" s="12">
        <f>SUM(I42:I51)</f>
        <v>88.438788714631627</v>
      </c>
      <c r="F53" s="134" t="str">
        <f>IF(E53&lt;26,L$4,IF(E53&lt;51,L$5,IF(E53&lt;76,L$6,IF(E53&lt;100,L$7,L$8))))</f>
        <v>Very poor water quality</v>
      </c>
      <c r="G53" s="134"/>
      <c r="H53" s="134"/>
      <c r="I53" s="1" t="str">
        <f>IF(E53&lt;26,M$4,IF(E53&lt;51,M$5,IF(E53&lt;76,M$6,IF(E53&lt;100,M$7,M$8))))</f>
        <v>D</v>
      </c>
    </row>
    <row r="55" spans="1:17" x14ac:dyDescent="0.3">
      <c r="A55" s="132" t="s">
        <v>45</v>
      </c>
      <c r="B55" s="132"/>
      <c r="C55" s="132"/>
      <c r="D55" s="132"/>
      <c r="E55" s="132"/>
      <c r="F55" s="132"/>
      <c r="G55" s="132"/>
      <c r="H55" s="132"/>
      <c r="I55" s="132"/>
      <c r="J55" s="132"/>
      <c r="K55" s="132"/>
      <c r="L55" s="132"/>
      <c r="M55" s="132"/>
      <c r="N55" s="132"/>
      <c r="O55" s="132"/>
      <c r="P55" s="132"/>
      <c r="Q55" s="132"/>
    </row>
    <row r="56" spans="1:17" x14ac:dyDescent="0.3">
      <c r="B56" t="s">
        <v>16</v>
      </c>
      <c r="C56" t="s">
        <v>15</v>
      </c>
      <c r="D56" t="s">
        <v>17</v>
      </c>
      <c r="E56" t="s">
        <v>18</v>
      </c>
      <c r="F56" t="s">
        <v>19</v>
      </c>
      <c r="G56" t="s">
        <v>0</v>
      </c>
      <c r="H56" t="s">
        <v>1</v>
      </c>
      <c r="I56" t="s">
        <v>2</v>
      </c>
      <c r="K56" s="133"/>
      <c r="L56" s="133"/>
      <c r="M56" s="133"/>
      <c r="N56" s="133"/>
    </row>
    <row r="57" spans="1:17" x14ac:dyDescent="0.3">
      <c r="A57" s="2" t="s">
        <v>3</v>
      </c>
      <c r="B57" s="1">
        <v>8.3000000000000007</v>
      </c>
      <c r="C57" s="1">
        <v>9</v>
      </c>
      <c r="D57">
        <f>B57/C57</f>
        <v>0.92222222222222228</v>
      </c>
      <c r="E57">
        <f>SUM(D$12:D$21)</f>
        <v>4.3208253968253958</v>
      </c>
      <c r="F57">
        <f>D57/E57</f>
        <v>0.21343658619017536</v>
      </c>
      <c r="G57">
        <f t="shared" ref="G57:G66" si="18">B57/C57</f>
        <v>0.92222222222222228</v>
      </c>
      <c r="H57">
        <f>100*G57</f>
        <v>92.222222222222229</v>
      </c>
      <c r="I57">
        <f>F57*H57</f>
        <v>19.68359628198284</v>
      </c>
      <c r="K57" s="133"/>
      <c r="L57" s="133"/>
      <c r="M57" s="133"/>
      <c r="N57" s="133"/>
    </row>
    <row r="58" spans="1:17" x14ac:dyDescent="0.3">
      <c r="A58" s="2" t="s">
        <v>4</v>
      </c>
      <c r="B58" s="1">
        <v>1.8</v>
      </c>
      <c r="C58" s="1">
        <v>10</v>
      </c>
      <c r="D58">
        <f t="shared" ref="D58:D66" si="19">B58/C58</f>
        <v>0.18</v>
      </c>
      <c r="E58">
        <f t="shared" ref="E58:E66" si="20">SUM(D$12:D$21)</f>
        <v>4.3208253968253958</v>
      </c>
      <c r="F58">
        <f t="shared" ref="F58:F66" si="21">D58/E58</f>
        <v>4.1658707184106511E-2</v>
      </c>
      <c r="G58">
        <f t="shared" si="18"/>
        <v>0.18</v>
      </c>
      <c r="H58">
        <f t="shared" ref="H58:H66" si="22">100*G58</f>
        <v>18</v>
      </c>
      <c r="I58">
        <f t="shared" ref="I58:I66" si="23">F58*H58</f>
        <v>0.74985672931391723</v>
      </c>
    </row>
    <row r="59" spans="1:17" x14ac:dyDescent="0.3">
      <c r="A59" s="2" t="s">
        <v>5</v>
      </c>
      <c r="B59" s="1">
        <v>9.5</v>
      </c>
      <c r="C59" s="1">
        <v>45</v>
      </c>
      <c r="D59">
        <f t="shared" si="19"/>
        <v>0.21111111111111111</v>
      </c>
      <c r="E59">
        <f t="shared" si="20"/>
        <v>4.3208253968253958</v>
      </c>
      <c r="F59">
        <f t="shared" si="21"/>
        <v>4.8858977561606405E-2</v>
      </c>
      <c r="G59">
        <f t="shared" si="18"/>
        <v>0.21111111111111111</v>
      </c>
      <c r="H59">
        <f t="shared" si="22"/>
        <v>21.111111111111111</v>
      </c>
      <c r="I59">
        <f t="shared" si="23"/>
        <v>1.0314673040783575</v>
      </c>
    </row>
    <row r="60" spans="1:17" x14ac:dyDescent="0.3">
      <c r="A60" s="2" t="s">
        <v>6</v>
      </c>
      <c r="B60" s="1">
        <v>13.5</v>
      </c>
      <c r="C60" s="1">
        <v>10</v>
      </c>
      <c r="D60">
        <f t="shared" si="19"/>
        <v>1.35</v>
      </c>
      <c r="E60">
        <f t="shared" si="20"/>
        <v>4.3208253968253958</v>
      </c>
      <c r="F60">
        <f t="shared" si="21"/>
        <v>0.31244030388079891</v>
      </c>
      <c r="G60">
        <f t="shared" si="18"/>
        <v>1.35</v>
      </c>
      <c r="H60">
        <f t="shared" si="22"/>
        <v>135</v>
      </c>
      <c r="I60">
        <f t="shared" si="23"/>
        <v>42.179441023907856</v>
      </c>
    </row>
    <row r="61" spans="1:17" x14ac:dyDescent="0.3">
      <c r="A61" s="2" t="s">
        <v>7</v>
      </c>
      <c r="B61" s="1">
        <v>1569.9</v>
      </c>
      <c r="C61" s="1">
        <v>1500</v>
      </c>
      <c r="D61">
        <f t="shared" si="19"/>
        <v>1.0466</v>
      </c>
      <c r="E61">
        <f t="shared" si="20"/>
        <v>4.3208253968253958</v>
      </c>
      <c r="F61">
        <f t="shared" si="21"/>
        <v>0.24222223854936598</v>
      </c>
      <c r="G61">
        <f t="shared" si="18"/>
        <v>1.0466</v>
      </c>
      <c r="H61">
        <f t="shared" si="22"/>
        <v>104.66</v>
      </c>
      <c r="I61">
        <f t="shared" si="23"/>
        <v>25.350979486576641</v>
      </c>
    </row>
    <row r="62" spans="1:17" x14ac:dyDescent="0.3">
      <c r="A62" s="2" t="s">
        <v>8</v>
      </c>
      <c r="B62" s="1">
        <v>270.2</v>
      </c>
      <c r="C62" s="1">
        <v>350</v>
      </c>
      <c r="D62">
        <f t="shared" si="19"/>
        <v>0.77200000000000002</v>
      </c>
      <c r="E62">
        <f t="shared" si="20"/>
        <v>4.3208253968253958</v>
      </c>
      <c r="F62">
        <f t="shared" si="21"/>
        <v>0.17866956636739018</v>
      </c>
      <c r="G62">
        <f t="shared" si="18"/>
        <v>0.77200000000000002</v>
      </c>
      <c r="H62">
        <f t="shared" si="22"/>
        <v>77.2</v>
      </c>
      <c r="I62">
        <f t="shared" si="23"/>
        <v>13.793290523562522</v>
      </c>
      <c r="K62" s="133"/>
      <c r="L62" s="133"/>
      <c r="M62" s="133"/>
      <c r="N62" s="133"/>
    </row>
    <row r="63" spans="1:17" x14ac:dyDescent="0.3">
      <c r="A63" s="2" t="s">
        <v>9</v>
      </c>
      <c r="B63" s="1">
        <v>206.8</v>
      </c>
      <c r="C63" s="1">
        <v>500</v>
      </c>
      <c r="D63">
        <f t="shared" si="19"/>
        <v>0.41360000000000002</v>
      </c>
      <c r="E63">
        <f t="shared" si="20"/>
        <v>4.3208253968253958</v>
      </c>
      <c r="F63">
        <f t="shared" si="21"/>
        <v>9.5722451618591414E-2</v>
      </c>
      <c r="G63">
        <f t="shared" si="18"/>
        <v>0.41360000000000002</v>
      </c>
      <c r="H63">
        <f t="shared" si="22"/>
        <v>41.36</v>
      </c>
      <c r="I63">
        <f t="shared" si="23"/>
        <v>3.9590805989449409</v>
      </c>
      <c r="K63" s="133"/>
      <c r="L63" s="133"/>
      <c r="M63" s="133"/>
      <c r="N63" s="133"/>
    </row>
    <row r="64" spans="1:17" x14ac:dyDescent="0.3">
      <c r="A64" s="2" t="s">
        <v>10</v>
      </c>
      <c r="B64" s="1">
        <v>0.11</v>
      </c>
      <c r="C64" s="1">
        <v>10</v>
      </c>
      <c r="D64">
        <f t="shared" si="19"/>
        <v>1.0999999999999999E-2</v>
      </c>
      <c r="E64">
        <f t="shared" si="20"/>
        <v>4.3208253968253958</v>
      </c>
      <c r="F64">
        <f t="shared" si="21"/>
        <v>2.5458098834731757E-3</v>
      </c>
      <c r="G64">
        <f t="shared" si="18"/>
        <v>1.0999999999999999E-2</v>
      </c>
      <c r="H64">
        <f t="shared" si="22"/>
        <v>1.0999999999999999</v>
      </c>
      <c r="I64">
        <f t="shared" si="23"/>
        <v>2.8003908718204928E-3</v>
      </c>
    </row>
    <row r="65" spans="1:9" x14ac:dyDescent="0.3">
      <c r="A65" s="2" t="s">
        <v>11</v>
      </c>
      <c r="B65" s="1">
        <v>0.16</v>
      </c>
      <c r="C65" s="1">
        <v>0.7</v>
      </c>
      <c r="D65">
        <f t="shared" si="19"/>
        <v>0.22857142857142859</v>
      </c>
      <c r="E65">
        <f t="shared" si="20"/>
        <v>4.3208253968253958</v>
      </c>
      <c r="F65">
        <f t="shared" si="21"/>
        <v>5.2899945630611456E-2</v>
      </c>
      <c r="G65">
        <f t="shared" si="18"/>
        <v>0.22857142857142859</v>
      </c>
      <c r="H65">
        <f t="shared" si="22"/>
        <v>22.857142857142858</v>
      </c>
      <c r="I65">
        <f t="shared" si="23"/>
        <v>1.2091416144139762</v>
      </c>
    </row>
    <row r="66" spans="1:9" x14ac:dyDescent="0.3">
      <c r="A66" s="2" t="s">
        <v>12</v>
      </c>
      <c r="B66" s="1">
        <v>0.15</v>
      </c>
      <c r="C66" s="1">
        <v>1</v>
      </c>
      <c r="D66">
        <f t="shared" si="19"/>
        <v>0.15</v>
      </c>
      <c r="E66">
        <f t="shared" si="20"/>
        <v>4.3208253968253958</v>
      </c>
      <c r="F66">
        <f t="shared" si="21"/>
        <v>3.4715589320088759E-2</v>
      </c>
      <c r="G66">
        <f t="shared" si="18"/>
        <v>0.15</v>
      </c>
      <c r="H66">
        <f t="shared" si="22"/>
        <v>15</v>
      </c>
      <c r="I66">
        <f t="shared" si="23"/>
        <v>0.52073383980133137</v>
      </c>
    </row>
    <row r="67" spans="1:9" x14ac:dyDescent="0.3">
      <c r="D67" s="1"/>
      <c r="E67" s="1" t="s">
        <v>46</v>
      </c>
      <c r="F67" s="130" t="s">
        <v>21</v>
      </c>
      <c r="G67" s="130"/>
      <c r="H67" s="130"/>
      <c r="I67" s="1" t="s">
        <v>47</v>
      </c>
    </row>
    <row r="68" spans="1:9" x14ac:dyDescent="0.3">
      <c r="D68" s="17" t="s">
        <v>13</v>
      </c>
      <c r="E68" s="12">
        <f>SUM(I57:I66)</f>
        <v>108.48038779345421</v>
      </c>
      <c r="F68" s="134" t="str">
        <f>IF(E68&lt;26,L$4,IF(E68&lt;51,L$5,IF(E68&lt;76,L$6,IF(E68&lt;100,L$7,L$8))))</f>
        <v>Unsuitable for dringking and fish culture</v>
      </c>
      <c r="G68" s="134"/>
      <c r="H68" s="134"/>
      <c r="I68" s="1" t="str">
        <f>IF(E68&lt;26,M$4,IF(E68&lt;51,M$5,IF(E68&lt;76,M$6,IF(E68&lt;100,M$7,M$8))))</f>
        <v>E</v>
      </c>
    </row>
  </sheetData>
  <mergeCells count="41">
    <mergeCell ref="K32:K33"/>
    <mergeCell ref="L32:L33"/>
    <mergeCell ref="M32:M33"/>
    <mergeCell ref="N32:N33"/>
    <mergeCell ref="A40:Q40"/>
    <mergeCell ref="F38:H38"/>
    <mergeCell ref="F68:H68"/>
    <mergeCell ref="A55:Q55"/>
    <mergeCell ref="K56:K57"/>
    <mergeCell ref="L56:L57"/>
    <mergeCell ref="M56:M57"/>
    <mergeCell ref="N56:N57"/>
    <mergeCell ref="K62:K63"/>
    <mergeCell ref="L62:L63"/>
    <mergeCell ref="M62:M63"/>
    <mergeCell ref="N62:N63"/>
    <mergeCell ref="F53:H53"/>
    <mergeCell ref="K41:K42"/>
    <mergeCell ref="L41:L42"/>
    <mergeCell ref="M41:M42"/>
    <mergeCell ref="N41:N42"/>
    <mergeCell ref="K47:K48"/>
    <mergeCell ref="L47:L48"/>
    <mergeCell ref="M47:M48"/>
    <mergeCell ref="N47:N48"/>
    <mergeCell ref="F22:H22"/>
    <mergeCell ref="F37:H37"/>
    <mergeCell ref="F52:H52"/>
    <mergeCell ref="F67:H67"/>
    <mergeCell ref="A1:I1"/>
    <mergeCell ref="A25:Q25"/>
    <mergeCell ref="K26:K27"/>
    <mergeCell ref="L26:L27"/>
    <mergeCell ref="M26:M27"/>
    <mergeCell ref="N26:N27"/>
    <mergeCell ref="F23:H23"/>
    <mergeCell ref="A10:Q10"/>
    <mergeCell ref="K2:K3"/>
    <mergeCell ref="L2:L3"/>
    <mergeCell ref="M2:M3"/>
    <mergeCell ref="N2:N3"/>
  </mergeCells>
  <conditionalFormatting sqref="P12:P21">
    <cfRule type="expression" dxfId="27" priority="84">
      <formula>P12&gt;O$40</formula>
    </cfRule>
  </conditionalFormatting>
  <conditionalFormatting sqref="B12:B21">
    <cfRule type="cellIs" dxfId="26" priority="83" operator="greaterThan">
      <formula>$C12</formula>
    </cfRule>
  </conditionalFormatting>
  <conditionalFormatting sqref="P27:P36">
    <cfRule type="expression" dxfId="25" priority="82">
      <formula>P27&gt;O$40</formula>
    </cfRule>
  </conditionalFormatting>
  <conditionalFormatting sqref="B27:B36">
    <cfRule type="cellIs" dxfId="24" priority="81" operator="greaterThan">
      <formula>$C27</formula>
    </cfRule>
  </conditionalFormatting>
  <conditionalFormatting sqref="P42:P51">
    <cfRule type="expression" dxfId="23" priority="80">
      <formula>P42&gt;O$40</formula>
    </cfRule>
  </conditionalFormatting>
  <conditionalFormatting sqref="B42:B51">
    <cfRule type="cellIs" dxfId="22" priority="79" operator="greaterThan">
      <formula>$C42</formula>
    </cfRule>
  </conditionalFormatting>
  <conditionalFormatting sqref="P57:P66">
    <cfRule type="expression" dxfId="21" priority="78">
      <formula>P57&gt;O$40</formula>
    </cfRule>
  </conditionalFormatting>
  <conditionalFormatting sqref="B57:B66">
    <cfRule type="cellIs" dxfId="20" priority="77" operator="greaterThan">
      <formula>$C57</formula>
    </cfRule>
  </conditionalFormatting>
  <conditionalFormatting sqref="E23:I23">
    <cfRule type="expression" dxfId="19" priority="85">
      <formula>$I23="E"</formula>
    </cfRule>
    <cfRule type="expression" dxfId="18" priority="86">
      <formula>$I23="D"</formula>
    </cfRule>
    <cfRule type="expression" dxfId="17" priority="87">
      <formula>$I23="C"</formula>
    </cfRule>
    <cfRule type="expression" dxfId="16" priority="88">
      <formula>$I23="B"</formula>
    </cfRule>
    <cfRule type="expression" dxfId="15" priority="89">
      <formula>$I23="A"</formula>
    </cfRule>
  </conditionalFormatting>
  <conditionalFormatting sqref="E38:I38">
    <cfRule type="expression" dxfId="14" priority="11">
      <formula>$I38="E"</formula>
    </cfRule>
    <cfRule type="expression" dxfId="13" priority="12">
      <formula>$I38="D"</formula>
    </cfRule>
    <cfRule type="expression" dxfId="12" priority="13">
      <formula>$I38="C"</formula>
    </cfRule>
    <cfRule type="expression" dxfId="11" priority="14">
      <formula>$I38="B"</formula>
    </cfRule>
    <cfRule type="expression" dxfId="10" priority="15">
      <formula>$I38="A"</formula>
    </cfRule>
  </conditionalFormatting>
  <conditionalFormatting sqref="E53:I53">
    <cfRule type="expression" dxfId="9" priority="6">
      <formula>$I53="E"</formula>
    </cfRule>
    <cfRule type="expression" dxfId="8" priority="7">
      <formula>$I53="D"</formula>
    </cfRule>
    <cfRule type="expression" dxfId="7" priority="8">
      <formula>$I53="C"</formula>
    </cfRule>
    <cfRule type="expression" dxfId="6" priority="9">
      <formula>$I53="B"</formula>
    </cfRule>
    <cfRule type="expression" dxfId="5" priority="10">
      <formula>$I53="A"</formula>
    </cfRule>
  </conditionalFormatting>
  <conditionalFormatting sqref="E68:I68">
    <cfRule type="expression" dxfId="4" priority="1">
      <formula>$I68="E"</formula>
    </cfRule>
    <cfRule type="expression" dxfId="3" priority="2">
      <formula>$I68="D"</formula>
    </cfRule>
    <cfRule type="expression" dxfId="2" priority="3">
      <formula>$I68="C"</formula>
    </cfRule>
    <cfRule type="expression" dxfId="1" priority="4">
      <formula>$I68="B"</formula>
    </cfRule>
    <cfRule type="expression" dxfId="0" priority="5">
      <formula>$I68="A"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DWAWQI</vt:lpstr>
      <vt:lpstr>CCMEWQI</vt:lpstr>
      <vt:lpstr>WAWQI</vt:lpstr>
      <vt:lpstr>Data</vt:lpstr>
      <vt:lpstr>Bo'ston MFY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Aliyev</dc:creator>
  <cp:lastModifiedBy>Aliyev</cp:lastModifiedBy>
  <dcterms:created xsi:type="dcterms:W3CDTF">2024-08-12T05:48:42Z</dcterms:created>
  <dcterms:modified xsi:type="dcterms:W3CDTF">2024-10-20T03:24:21Z</dcterms:modified>
</cp:coreProperties>
</file>